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一期-A5-15套" sheetId="85"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比较法-住宅" sheetId="21" state="hidden" r:id="rId23"/>
    <sheet name="土地比较法-住宅、综合" sheetId="39" r:id="rId24"/>
    <sheet name="土地案例（更新）" sheetId="86" r:id="rId25"/>
    <sheet name="地价增长" sheetId="87" r:id="rId26"/>
    <sheet name="收益法（汇总）" sheetId="70" r:id="rId27"/>
    <sheet name="收益法 (独栋)" sheetId="80" r:id="rId28"/>
    <sheet name="收益法 (小院)" sheetId="81" r:id="rId29"/>
    <sheet name="收益法 (联排)" sheetId="15" r:id="rId30"/>
    <sheet name="收益法 (洋房)" sheetId="82" r:id="rId31"/>
    <sheet name="收益法 (公寓)" sheetId="83" r:id="rId32"/>
    <sheet name="收益法 (配套商业)" sheetId="84"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联排" sheetId="79" state="hidden" r:id="rId39"/>
    <sheet name="收益法-联排" sheetId="77" state="hidden" r:id="rId40"/>
    <sheet name="比较法-车位" sheetId="35" state="hidden" r:id="rId41"/>
    <sheet name="收益法-车库" sheetId="78"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s>
  <definedNames>
    <definedName name="_xlnm._FilterDatabase" localSheetId="36"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38" hidden="1">'比较法-联排'!$A$1:$L$49</definedName>
    <definedName name="_xlnm._FilterDatabase" localSheetId="35" hidden="1">'比较法-商业'!$A$1:$L$49</definedName>
    <definedName name="_xlnm._FilterDatabase" localSheetId="22"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7">'收益法 (独栋)'!$A$1:$F$43</definedName>
    <definedName name="_xlnm.Print_Area" localSheetId="31">'收益法 (公寓)'!$A$1:$F$43</definedName>
    <definedName name="_xlnm.Print_Area" localSheetId="29">'收益法 (联排)'!$A$1:$F$43</definedName>
    <definedName name="_xlnm.Print_Area" localSheetId="32">'收益法 (配套商业)'!$A$1:$F$43</definedName>
    <definedName name="_xlnm.Print_Area" localSheetId="28">'收益法 (小院)'!$A$1:$F$43</definedName>
    <definedName name="_xlnm.Print_Area" localSheetId="30">'收益法 (洋房)'!$A$1:$F$43</definedName>
    <definedName name="_xlnm.Print_Area" localSheetId="33">'收益法 (元)'!$A$1:$AK$69</definedName>
    <definedName name="_xlnm.Print_Area" localSheetId="41">'收益法-车库'!$A$1:$AK$69</definedName>
    <definedName name="_xlnm.Print_Area" localSheetId="39">'收益法-联排'!$A$1:$AK$69</definedName>
    <definedName name="_xlnm.Print_Area" localSheetId="14">'数据-汇总表'!$A$1:$P$32</definedName>
    <definedName name="_xlnm.Print_Area" localSheetId="23">'土地比较法-住宅、综合'!$A$1:$K$53</definedName>
    <definedName name="_xlnm.Print_Area" localSheetId="13">'一期-A5-15套'!$B$1:$I$33</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38">'比较法-联排'!$B$88:$M$88</definedName>
    <definedName name="住宅朝向" localSheetId="13">'[1]比较法-洋房'!$B$88:$M$88</definedName>
    <definedName name="住宅朝向">'比较法-住宅'!$B$88:$M$88</definedName>
    <definedName name="住宅房型" localSheetId="38">'比较法-联排'!$B$118:$M$118</definedName>
    <definedName name="住宅房型" localSheetId="13">'[1]比较法-洋房'!$B$118:$M$118</definedName>
    <definedName name="住宅房型">'比较法-住宅'!$B$118:$M$118</definedName>
    <definedName name="住宅公共部分装修" localSheetId="38">'比较法-联排'!$B$109:$M$109</definedName>
    <definedName name="住宅公共部分装修" localSheetId="13">'[1]比较法-洋房'!$B$109:$M$109</definedName>
    <definedName name="住宅公共部分装修">'比较法-住宅'!$B$109:$M$109</definedName>
    <definedName name="住宅基础设施水平" localSheetId="38">'比较法-联排'!$B$116:$M$116</definedName>
    <definedName name="住宅基础设施水平" localSheetId="13">'[1]比较法-洋房'!$B$116:$M$116</definedName>
    <definedName name="住宅基础设施水平">'比较法-住宅'!$B$116:$M$116</definedName>
    <definedName name="住宅建筑结构" localSheetId="38">'比较法-联排'!$B$105:$M$105</definedName>
    <definedName name="住宅建筑结构" localSheetId="13">'[1]比较法-洋房'!$B$105:$M$105</definedName>
    <definedName name="住宅建筑结构">'比较法-住宅'!$B$105:$M$105</definedName>
    <definedName name="住宅建筑类型" localSheetId="38">'比较法-联排'!$B$100:$M$100</definedName>
    <definedName name="住宅建筑类型" localSheetId="13">'[1]比较法-洋房'!$B$100:$M$100</definedName>
    <definedName name="住宅建筑类型">'比较法-住宅'!$B$100:$M$100</definedName>
    <definedName name="住宅建筑品质" localSheetId="38">'比较法-联排'!$B$107:$M$107</definedName>
    <definedName name="住宅建筑品质" localSheetId="13">'[1]比较法-洋房'!$B$107:$M$107</definedName>
    <definedName name="住宅建筑品质">'比较法-住宅'!$B$107:$M$107</definedName>
    <definedName name="住宅交易情况" localSheetId="38">'比较法-联排'!$A$61:$M$61</definedName>
    <definedName name="住宅交易情况" localSheetId="13">'[1]比较法-洋房'!$A$61:$M$61</definedName>
    <definedName name="住宅交易情况">'比较法-住宅'!$A$61:$M$61</definedName>
    <definedName name="住宅楼层" localSheetId="38">'比较法-联排'!$B$86:$M$86</definedName>
    <definedName name="住宅楼层" localSheetId="13">'[1]比较法-洋房'!$B$86:$M$86</definedName>
    <definedName name="住宅楼层">'比较法-住宅'!$B$86:$M$86</definedName>
    <definedName name="住宅内部装修" localSheetId="38">'比较法-联排'!$B$122:$M$122</definedName>
    <definedName name="住宅内部装修" localSheetId="13">'[1]比较法-洋房'!$B$122:$M$122</definedName>
    <definedName name="住宅内部装修">'比较法-住宅'!$B$122:$M$122</definedName>
    <definedName name="住宅物业管理" localSheetId="38">'比较法-联排'!$B$114:$M$114</definedName>
    <definedName name="住宅物业管理" localSheetId="13">'[1]比较法-洋房'!$B$114:$M$114</definedName>
    <definedName name="住宅物业管理">'比较法-住宅'!$B$114:$M$114</definedName>
    <definedName name="住宅用途" localSheetId="38">'比较法-联排'!$B$63:$M$63</definedName>
    <definedName name="住宅用途" localSheetId="13">'[1]比较法-洋房'!$B$63:$M$63</definedName>
    <definedName name="住宅用途">'比较法-住宅'!$B$63:$M$63</definedName>
    <definedName name="住宅主力户型面积" localSheetId="38">'比较法-联排'!$B$120:$M$120</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6" i="80" l="1"/>
  <c r="F8" i="80"/>
  <c r="F7" i="80"/>
  <c r="F9" i="80"/>
  <c r="C6" i="80"/>
  <c r="F4" i="73"/>
  <c r="I1" i="73"/>
  <c r="B39" i="1"/>
  <c r="F11" i="80"/>
  <c r="C10" i="80"/>
  <c r="C5" i="80"/>
  <c r="C32" i="80"/>
  <c r="C14" i="80"/>
  <c r="C15" i="80"/>
  <c r="F16" i="80"/>
  <c r="C16" i="80"/>
  <c r="F43" i="80"/>
  <c r="C17" i="80"/>
  <c r="C18" i="80"/>
  <c r="C19" i="80"/>
  <c r="C20" i="80"/>
  <c r="D5" i="73"/>
  <c r="G1" i="73"/>
  <c r="B40" i="1"/>
  <c r="F24" i="80"/>
  <c r="C23" i="80"/>
  <c r="F26" i="80"/>
  <c r="C26" i="80"/>
  <c r="C24" i="80"/>
  <c r="C27" i="80"/>
  <c r="C29" i="80"/>
  <c r="C33" i="80"/>
  <c r="R6" i="1"/>
  <c r="F35" i="80"/>
  <c r="C34" i="80"/>
  <c r="C31" i="80"/>
  <c r="F36" i="80"/>
  <c r="C36" i="80"/>
  <c r="F13" i="80"/>
  <c r="C13" i="80"/>
  <c r="F37" i="80"/>
  <c r="C37" i="80"/>
  <c r="F38" i="80"/>
  <c r="C38" i="80"/>
  <c r="C30" i="80"/>
  <c r="C39" i="80"/>
  <c r="F42" i="80"/>
  <c r="F40" i="80"/>
  <c r="L48" i="80"/>
  <c r="J53" i="80"/>
  <c r="F1" i="80"/>
  <c r="AE6" i="1"/>
  <c r="F41" i="80"/>
  <c r="C40" i="80"/>
  <c r="M6" i="80"/>
  <c r="M8" i="80"/>
  <c r="M7" i="80"/>
  <c r="M9" i="80"/>
  <c r="J6" i="80"/>
  <c r="M11" i="80"/>
  <c r="J10" i="80"/>
  <c r="J5" i="80"/>
  <c r="J26" i="80"/>
  <c r="J29" i="80"/>
  <c r="J60" i="80"/>
  <c r="L46" i="80"/>
  <c r="B2" i="80"/>
  <c r="B3" i="80"/>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8" i="1"/>
  <c r="F35" i="15"/>
  <c r="C34" i="15"/>
  <c r="C31"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B3" i="15"/>
  <c r="F6" i="82"/>
  <c r="F8" i="82"/>
  <c r="F7" i="82"/>
  <c r="F9" i="82"/>
  <c r="C6" i="82"/>
  <c r="F11" i="82"/>
  <c r="C10" i="82"/>
  <c r="C5" i="82"/>
  <c r="C32" i="82"/>
  <c r="C14" i="82"/>
  <c r="C15" i="82"/>
  <c r="F16" i="82"/>
  <c r="C16" i="82"/>
  <c r="F43" i="82"/>
  <c r="C17" i="82"/>
  <c r="C18" i="82"/>
  <c r="C19" i="82"/>
  <c r="C20" i="82"/>
  <c r="F24" i="82"/>
  <c r="C23" i="82"/>
  <c r="F26" i="82"/>
  <c r="C26" i="82"/>
  <c r="C24" i="82"/>
  <c r="C27" i="82"/>
  <c r="C29" i="82"/>
  <c r="C33" i="82"/>
  <c r="R9" i="1"/>
  <c r="F35" i="82"/>
  <c r="C34" i="82"/>
  <c r="C31" i="82"/>
  <c r="F36" i="82"/>
  <c r="C36" i="82"/>
  <c r="F13" i="82"/>
  <c r="C13" i="82"/>
  <c r="F37" i="82"/>
  <c r="C37" i="82"/>
  <c r="F38" i="82"/>
  <c r="C38" i="82"/>
  <c r="C30" i="82"/>
  <c r="C39" i="82"/>
  <c r="F42" i="82"/>
  <c r="F40" i="82"/>
  <c r="L48" i="82"/>
  <c r="J53" i="82"/>
  <c r="F1" i="82"/>
  <c r="AE9" i="1"/>
  <c r="F41" i="82"/>
  <c r="C40" i="82"/>
  <c r="M6" i="82"/>
  <c r="M8" i="82"/>
  <c r="M7" i="82"/>
  <c r="M9" i="82"/>
  <c r="J6" i="82"/>
  <c r="M11" i="82"/>
  <c r="J10" i="82"/>
  <c r="J5" i="82"/>
  <c r="J26" i="82"/>
  <c r="J29" i="82"/>
  <c r="J60" i="82"/>
  <c r="L46" i="82"/>
  <c r="B2" i="82"/>
  <c r="B3" i="82"/>
  <c r="D10" i="68"/>
  <c r="C10" i="68"/>
  <c r="B29" i="1"/>
  <c r="C8" i="68"/>
  <c r="C5" i="68"/>
  <c r="C20" i="68"/>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AO6" i="1"/>
  <c r="B6" i="70"/>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60" i="81"/>
  <c r="L46" i="81"/>
  <c r="B2" i="81"/>
  <c r="AO7" i="1"/>
  <c r="B7" i="70"/>
  <c r="AO8" i="1"/>
  <c r="B8" i="70"/>
  <c r="AO9" i="1"/>
  <c r="B9" i="70"/>
  <c r="F6" i="83"/>
  <c r="F8" i="83"/>
  <c r="F7" i="83"/>
  <c r="F9" i="83"/>
  <c r="C6" i="83"/>
  <c r="F11" i="83"/>
  <c r="C10" i="83"/>
  <c r="C5" i="83"/>
  <c r="C32" i="83"/>
  <c r="C14" i="83"/>
  <c r="C15" i="83"/>
  <c r="F16" i="83"/>
  <c r="C16" i="83"/>
  <c r="F43" i="83"/>
  <c r="C17" i="83"/>
  <c r="C18" i="83"/>
  <c r="C19" i="83"/>
  <c r="C20" i="83"/>
  <c r="F24" i="83"/>
  <c r="C23" i="83"/>
  <c r="F26" i="83"/>
  <c r="C26" i="83"/>
  <c r="C24" i="83"/>
  <c r="C27" i="83"/>
  <c r="C29" i="83"/>
  <c r="C33" i="83"/>
  <c r="R10" i="1"/>
  <c r="F35" i="83"/>
  <c r="C34" i="83"/>
  <c r="C31" i="83"/>
  <c r="F36" i="83"/>
  <c r="C36" i="83"/>
  <c r="F13" i="83"/>
  <c r="C13" i="83"/>
  <c r="F37" i="83"/>
  <c r="C37" i="83"/>
  <c r="F38" i="83"/>
  <c r="C38" i="83"/>
  <c r="C30" i="83"/>
  <c r="C39" i="83"/>
  <c r="F42" i="83"/>
  <c r="F40" i="83"/>
  <c r="L48" i="83"/>
  <c r="J53" i="83"/>
  <c r="F1" i="83"/>
  <c r="AE10" i="1"/>
  <c r="F41" i="83"/>
  <c r="C40" i="83"/>
  <c r="M6" i="83"/>
  <c r="M8" i="83"/>
  <c r="M7" i="83"/>
  <c r="M9" i="83"/>
  <c r="J6" i="83"/>
  <c r="M11" i="83"/>
  <c r="J10" i="83"/>
  <c r="J5" i="83"/>
  <c r="J26" i="83"/>
  <c r="J29" i="83"/>
  <c r="J60" i="83"/>
  <c r="L46" i="83"/>
  <c r="B2" i="83"/>
  <c r="AO10" i="1"/>
  <c r="B10" i="70"/>
  <c r="F6" i="84"/>
  <c r="F8" i="84"/>
  <c r="F7" i="84"/>
  <c r="F9" i="84"/>
  <c r="C6" i="84"/>
  <c r="F11" i="84"/>
  <c r="C10" i="84"/>
  <c r="C5" i="84"/>
  <c r="C32" i="84"/>
  <c r="C14" i="84"/>
  <c r="C15" i="84"/>
  <c r="F16" i="84"/>
  <c r="C16" i="84"/>
  <c r="F43" i="84"/>
  <c r="C17" i="84"/>
  <c r="C18" i="84"/>
  <c r="C19" i="84"/>
  <c r="C20" i="84"/>
  <c r="F24" i="84"/>
  <c r="C23" i="84"/>
  <c r="F26" i="84"/>
  <c r="C26" i="84"/>
  <c r="C24" i="84"/>
  <c r="C27" i="84"/>
  <c r="C29" i="84"/>
  <c r="C33" i="84"/>
  <c r="R11" i="1"/>
  <c r="F35" i="84"/>
  <c r="C34" i="84"/>
  <c r="C31" i="84"/>
  <c r="F36" i="84"/>
  <c r="C36" i="84"/>
  <c r="F13" i="84"/>
  <c r="C13" i="84"/>
  <c r="F37" i="84"/>
  <c r="C37" i="84"/>
  <c r="F38" i="84"/>
  <c r="C38" i="84"/>
  <c r="C30" i="84"/>
  <c r="C39" i="84"/>
  <c r="F42" i="84"/>
  <c r="F40" i="84"/>
  <c r="L48" i="84"/>
  <c r="J53" i="84"/>
  <c r="F1" i="84"/>
  <c r="AE11" i="1"/>
  <c r="F41" i="84"/>
  <c r="C40" i="84"/>
  <c r="M6" i="84"/>
  <c r="M8" i="84"/>
  <c r="M7" i="84"/>
  <c r="M9" i="84"/>
  <c r="J6" i="84"/>
  <c r="M11" i="84"/>
  <c r="J10" i="84"/>
  <c r="J5" i="84"/>
  <c r="J26" i="84"/>
  <c r="J29" i="84"/>
  <c r="J60" i="84"/>
  <c r="L46" i="84"/>
  <c r="B2" i="84"/>
  <c r="AO11" i="1"/>
  <c r="B11" i="70"/>
  <c r="B2" i="70"/>
  <c r="D19" i="9"/>
  <c r="G19" i="9"/>
  <c r="D22" i="9"/>
  <c r="B3" i="68"/>
  <c r="C20" i="9"/>
  <c r="B3" i="70"/>
  <c r="D20" i="9"/>
  <c r="G20" i="9"/>
  <c r="H16" i="74"/>
  <c r="H17" i="74"/>
  <c r="H18" i="74"/>
  <c r="H19" i="74"/>
  <c r="H20" i="74"/>
  <c r="H21" i="74"/>
  <c r="H22" i="74"/>
  <c r="H23" i="74"/>
  <c r="H24" i="74"/>
  <c r="H25" i="74"/>
  <c r="H26" i="74"/>
  <c r="H15" i="74"/>
  <c r="B2" i="74"/>
  <c r="B1" i="74"/>
  <c r="E24" i="74"/>
  <c r="F24" i="74"/>
  <c r="E25" i="74"/>
  <c r="F25" i="74"/>
  <c r="E26" i="74"/>
  <c r="F26" i="74"/>
  <c r="C11" i="4"/>
  <c r="B5" i="4"/>
  <c r="I26" i="3"/>
  <c r="I27" i="3"/>
  <c r="I25" i="3"/>
  <c r="M24" i="3"/>
  <c r="O19" i="3"/>
  <c r="O20" i="3"/>
  <c r="O21" i="3"/>
  <c r="O22" i="3"/>
  <c r="O23" i="3"/>
  <c r="O18" i="3"/>
  <c r="I14" i="3"/>
  <c r="I15" i="3"/>
  <c r="I16" i="3"/>
  <c r="I17" i="3"/>
  <c r="I13" i="3"/>
  <c r="E71" i="39"/>
  <c r="F71" i="39"/>
  <c r="G71" i="39"/>
  <c r="H71" i="39"/>
  <c r="I71" i="39"/>
  <c r="J71" i="39"/>
  <c r="K71" i="39"/>
  <c r="L71" i="39"/>
  <c r="M71" i="39"/>
  <c r="N71" i="39"/>
  <c r="O71" i="39"/>
  <c r="D71" i="39"/>
  <c r="E80" i="39"/>
  <c r="F80" i="39"/>
  <c r="G80" i="39"/>
  <c r="H80" i="39"/>
  <c r="I80" i="39"/>
  <c r="J80" i="39"/>
  <c r="K80" i="39"/>
  <c r="L80" i="39"/>
  <c r="M80" i="39"/>
  <c r="D80" i="39"/>
  <c r="I38" i="39"/>
  <c r="G38" i="39"/>
  <c r="E38" i="39"/>
  <c r="I46" i="39"/>
  <c r="G46" i="39"/>
  <c r="E46"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9" i="86"/>
  <c r="O8" i="86"/>
  <c r="O7" i="86"/>
  <c r="O6" i="86"/>
  <c r="O5" i="86"/>
  <c r="O4" i="86"/>
  <c r="O3" i="86"/>
  <c r="O2" i="86"/>
  <c r="C14" i="3"/>
  <c r="C15" i="3"/>
  <c r="C16" i="3"/>
  <c r="C17" i="3"/>
  <c r="C18" i="3"/>
  <c r="C19" i="3"/>
  <c r="C20" i="3"/>
  <c r="C21" i="3"/>
  <c r="C22" i="3"/>
  <c r="C23" i="3"/>
  <c r="C24" i="3"/>
  <c r="C25" i="3"/>
  <c r="C26" i="3"/>
  <c r="C27" i="3"/>
  <c r="C13" i="3"/>
  <c r="I73" i="85"/>
  <c r="I33" i="85"/>
  <c r="P74" i="84"/>
  <c r="Q72" i="84"/>
  <c r="Q59" i="84"/>
  <c r="K59" i="84"/>
  <c r="P61" i="84"/>
  <c r="F59" i="84"/>
  <c r="Q58" i="84"/>
  <c r="Q51" i="84"/>
  <c r="J51" i="84"/>
  <c r="J50" i="84"/>
  <c r="M47" i="84"/>
  <c r="D46" i="84"/>
  <c r="F33" i="84"/>
  <c r="F61" i="84"/>
  <c r="F31" i="84"/>
  <c r="F23" i="84"/>
  <c r="D24" i="84"/>
  <c r="D23" i="84"/>
  <c r="D22" i="84"/>
  <c r="F21" i="84"/>
  <c r="F20" i="84"/>
  <c r="M19" i="84"/>
  <c r="F18" i="84"/>
  <c r="M17" i="84"/>
  <c r="F17" i="84"/>
  <c r="F15" i="84"/>
  <c r="G1" i="84"/>
  <c r="P74" i="83"/>
  <c r="Q72" i="83"/>
  <c r="Q59" i="83"/>
  <c r="K59" i="83"/>
  <c r="P61" i="83"/>
  <c r="F59" i="83"/>
  <c r="Q58" i="83"/>
  <c r="Q51" i="83"/>
  <c r="J51" i="83"/>
  <c r="J50" i="83"/>
  <c r="M47" i="83"/>
  <c r="D46" i="83"/>
  <c r="F33" i="83"/>
  <c r="F61" i="83"/>
  <c r="F31" i="83"/>
  <c r="F23" i="83"/>
  <c r="D24" i="83"/>
  <c r="D23" i="83"/>
  <c r="D22" i="83"/>
  <c r="F21" i="83"/>
  <c r="F20" i="83"/>
  <c r="M19" i="83"/>
  <c r="F18" i="83"/>
  <c r="M17" i="83"/>
  <c r="F17" i="83"/>
  <c r="F15" i="83"/>
  <c r="G1" i="83"/>
  <c r="Q72" i="82"/>
  <c r="Q59" i="82"/>
  <c r="K59" i="82"/>
  <c r="P74" i="82"/>
  <c r="F59" i="82"/>
  <c r="Q58" i="82"/>
  <c r="Q51" i="82"/>
  <c r="J50" i="82"/>
  <c r="M47" i="82"/>
  <c r="D46" i="82"/>
  <c r="F33" i="82"/>
  <c r="F61" i="82"/>
  <c r="F31" i="82"/>
  <c r="F23" i="82"/>
  <c r="D24" i="82"/>
  <c r="D23" i="82"/>
  <c r="D22" i="82"/>
  <c r="F21" i="82"/>
  <c r="F20" i="82"/>
  <c r="M19" i="82"/>
  <c r="F18" i="82"/>
  <c r="M17" i="82"/>
  <c r="F17" i="82"/>
  <c r="F15" i="82"/>
  <c r="G1" i="82"/>
  <c r="Q72" i="81"/>
  <c r="Q59" i="81"/>
  <c r="K59" i="81"/>
  <c r="P61" i="81"/>
  <c r="F59" i="81"/>
  <c r="Q58" i="81"/>
  <c r="Q51" i="81"/>
  <c r="J50" i="81"/>
  <c r="M47" i="81"/>
  <c r="D46" i="81"/>
  <c r="F33" i="81"/>
  <c r="F61" i="81"/>
  <c r="F31" i="81"/>
  <c r="F23" i="81"/>
  <c r="F21" i="81"/>
  <c r="F20" i="81"/>
  <c r="M19" i="81"/>
  <c r="F18" i="81"/>
  <c r="M17" i="81"/>
  <c r="F17" i="81"/>
  <c r="F15" i="81"/>
  <c r="G1" i="81"/>
  <c r="P74" i="80"/>
  <c r="Q72" i="80"/>
  <c r="Q59" i="80"/>
  <c r="K59" i="80"/>
  <c r="P61" i="80"/>
  <c r="F59" i="80"/>
  <c r="Q58" i="80"/>
  <c r="Q51" i="80"/>
  <c r="J51" i="80"/>
  <c r="J50" i="80"/>
  <c r="M47" i="80"/>
  <c r="D46" i="80"/>
  <c r="F33" i="80"/>
  <c r="F61" i="80"/>
  <c r="F31" i="80"/>
  <c r="F23" i="80"/>
  <c r="D24" i="80"/>
  <c r="D23" i="80"/>
  <c r="D22" i="80"/>
  <c r="F21" i="80"/>
  <c r="F20" i="80"/>
  <c r="M19" i="80"/>
  <c r="F18" i="80"/>
  <c r="M17" i="80"/>
  <c r="F17" i="80"/>
  <c r="F15" i="80"/>
  <c r="G1" i="80"/>
  <c r="Y11" i="1"/>
  <c r="Y7" i="1"/>
  <c r="Y8" i="1"/>
  <c r="Y9" i="1"/>
  <c r="Y10" i="1"/>
  <c r="N7" i="1"/>
  <c r="N8" i="1"/>
  <c r="N9" i="1"/>
  <c r="N10" i="1"/>
  <c r="N11" i="1"/>
  <c r="Y6" i="1"/>
  <c r="N6" i="1"/>
  <c r="C76" i="82"/>
  <c r="C76" i="80"/>
  <c r="M23" i="81"/>
  <c r="M27" i="81"/>
  <c r="C76" i="84"/>
  <c r="C76" i="83"/>
  <c r="Q71" i="84"/>
  <c r="F51" i="84"/>
  <c r="Q71" i="83"/>
  <c r="F51" i="83"/>
  <c r="F65" i="81"/>
  <c r="Q71" i="82"/>
  <c r="D23" i="81"/>
  <c r="D22" i="81"/>
  <c r="D24" i="81"/>
  <c r="J51" i="81"/>
  <c r="P74" i="81"/>
  <c r="P61" i="82"/>
  <c r="J51" i="82"/>
  <c r="Q71" i="80"/>
  <c r="C76" i="81"/>
  <c r="M26" i="83"/>
  <c r="M24" i="84"/>
  <c r="M26" i="80"/>
  <c r="M23" i="82"/>
  <c r="M24" i="82"/>
  <c r="M27" i="80"/>
  <c r="J15" i="81"/>
  <c r="M22" i="83"/>
  <c r="M22" i="80"/>
  <c r="M28" i="83"/>
  <c r="M24" i="80"/>
  <c r="J15" i="84"/>
  <c r="M26" i="82"/>
  <c r="M27" i="83"/>
  <c r="J15" i="80"/>
  <c r="M26" i="84"/>
  <c r="M22" i="82"/>
  <c r="M28" i="80"/>
  <c r="M23" i="83"/>
  <c r="M28" i="81"/>
  <c r="M22" i="81"/>
  <c r="M28" i="84"/>
  <c r="M24" i="83"/>
  <c r="M22" i="84"/>
  <c r="M23" i="80"/>
  <c r="M27" i="82"/>
  <c r="M28" i="82"/>
  <c r="J15" i="83"/>
  <c r="M27" i="84"/>
  <c r="M23" i="84"/>
  <c r="J15" i="82"/>
  <c r="M26" i="81"/>
  <c r="M24" i="81"/>
  <c r="F68" i="84"/>
  <c r="F65" i="84"/>
  <c r="F66" i="84"/>
  <c r="F64" i="84"/>
  <c r="F68" i="83"/>
  <c r="F65" i="83"/>
  <c r="F66" i="83"/>
  <c r="F64" i="83"/>
  <c r="F66" i="82"/>
  <c r="F66" i="81"/>
  <c r="F51" i="82"/>
  <c r="F65" i="82"/>
  <c r="F64" i="81"/>
  <c r="Q71" i="81"/>
  <c r="F68" i="82"/>
  <c r="F64" i="82"/>
  <c r="F51" i="81"/>
  <c r="F68" i="81"/>
  <c r="F68" i="80"/>
  <c r="F65" i="80"/>
  <c r="F51" i="80"/>
  <c r="F66" i="80"/>
  <c r="F64" i="80"/>
  <c r="C24" i="6"/>
  <c r="C23" i="6"/>
  <c r="C22" i="6"/>
  <c r="C21" i="6"/>
  <c r="C20" i="6"/>
  <c r="C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L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L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L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A29" i="3"/>
  <c r="BF29" i="3"/>
  <c r="BG29" i="3"/>
  <c r="BH29" i="3"/>
  <c r="BI29" i="3"/>
  <c r="BJ29" i="3"/>
  <c r="BK29" i="3"/>
  <c r="BM29" i="3"/>
  <c r="BN29" i="3"/>
  <c r="BL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F15" i="78"/>
  <c r="F17" i="78"/>
  <c r="F18" i="78"/>
  <c r="F20" i="78"/>
  <c r="C1" i="73"/>
  <c r="J1" i="73"/>
  <c r="B22" i="1"/>
  <c r="E1" i="73"/>
  <c r="F23" i="78"/>
  <c r="D23" i="78"/>
  <c r="F21" i="78"/>
  <c r="B43" i="1"/>
  <c r="B41" i="1"/>
  <c r="C42" i="1"/>
  <c r="L1" i="73"/>
  <c r="F33" i="78"/>
  <c r="B52" i="1"/>
  <c r="M47" i="78"/>
  <c r="J50" i="78"/>
  <c r="J51" i="78"/>
  <c r="D9" i="1"/>
  <c r="D6" i="1"/>
  <c r="K59" i="78"/>
  <c r="P74" i="78"/>
  <c r="Q72" i="78"/>
  <c r="F61" i="78"/>
  <c r="P61" i="78"/>
  <c r="J53" i="78"/>
  <c r="Q59" i="78"/>
  <c r="B24" i="1"/>
  <c r="F59" i="78"/>
  <c r="Q58" i="78"/>
  <c r="Q52" i="78"/>
  <c r="Q51" i="78"/>
  <c r="D46" i="78"/>
  <c r="F31" i="78"/>
  <c r="AG9" i="1"/>
  <c r="M19" i="78"/>
  <c r="M20" i="78"/>
  <c r="D24" i="78"/>
  <c r="D22" i="78"/>
  <c r="M17" i="78"/>
  <c r="F1" i="78"/>
  <c r="F15" i="77"/>
  <c r="F17" i="77"/>
  <c r="F18" i="77"/>
  <c r="F20" i="77"/>
  <c r="F23" i="77"/>
  <c r="F21" i="77"/>
  <c r="F33" i="77"/>
  <c r="F34" i="77"/>
  <c r="M47" i="77"/>
  <c r="J50" i="77"/>
  <c r="J51" i="77"/>
  <c r="K59" i="77"/>
  <c r="P74" i="77"/>
  <c r="Q72" i="77"/>
  <c r="F61" i="77"/>
  <c r="F62" i="77"/>
  <c r="P61" i="77"/>
  <c r="J53" i="77"/>
  <c r="F1" i="77"/>
  <c r="Q59" i="77"/>
  <c r="F59" i="77"/>
  <c r="Q58" i="77"/>
  <c r="Q52" i="77"/>
  <c r="Q51" i="77"/>
  <c r="D46" i="77"/>
  <c r="F31" i="77"/>
  <c r="M19" i="77"/>
  <c r="D24" i="77"/>
  <c r="D23" i="77"/>
  <c r="D22"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0" i="1"/>
  <c r="D11" i="1"/>
  <c r="D12" i="1"/>
  <c r="D13" i="1"/>
  <c r="D7" i="1"/>
  <c r="D8" i="1"/>
  <c r="B8" i="1"/>
  <c r="E8" i="1"/>
  <c r="A10" i="1"/>
  <c r="G1" i="77"/>
  <c r="A11" i="1"/>
  <c r="A12" i="1"/>
  <c r="A13" i="1"/>
  <c r="F3" i="35"/>
  <c r="B11" i="1"/>
  <c r="E11" i="1"/>
  <c r="B7" i="1"/>
  <c r="E7"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c r="R35" i="4"/>
  <c r="Q35" i="4"/>
  <c r="P35" i="4"/>
  <c r="O35" i="4"/>
  <c r="N35" i="4"/>
  <c r="M35" i="4"/>
  <c r="L35" i="4"/>
  <c r="K34" i="4"/>
  <c r="T34" i="4"/>
  <c r="G13" i="1"/>
  <c r="I15" i="4"/>
  <c r="H15" i="4"/>
  <c r="E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F23" i="15"/>
  <c r="D24" i="15"/>
  <c r="O8" i="1"/>
  <c r="P8" i="1"/>
  <c r="O13" i="1"/>
  <c r="P13" i="1"/>
  <c r="E25" i="6"/>
  <c r="E26" i="6"/>
  <c r="BC10" i="3"/>
  <c r="BD10" i="3"/>
  <c r="BB10" i="3"/>
  <c r="I5" i="3"/>
  <c r="F19" i="6"/>
  <c r="E19" i="6"/>
  <c r="K6" i="1"/>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c r="K7" i="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c r="N5" i="3"/>
  <c r="O5" i="3"/>
  <c r="F22" i="6"/>
  <c r="E22" i="6"/>
  <c r="K9" i="1"/>
  <c r="P5" i="3"/>
  <c r="Q5" i="3"/>
  <c r="F23" i="6"/>
  <c r="E23" i="6"/>
  <c r="R5" i="3"/>
  <c r="S5" i="3"/>
  <c r="F24" i="6"/>
  <c r="E24" i="6"/>
  <c r="K11" i="1"/>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0" i="39"/>
  <c r="W14" i="39"/>
  <c r="W9" i="39"/>
  <c r="W8" i="39"/>
  <c r="J19" i="40"/>
  <c r="AC19" i="40"/>
  <c r="J50" i="40"/>
  <c r="H103" i="9"/>
  <c r="D8" i="53"/>
  <c r="B16" i="53"/>
  <c r="B33" i="72"/>
  <c r="C7" i="37"/>
  <c r="C52" i="37"/>
  <c r="D52" i="37"/>
  <c r="E52" i="37"/>
  <c r="F52" i="37"/>
  <c r="G52" i="37"/>
  <c r="C7" i="34"/>
  <c r="C7" i="36"/>
  <c r="W35" i="40"/>
  <c r="A118" i="9"/>
  <c r="A4" i="52"/>
  <c r="B41"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G29" i="6"/>
  <c r="E29" i="6"/>
  <c r="K15" i="1"/>
  <c r="AC26" i="33"/>
  <c r="W26" i="33"/>
  <c r="W27" i="34"/>
  <c r="AC27" i="34"/>
  <c r="AB34" i="36"/>
  <c r="U34" i="36"/>
  <c r="AB33" i="36"/>
  <c r="U33" i="36"/>
  <c r="AC39" i="40"/>
  <c r="W39" i="40"/>
  <c r="W12" i="33"/>
  <c r="AC12" i="33"/>
  <c r="AA32" i="36"/>
  <c r="S32" i="36"/>
  <c r="AA39" i="34"/>
  <c r="F28" i="6"/>
  <c r="U30" i="33"/>
  <c r="AC13" i="34"/>
  <c r="AA47" i="34"/>
  <c r="W28" i="37"/>
  <c r="F12" i="33"/>
  <c r="H12" i="39"/>
  <c r="AB12" i="39"/>
  <c r="F39" i="40"/>
  <c r="S12" i="1"/>
  <c r="AQ12" i="1"/>
  <c r="R12" i="1"/>
  <c r="B12" i="1"/>
  <c r="E12" i="1"/>
  <c r="B10" i="1"/>
  <c r="E10" i="1"/>
  <c r="D1" i="66"/>
  <c r="E10" i="66"/>
  <c r="K12" i="1"/>
  <c r="M12" i="1"/>
  <c r="O12" i="1"/>
  <c r="P12" i="1"/>
  <c r="S13" i="1"/>
  <c r="AR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J56" i="9"/>
  <c r="J57" i="9"/>
  <c r="J59" i="9"/>
  <c r="J61" i="9"/>
  <c r="A24" i="51"/>
  <c r="B18" i="72"/>
  <c r="U29" i="34"/>
  <c r="E5" i="6"/>
  <c r="D9" i="11"/>
  <c r="C9" i="11"/>
  <c r="P10" i="1"/>
  <c r="E32" i="6"/>
  <c r="L19" i="6"/>
  <c r="G1" i="68"/>
  <c r="K1" i="12"/>
  <c r="AR12" i="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C5"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D58" i="21"/>
  <c r="E58" i="21"/>
  <c r="F58" i="21"/>
  <c r="G58" i="21"/>
  <c r="H58" i="21"/>
  <c r="I58" i="21"/>
  <c r="C7" i="40"/>
  <c r="C63" i="40"/>
  <c r="C65" i="40"/>
  <c r="M47" i="9"/>
  <c r="G19" i="43"/>
  <c r="P23" i="43"/>
  <c r="C46" i="36"/>
  <c r="D46" i="36"/>
  <c r="C59" i="34"/>
  <c r="D59" i="34"/>
  <c r="E59" i="34"/>
  <c r="F59" i="34"/>
  <c r="G59" i="34"/>
  <c r="H59" i="34"/>
  <c r="A4" i="51"/>
  <c r="B6" i="72"/>
  <c r="C48" i="35"/>
  <c r="D48" i="35"/>
  <c r="E48" i="35"/>
  <c r="F48" i="35"/>
  <c r="C4" i="12"/>
  <c r="H62" i="43"/>
  <c r="H66" i="43"/>
  <c r="H61" i="43"/>
  <c r="H65" i="43"/>
  <c r="H60" i="43"/>
  <c r="H64" i="43"/>
  <c r="H59" i="43"/>
  <c r="H63" i="43"/>
  <c r="H67" i="43"/>
  <c r="H55" i="43"/>
  <c r="H51" i="43"/>
  <c r="H56" i="43"/>
  <c r="H76" i="43"/>
  <c r="H72" i="43"/>
  <c r="H77" i="43"/>
  <c r="L20" i="6"/>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D23" i="15"/>
  <c r="E16" i="49"/>
  <c r="J53" i="67"/>
  <c r="O6" i="1"/>
  <c r="P6" i="1"/>
  <c r="P24" i="43"/>
  <c r="B66" i="40"/>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P21" i="43"/>
  <c r="R22" i="31"/>
  <c r="B21" i="31"/>
  <c r="P22" i="43"/>
  <c r="D63" i="40"/>
  <c r="D65"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G39" i="43"/>
  <c r="I39" i="43"/>
  <c r="F1" i="67"/>
  <c r="Q52" i="67"/>
  <c r="AC11" i="37"/>
  <c r="W11" i="37"/>
  <c r="W11" i="34"/>
  <c r="AC11" i="34"/>
  <c r="C13" i="12"/>
  <c r="F34" i="11"/>
  <c r="C36" i="11"/>
  <c r="F11" i="12"/>
  <c r="C23" i="12"/>
  <c r="AG6" i="1"/>
  <c r="J7" i="33"/>
  <c r="W7" i="33"/>
  <c r="F7" i="33"/>
  <c r="S7" i="33"/>
  <c r="H7" i="33"/>
  <c r="AB7" i="33"/>
  <c r="T48" i="33"/>
  <c r="G48" i="33"/>
  <c r="AA7" i="33"/>
  <c r="R48" i="33"/>
  <c r="H112" i="9"/>
  <c r="D21" i="53"/>
  <c r="B39" i="72"/>
  <c r="H111" i="9"/>
  <c r="D126" i="9"/>
  <c r="D59" i="9"/>
  <c r="M55" i="9"/>
  <c r="M23" i="67"/>
  <c r="M8" i="77"/>
  <c r="M21" i="67"/>
  <c r="F35" i="77"/>
  <c r="F26" i="67"/>
  <c r="M24" i="77"/>
  <c r="M29" i="82"/>
  <c r="L48" i="67"/>
  <c r="D6" i="73"/>
  <c r="E7" i="76"/>
  <c r="F26" i="77"/>
  <c r="F37" i="77"/>
  <c r="F13" i="77"/>
  <c r="D2" i="34"/>
  <c r="M28" i="15"/>
  <c r="F43" i="77"/>
  <c r="F5" i="73"/>
  <c r="F8" i="77"/>
  <c r="D2" i="79"/>
  <c r="M9" i="77"/>
  <c r="D2" i="37"/>
  <c r="F42" i="67"/>
  <c r="L47" i="77"/>
  <c r="M29" i="80"/>
  <c r="F13" i="67"/>
  <c r="M27" i="15"/>
  <c r="D4" i="73"/>
  <c r="C76" i="67"/>
  <c r="F7" i="77"/>
  <c r="D3" i="73"/>
  <c r="E2" i="68"/>
  <c r="F9" i="67"/>
  <c r="M26" i="67"/>
  <c r="F20" i="31"/>
  <c r="F6" i="73"/>
  <c r="B7" i="76"/>
  <c r="F6" i="67"/>
  <c r="E12" i="76"/>
  <c r="M23" i="15"/>
  <c r="M29" i="77"/>
  <c r="L47" i="83"/>
  <c r="F38" i="67"/>
  <c r="AO12" i="1"/>
  <c r="F36" i="77"/>
  <c r="D2" i="36"/>
  <c r="AO13" i="1"/>
  <c r="M29" i="67"/>
  <c r="D2" i="35"/>
  <c r="M27" i="67"/>
  <c r="F9" i="77"/>
  <c r="M24" i="67"/>
  <c r="M22" i="15"/>
  <c r="F40" i="77"/>
  <c r="D7" i="73"/>
  <c r="B10" i="76"/>
  <c r="F7" i="67"/>
  <c r="E9" i="76"/>
  <c r="E11" i="76"/>
  <c r="J15" i="67"/>
  <c r="D2" i="21"/>
  <c r="B11" i="76"/>
  <c r="F40" i="67"/>
  <c r="F41" i="67"/>
  <c r="E2" i="69"/>
  <c r="L47" i="81"/>
  <c r="F35" i="67"/>
  <c r="L47" i="80"/>
  <c r="B12" i="76"/>
  <c r="J15" i="77"/>
  <c r="M28" i="77"/>
  <c r="F38" i="77"/>
  <c r="E13" i="76"/>
  <c r="F16" i="67"/>
  <c r="F7" i="73"/>
  <c r="E8" i="76"/>
  <c r="M6" i="67"/>
  <c r="F16" i="77"/>
  <c r="D2" i="33"/>
  <c r="L47" i="84"/>
  <c r="E10" i="76"/>
  <c r="M8" i="67"/>
  <c r="C76" i="77"/>
  <c r="B8" i="76"/>
  <c r="L47" i="82"/>
  <c r="F37" i="67"/>
  <c r="M6" i="77"/>
  <c r="M24" i="15"/>
  <c r="L47" i="15"/>
  <c r="B13" i="76"/>
  <c r="M23" i="77"/>
  <c r="F36" i="67"/>
  <c r="F42" i="77"/>
  <c r="F3" i="73"/>
  <c r="C76" i="15"/>
  <c r="M9" i="67"/>
  <c r="J15" i="15"/>
  <c r="M26" i="15"/>
  <c r="B9" i="76"/>
  <c r="M22" i="77"/>
  <c r="M29" i="81"/>
  <c r="M22" i="67"/>
  <c r="L48" i="77"/>
  <c r="M27" i="77"/>
  <c r="F41" i="77"/>
  <c r="F6" i="77"/>
  <c r="M29" i="84"/>
  <c r="M28" i="67"/>
  <c r="M21" i="77"/>
  <c r="L47" i="67"/>
  <c r="M26" i="77"/>
  <c r="F43" i="67"/>
  <c r="F8" i="67"/>
  <c r="A15" i="62"/>
  <c r="B61" i="72"/>
  <c r="D19" i="53"/>
  <c r="B4" i="49"/>
  <c r="A19" i="51"/>
  <c r="B14" i="72"/>
  <c r="T35" i="4"/>
  <c r="F6" i="1"/>
  <c r="C10" i="39"/>
  <c r="E63" i="40"/>
  <c r="B71" i="39"/>
  <c r="F7" i="1"/>
  <c r="P25" i="43"/>
  <c r="O19" i="43"/>
  <c r="M20" i="43"/>
  <c r="C19" i="43"/>
  <c r="E11" i="49"/>
  <c r="E10" i="49"/>
  <c r="E6" i="49"/>
  <c r="E7" i="49"/>
  <c r="BA27" i="3"/>
  <c r="AZ29" i="3"/>
  <c r="BA30" i="3"/>
  <c r="AZ30" i="3"/>
  <c r="E11" i="6"/>
  <c r="E14" i="6"/>
  <c r="E64" i="39"/>
  <c r="BA25" i="3"/>
  <c r="BA23" i="3"/>
  <c r="BA21" i="3"/>
  <c r="BA19" i="3"/>
  <c r="BA17" i="3"/>
  <c r="BA32" i="3"/>
  <c r="AZ32" i="3"/>
  <c r="BL31" i="3"/>
  <c r="BA31" i="3"/>
  <c r="BA28" i="3"/>
  <c r="AZ28" i="3"/>
  <c r="C36" i="69"/>
  <c r="E21" i="6"/>
  <c r="K8" i="1"/>
  <c r="G5" i="3"/>
  <c r="B3" i="3"/>
  <c r="B8" i="49"/>
  <c r="E5" i="49"/>
  <c r="E8" i="49"/>
  <c r="B9" i="49"/>
  <c r="B16" i="49"/>
  <c r="F27" i="39"/>
  <c r="H27" i="39"/>
  <c r="J27" i="39"/>
  <c r="AC27" i="39"/>
  <c r="G101" i="39"/>
  <c r="AA41" i="39"/>
  <c r="F32" i="39"/>
  <c r="G107" i="39"/>
  <c r="H107" i="39"/>
  <c r="I107" i="39"/>
  <c r="J107" i="39"/>
  <c r="K107" i="39"/>
  <c r="L107" i="39"/>
  <c r="M107" i="39"/>
  <c r="J32" i="39"/>
  <c r="AC32" i="39"/>
  <c r="H32" i="39"/>
  <c r="F95" i="39"/>
  <c r="G95" i="39"/>
  <c r="J21" i="39"/>
  <c r="F21" i="39"/>
  <c r="H21" i="39"/>
  <c r="F91" i="39"/>
  <c r="G91" i="39"/>
  <c r="F17" i="39"/>
  <c r="J17" i="39"/>
  <c r="H17" i="39"/>
  <c r="W29" i="39"/>
  <c r="U29" i="39"/>
  <c r="S29" i="39"/>
  <c r="S42" i="39"/>
  <c r="W42" i="39"/>
  <c r="AB34" i="39"/>
  <c r="S31" i="39"/>
  <c r="S19" i="39"/>
  <c r="AB15" i="39"/>
  <c r="AC15" i="39"/>
  <c r="I14" i="74"/>
  <c r="B8" i="74"/>
  <c r="D127" i="9"/>
  <c r="D13" i="52"/>
  <c r="D12" i="52"/>
  <c r="E8" i="6"/>
  <c r="F27" i="6"/>
  <c r="E12" i="6"/>
  <c r="E57" i="40"/>
  <c r="T13" i="1"/>
  <c r="D9" i="69"/>
  <c r="C9" i="69"/>
  <c r="AQ13" i="1"/>
  <c r="E10" i="6"/>
  <c r="C9" i="68"/>
  <c r="E13" i="6"/>
  <c r="BL27" i="3"/>
  <c r="AZ27" i="3"/>
  <c r="BA26" i="3"/>
  <c r="AZ26" i="3"/>
  <c r="BL25" i="3"/>
  <c r="AZ25" i="3"/>
  <c r="BA24" i="3"/>
  <c r="AZ24" i="3"/>
  <c r="BL23" i="3"/>
  <c r="AZ23" i="3"/>
  <c r="BA22" i="3"/>
  <c r="AZ22" i="3"/>
  <c r="BL21" i="3"/>
  <c r="AZ21" i="3"/>
  <c r="BA20" i="3"/>
  <c r="AZ20" i="3"/>
  <c r="BL19" i="3"/>
  <c r="AZ19" i="3"/>
  <c r="BA18" i="3"/>
  <c r="AZ18" i="3"/>
  <c r="BL17" i="3"/>
  <c r="AZ17" i="3"/>
  <c r="BA16" i="3"/>
  <c r="AZ16" i="3"/>
  <c r="BL15" i="3"/>
  <c r="AZ15" i="3"/>
  <c r="BA14" i="3"/>
  <c r="F71" i="81"/>
  <c r="F50" i="81"/>
  <c r="C49" i="81"/>
  <c r="F50" i="84"/>
  <c r="C49" i="84"/>
  <c r="F71" i="84"/>
  <c r="F50" i="82"/>
  <c r="C49" i="82"/>
  <c r="F71" i="82"/>
  <c r="F50" i="80"/>
  <c r="C49" i="80"/>
  <c r="F71" i="80"/>
  <c r="M7" i="1"/>
  <c r="G30" i="6"/>
  <c r="G31" i="6"/>
  <c r="D19" i="12"/>
  <c r="C19" i="12"/>
  <c r="M11" i="1"/>
  <c r="E15" i="6"/>
  <c r="M9" i="1"/>
  <c r="M6" i="1"/>
  <c r="BL13" i="3"/>
  <c r="M59" i="81"/>
  <c r="L59" i="81"/>
  <c r="N59" i="81"/>
  <c r="L59" i="83"/>
  <c r="N59" i="83"/>
  <c r="M59" i="83"/>
  <c r="N59" i="82"/>
  <c r="M59" i="82"/>
  <c r="L59" i="82"/>
  <c r="L59" i="84"/>
  <c r="N59" i="84"/>
  <c r="M59" i="84"/>
  <c r="N59" i="80"/>
  <c r="L59" i="80"/>
  <c r="M59" i="80"/>
  <c r="C36" i="43"/>
  <c r="E36" i="43"/>
  <c r="C33" i="43"/>
  <c r="G33" i="43"/>
  <c r="I33" i="43"/>
  <c r="C34" i="43"/>
  <c r="G6" i="1"/>
  <c r="F11" i="1"/>
  <c r="F8" i="1"/>
  <c r="F9" i="1"/>
  <c r="G7" i="1"/>
  <c r="F10" i="1"/>
  <c r="W12" i="39"/>
  <c r="AC12" i="39"/>
  <c r="F34" i="83"/>
  <c r="F62" i="83"/>
  <c r="F34" i="81"/>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32" i="81"/>
  <c r="F60" i="81"/>
  <c r="F28" i="81"/>
  <c r="C28" i="81"/>
  <c r="M18" i="81"/>
  <c r="M18" i="80"/>
  <c r="F32" i="78"/>
  <c r="F60" i="78"/>
  <c r="M18" i="78"/>
  <c r="M18" i="77"/>
  <c r="F30" i="68"/>
  <c r="F30" i="11"/>
  <c r="F28" i="67"/>
  <c r="C28" i="67"/>
  <c r="F31" i="12"/>
  <c r="C31" i="12"/>
  <c r="F32" i="67"/>
  <c r="F60" i="67"/>
  <c r="F30" i="69"/>
  <c r="F32" i="15"/>
  <c r="F60" i="15"/>
  <c r="M18" i="15"/>
  <c r="F54" i="9"/>
  <c r="F28" i="78"/>
  <c r="F28" i="77"/>
  <c r="C28" i="77"/>
  <c r="F32" i="77"/>
  <c r="F60" i="77"/>
  <c r="F53" i="9"/>
  <c r="F52" i="9"/>
  <c r="M18" i="67"/>
  <c r="F28" i="15"/>
  <c r="C28" i="15"/>
  <c r="D68" i="9"/>
  <c r="C28" i="78"/>
  <c r="T11" i="43"/>
  <c r="V11" i="43"/>
  <c r="T9" i="43"/>
  <c r="V9" i="43"/>
  <c r="T10" i="43"/>
  <c r="V10" i="43"/>
  <c r="T14" i="43"/>
  <c r="V14" i="43"/>
  <c r="T15" i="43"/>
  <c r="V15" i="43"/>
  <c r="C37" i="43"/>
  <c r="G37" i="43"/>
  <c r="I37" i="43"/>
  <c r="E33" i="43"/>
  <c r="E4" i="49"/>
  <c r="B6" i="49"/>
  <c r="E9" i="49"/>
  <c r="E21" i="49"/>
  <c r="B11" i="49"/>
  <c r="B13" i="49"/>
  <c r="E4" i="4"/>
  <c r="B5" i="62"/>
  <c r="B73" i="72"/>
  <c r="B5" i="49"/>
  <c r="D22" i="15"/>
  <c r="E22" i="49"/>
  <c r="B14" i="49"/>
  <c r="B7" i="49"/>
  <c r="C4" i="4"/>
  <c r="B4" i="62"/>
  <c r="B71" i="72"/>
  <c r="B22" i="49"/>
  <c r="D23" i="67"/>
  <c r="G36" i="43"/>
  <c r="I36" i="43"/>
  <c r="C39" i="43"/>
  <c r="E39" i="43"/>
  <c r="T13" i="43"/>
  <c r="V13" i="43"/>
  <c r="T8" i="43"/>
  <c r="V8" i="43"/>
  <c r="T12" i="43"/>
  <c r="V12" i="43"/>
  <c r="T16" i="43"/>
  <c r="V16" i="43"/>
  <c r="C38" i="43"/>
  <c r="C35" i="43"/>
  <c r="L27" i="6"/>
  <c r="K10" i="1"/>
  <c r="G1" i="78"/>
  <c r="H16" i="1"/>
  <c r="E60" i="40"/>
  <c r="E65" i="39"/>
  <c r="P16" i="1"/>
  <c r="C11" i="12"/>
  <c r="C15" i="12"/>
  <c r="O16" i="1"/>
  <c r="E16" i="6"/>
  <c r="E59" i="40"/>
  <c r="T12" i="1"/>
  <c r="E61" i="39"/>
  <c r="E56" i="40"/>
  <c r="F30" i="6"/>
  <c r="E28" i="6"/>
  <c r="AZ13" i="3"/>
  <c r="BL5" i="3"/>
  <c r="G52" i="33"/>
  <c r="H52" i="33"/>
  <c r="E48" i="33"/>
  <c r="R49" i="33"/>
  <c r="U7" i="33"/>
  <c r="AC7" i="33"/>
  <c r="V48" i="33"/>
  <c r="I48" i="33"/>
  <c r="J58" i="21"/>
  <c r="K58" i="21"/>
  <c r="L58" i="21"/>
  <c r="M58" i="21"/>
  <c r="N58" i="21"/>
  <c r="O58" i="21"/>
  <c r="J7" i="21"/>
  <c r="I59" i="34"/>
  <c r="H52" i="37"/>
  <c r="I52" i="37"/>
  <c r="J52" i="37"/>
  <c r="K52" i="37"/>
  <c r="L52" i="37"/>
  <c r="M52" i="37"/>
  <c r="N52" i="37"/>
  <c r="O52" i="37"/>
  <c r="H7" i="36"/>
  <c r="E46" i="36"/>
  <c r="F46" i="36"/>
  <c r="G46" i="36"/>
  <c r="H46" i="36"/>
  <c r="I46" i="36"/>
  <c r="J46" i="36"/>
  <c r="K46" i="36"/>
  <c r="L46" i="36"/>
  <c r="M46" i="36"/>
  <c r="N46" i="36"/>
  <c r="O46" i="36"/>
  <c r="J7" i="36"/>
  <c r="G48" i="35"/>
  <c r="H48" i="35"/>
  <c r="I48" i="35"/>
  <c r="J48" i="35"/>
  <c r="K48" i="35"/>
  <c r="L48" i="35"/>
  <c r="M48" i="35"/>
  <c r="N48" i="35"/>
  <c r="O48" i="35"/>
  <c r="D68" i="39"/>
  <c r="C70" i="39"/>
  <c r="D58" i="79"/>
  <c r="E58" i="79"/>
  <c r="F58" i="79"/>
  <c r="G58" i="79"/>
  <c r="H58" i="79"/>
  <c r="I58" i="79"/>
  <c r="J58" i="79"/>
  <c r="K58" i="79"/>
  <c r="L58" i="79"/>
  <c r="M58" i="79"/>
  <c r="N58" i="79"/>
  <c r="O58" i="79"/>
  <c r="J7" i="79"/>
  <c r="B20" i="31"/>
  <c r="F69" i="67"/>
  <c r="F63" i="67"/>
  <c r="C62" i="67"/>
  <c r="C34" i="67"/>
  <c r="F66" i="67"/>
  <c r="J20" i="67"/>
  <c r="C6" i="67"/>
  <c r="F50" i="67"/>
  <c r="M7" i="67"/>
  <c r="J6" i="67"/>
  <c r="F65" i="67"/>
  <c r="L56" i="67"/>
  <c r="I54" i="67"/>
  <c r="J57" i="67"/>
  <c r="J55" i="67"/>
  <c r="J58" i="67"/>
  <c r="Q50" i="67"/>
  <c r="F51" i="15"/>
  <c r="N59" i="15"/>
  <c r="L59" i="15"/>
  <c r="M59" i="15"/>
  <c r="L58" i="67"/>
  <c r="N59" i="67"/>
  <c r="M59" i="67"/>
  <c r="L59" i="67"/>
  <c r="F65" i="15"/>
  <c r="F70" i="67"/>
  <c r="F64" i="67"/>
  <c r="F64" i="15"/>
  <c r="B13" i="70"/>
  <c r="B12" i="70"/>
  <c r="E20" i="43"/>
  <c r="J57" i="77"/>
  <c r="J55" i="77"/>
  <c r="J58" i="77"/>
  <c r="Q50" i="77"/>
  <c r="I54" i="77"/>
  <c r="L56" i="77"/>
  <c r="Q71" i="77"/>
  <c r="F69" i="77"/>
  <c r="F66" i="77"/>
  <c r="C34" i="77"/>
  <c r="F63" i="77"/>
  <c r="C62" i="77"/>
  <c r="Q71" i="15"/>
  <c r="F68" i="15"/>
  <c r="C27" i="67"/>
  <c r="F66" i="15"/>
  <c r="F68" i="67"/>
  <c r="F51" i="67"/>
  <c r="Q71" i="67"/>
  <c r="F71" i="67"/>
  <c r="J20" i="77"/>
  <c r="L59" i="77"/>
  <c r="M59" i="77"/>
  <c r="L58" i="77"/>
  <c r="N59" i="77"/>
  <c r="F68" i="77"/>
  <c r="F65" i="77"/>
  <c r="F64" i="77"/>
  <c r="F50" i="77"/>
  <c r="M7" i="77"/>
  <c r="C6" i="77"/>
  <c r="C27" i="77"/>
  <c r="F71" i="77"/>
  <c r="K1" i="73"/>
  <c r="F51" i="77"/>
  <c r="F7" i="78"/>
  <c r="L47" i="78"/>
  <c r="F26" i="78"/>
  <c r="C16" i="77"/>
  <c r="F38" i="78"/>
  <c r="F37" i="78"/>
  <c r="F41" i="78"/>
  <c r="F9" i="78"/>
  <c r="M21" i="78"/>
  <c r="M24" i="78"/>
  <c r="F6" i="78"/>
  <c r="F16" i="78"/>
  <c r="M29" i="78"/>
  <c r="M22" i="78"/>
  <c r="M23" i="78"/>
  <c r="F40" i="78"/>
  <c r="M26" i="78"/>
  <c r="C14" i="78"/>
  <c r="J15" i="78"/>
  <c r="C16" i="67"/>
  <c r="M27" i="78"/>
  <c r="C17" i="67"/>
  <c r="L48" i="78"/>
  <c r="C14" i="67"/>
  <c r="C17" i="77"/>
  <c r="M28" i="78"/>
  <c r="F36" i="78"/>
  <c r="M29" i="83"/>
  <c r="M8" i="78"/>
  <c r="M6" i="78"/>
  <c r="F8" i="78"/>
  <c r="M9" i="78"/>
  <c r="F13" i="78"/>
  <c r="F43" i="78"/>
  <c r="M29" i="15"/>
  <c r="C14" i="77"/>
  <c r="C76" i="78"/>
  <c r="F42" i="78"/>
  <c r="F35" i="78"/>
  <c r="B38" i="72"/>
  <c r="D20" i="53"/>
  <c r="B40" i="72"/>
  <c r="L58" i="81"/>
  <c r="Q60" i="81"/>
  <c r="L56" i="81"/>
  <c r="I54" i="81"/>
  <c r="J57" i="81"/>
  <c r="J55" i="81"/>
  <c r="J58" i="81"/>
  <c r="Q50" i="81"/>
  <c r="J57" i="80"/>
  <c r="J55" i="80"/>
  <c r="J58" i="80"/>
  <c r="Q50" i="80"/>
  <c r="L58" i="80"/>
  <c r="Q60" i="80"/>
  <c r="L56" i="80"/>
  <c r="I54" i="80"/>
  <c r="H7" i="79"/>
  <c r="F7" i="79"/>
  <c r="J7" i="35"/>
  <c r="F7" i="35"/>
  <c r="F7" i="37"/>
  <c r="J7" i="37"/>
  <c r="H7" i="21"/>
  <c r="F7" i="21"/>
  <c r="E37" i="43"/>
  <c r="F63" i="40"/>
  <c r="E65" i="40"/>
  <c r="AZ31" i="3"/>
  <c r="AZ5" i="3"/>
  <c r="F71" i="15"/>
  <c r="F50" i="15"/>
  <c r="C49" i="15"/>
  <c r="M8" i="1"/>
  <c r="A3" i="3"/>
  <c r="I3" i="6"/>
  <c r="W27" i="39"/>
  <c r="U27" i="39"/>
  <c r="AB27" i="39"/>
  <c r="AA27" i="39"/>
  <c r="S27" i="39"/>
  <c r="W32" i="39"/>
  <c r="U32" i="39"/>
  <c r="AB32" i="39"/>
  <c r="AA32" i="39"/>
  <c r="S32" i="39"/>
  <c r="AB21" i="39"/>
  <c r="U21" i="39"/>
  <c r="AC21" i="39"/>
  <c r="W21" i="39"/>
  <c r="S21" i="39"/>
  <c r="AA21" i="39"/>
  <c r="AB17" i="39"/>
  <c r="U17" i="39"/>
  <c r="AA17" i="39"/>
  <c r="S17" i="39"/>
  <c r="W17" i="39"/>
  <c r="AC17" i="39"/>
  <c r="E62" i="39"/>
  <c r="E51" i="40"/>
  <c r="F31" i="6"/>
  <c r="E56" i="39"/>
  <c r="E58" i="40"/>
  <c r="E63" i="39"/>
  <c r="AZ14" i="3"/>
  <c r="BA5" i="3"/>
  <c r="E27" i="6"/>
  <c r="K20" i="6"/>
  <c r="F50" i="83"/>
  <c r="C49" i="83"/>
  <c r="F71" i="83"/>
  <c r="Q74" i="80"/>
  <c r="Q61" i="80"/>
  <c r="Q61" i="84"/>
  <c r="Q74" i="84"/>
  <c r="Q74" i="83"/>
  <c r="Q61" i="83"/>
  <c r="Q61" i="81"/>
  <c r="Q74" i="81"/>
  <c r="Q61" i="82"/>
  <c r="Q74" i="82"/>
  <c r="L58" i="15"/>
  <c r="Q73" i="15"/>
  <c r="L56" i="15"/>
  <c r="I54" i="15"/>
  <c r="J57" i="15"/>
  <c r="J55" i="15"/>
  <c r="J58" i="15"/>
  <c r="Q50" i="15"/>
  <c r="J57" i="83"/>
  <c r="J55" i="83"/>
  <c r="J58" i="83"/>
  <c r="Q50" i="83"/>
  <c r="L56" i="83"/>
  <c r="L58" i="83"/>
  <c r="I54" i="83"/>
  <c r="L58" i="82"/>
  <c r="I54" i="82"/>
  <c r="J57" i="82"/>
  <c r="J55" i="82"/>
  <c r="J58" i="82"/>
  <c r="Q50" i="82"/>
  <c r="L56" i="82"/>
  <c r="J57" i="84"/>
  <c r="J55" i="84"/>
  <c r="J58" i="84"/>
  <c r="Q50" i="84"/>
  <c r="L56" i="84"/>
  <c r="I54" i="84"/>
  <c r="L58" i="84"/>
  <c r="G8" i="1"/>
  <c r="Q52" i="80"/>
  <c r="G10" i="1"/>
  <c r="G9" i="1"/>
  <c r="G11" i="1"/>
  <c r="E34" i="43"/>
  <c r="G34" i="43"/>
  <c r="I34" i="43"/>
  <c r="Q52" i="81"/>
  <c r="Q73" i="81"/>
  <c r="Q73" i="80"/>
  <c r="C48" i="69"/>
  <c r="C30" i="69"/>
  <c r="C30" i="11"/>
  <c r="C48" i="11"/>
  <c r="C30" i="68"/>
  <c r="C48" i="68"/>
  <c r="K4" i="4"/>
  <c r="B46" i="48"/>
  <c r="B4" i="72"/>
  <c r="G38" i="43"/>
  <c r="I38" i="43"/>
  <c r="E38" i="43"/>
  <c r="E35" i="43"/>
  <c r="G35" i="43"/>
  <c r="I35" i="43"/>
  <c r="C12" i="12"/>
  <c r="C27" i="78"/>
  <c r="F51" i="78"/>
  <c r="F64" i="78"/>
  <c r="F65" i="78"/>
  <c r="F66" i="78"/>
  <c r="F69" i="78"/>
  <c r="Q71" i="78"/>
  <c r="J57" i="78"/>
  <c r="J55" i="78"/>
  <c r="J58" i="78"/>
  <c r="Q50" i="78"/>
  <c r="I54" i="78"/>
  <c r="L56" i="78"/>
  <c r="F71" i="78"/>
  <c r="C6" i="78"/>
  <c r="F50" i="78"/>
  <c r="M7" i="78"/>
  <c r="J6" i="78"/>
  <c r="F63" i="78"/>
  <c r="C62" i="78"/>
  <c r="C34" i="78"/>
  <c r="F68" i="78"/>
  <c r="L59" i="78"/>
  <c r="Q74" i="78"/>
  <c r="L58" i="78"/>
  <c r="Q60" i="78"/>
  <c r="M59" i="78"/>
  <c r="N59" i="78"/>
  <c r="J20" i="78"/>
  <c r="M10" i="1"/>
  <c r="Q16" i="1"/>
  <c r="C15" i="78"/>
  <c r="C18" i="78"/>
  <c r="C15" i="77"/>
  <c r="C18" i="77"/>
  <c r="E30" i="6"/>
  <c r="E31" i="6"/>
  <c r="K14" i="1"/>
  <c r="K19" i="6"/>
  <c r="S6" i="1"/>
  <c r="K23" i="6"/>
  <c r="K22" i="6"/>
  <c r="C49" i="77"/>
  <c r="AB7" i="79"/>
  <c r="T48" i="79"/>
  <c r="G48" i="79"/>
  <c r="U7" i="79"/>
  <c r="AC7" i="79"/>
  <c r="V48" i="79"/>
  <c r="I48" i="79"/>
  <c r="W7" i="79"/>
  <c r="D70" i="39"/>
  <c r="E68" i="39"/>
  <c r="H7" i="35"/>
  <c r="F7" i="36"/>
  <c r="H7" i="37"/>
  <c r="J59" i="34"/>
  <c r="AC7" i="21"/>
  <c r="V48" i="21"/>
  <c r="I48" i="21"/>
  <c r="W7" i="21"/>
  <c r="I52" i="33"/>
  <c r="J52" i="33"/>
  <c r="I53" i="33"/>
  <c r="J53" i="33"/>
  <c r="C49" i="33"/>
  <c r="C48" i="33"/>
  <c r="G53" i="33"/>
  <c r="H53" i="33"/>
  <c r="S7" i="79"/>
  <c r="AA7" i="79"/>
  <c r="R48" i="79"/>
  <c r="W7" i="35"/>
  <c r="AC7" i="35"/>
  <c r="V38" i="35"/>
  <c r="I38" i="35"/>
  <c r="AA7" i="35"/>
  <c r="R38" i="35"/>
  <c r="S7" i="35"/>
  <c r="AC7" i="36"/>
  <c r="V36" i="36"/>
  <c r="I36" i="36"/>
  <c r="W7" i="36"/>
  <c r="U7" i="36"/>
  <c r="AB7" i="36"/>
  <c r="T36" i="36"/>
  <c r="G36" i="36"/>
  <c r="AA7" i="37"/>
  <c r="R42" i="37"/>
  <c r="S7" i="37"/>
  <c r="W7" i="37"/>
  <c r="AC7" i="37"/>
  <c r="V42" i="37"/>
  <c r="I42" i="37"/>
  <c r="AB7" i="21"/>
  <c r="T48" i="21"/>
  <c r="G48" i="21"/>
  <c r="U7" i="21"/>
  <c r="S7" i="21"/>
  <c r="AA7" i="21"/>
  <c r="R48" i="21"/>
  <c r="E53" i="33"/>
  <c r="F53" i="33"/>
  <c r="E52" i="33"/>
  <c r="F52" i="33"/>
  <c r="C49" i="67"/>
  <c r="C15" i="67"/>
  <c r="C18" i="67"/>
  <c r="J6" i="77"/>
  <c r="P17" i="43"/>
  <c r="N17" i="43"/>
  <c r="M17" i="43"/>
  <c r="O17" i="43"/>
  <c r="Q60" i="67"/>
  <c r="Q73" i="67"/>
  <c r="Q61" i="15"/>
  <c r="Q74" i="15"/>
  <c r="F11" i="78"/>
  <c r="M11" i="78"/>
  <c r="F11" i="77"/>
  <c r="M11" i="77"/>
  <c r="J10" i="77"/>
  <c r="M11" i="67"/>
  <c r="J10" i="67"/>
  <c r="J5" i="67"/>
  <c r="F11" i="67"/>
  <c r="Q73" i="77"/>
  <c r="Q60" i="77"/>
  <c r="Q74" i="77"/>
  <c r="Q61" i="77"/>
  <c r="Q74" i="67"/>
  <c r="Q61" i="67"/>
  <c r="C16" i="78"/>
  <c r="C17" i="78"/>
  <c r="G63" i="40"/>
  <c r="F65" i="40"/>
  <c r="Q60" i="15"/>
  <c r="K21" i="6"/>
  <c r="K25" i="6"/>
  <c r="M25" i="6"/>
  <c r="I25" i="6"/>
  <c r="S25" i="6"/>
  <c r="K26" i="6"/>
  <c r="M26" i="6"/>
  <c r="I26" i="6"/>
  <c r="S26" i="6"/>
  <c r="K24" i="6"/>
  <c r="AY6" i="3"/>
  <c r="E3" i="6"/>
  <c r="E262" i="3"/>
  <c r="E196" i="3"/>
  <c r="E136" i="3"/>
  <c r="E156" i="3"/>
  <c r="E236" i="3"/>
  <c r="E148" i="3"/>
  <c r="E290"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243" i="3"/>
  <c r="E276"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4"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H6" i="3"/>
  <c r="E16" i="3"/>
  <c r="E536" i="3"/>
  <c r="AK6" i="3"/>
  <c r="E549" i="3"/>
  <c r="E434" i="3"/>
  <c r="E453" i="3"/>
  <c r="E306" i="3"/>
  <c r="E368" i="3"/>
  <c r="E296" i="3"/>
  <c r="E244" i="3"/>
  <c r="I4" i="6"/>
  <c r="G3" i="43"/>
  <c r="Q52" i="15"/>
  <c r="E6" i="70"/>
  <c r="G16" i="1"/>
  <c r="Q73" i="84"/>
  <c r="Q60" i="84"/>
  <c r="Q52" i="84"/>
  <c r="Q52" i="82"/>
  <c r="Q60" i="82"/>
  <c r="Q73" i="82"/>
  <c r="Q52" i="83"/>
  <c r="Q73" i="83"/>
  <c r="Q60" i="83"/>
  <c r="J24" i="84"/>
  <c r="J18" i="84"/>
  <c r="C53" i="84"/>
  <c r="C48" i="84"/>
  <c r="C53" i="83"/>
  <c r="C48" i="83"/>
  <c r="J24" i="81"/>
  <c r="J18" i="81"/>
  <c r="J24" i="82"/>
  <c r="J18" i="82"/>
  <c r="C53" i="81"/>
  <c r="C48" i="81"/>
  <c r="C53" i="82"/>
  <c r="C48" i="82"/>
  <c r="J24" i="80"/>
  <c r="J18" i="80"/>
  <c r="C53" i="80"/>
  <c r="C48" i="80"/>
  <c r="Q73" i="78"/>
  <c r="C49" i="78"/>
  <c r="Q61" i="78"/>
  <c r="J10" i="78"/>
  <c r="J5" i="78"/>
  <c r="J24" i="78"/>
  <c r="M22" i="6"/>
  <c r="I22" i="6"/>
  <c r="S22" i="6"/>
  <c r="S9" i="1"/>
  <c r="M23" i="6"/>
  <c r="I23" i="6"/>
  <c r="S23" i="6"/>
  <c r="S10" i="1"/>
  <c r="T6" i="1"/>
  <c r="AR6" i="1"/>
  <c r="AQ6" i="1"/>
  <c r="M20" i="6"/>
  <c r="I20" i="6"/>
  <c r="S20" i="6"/>
  <c r="S7" i="1"/>
  <c r="M21" i="6"/>
  <c r="I21" i="6"/>
  <c r="S21" i="6"/>
  <c r="S8" i="1"/>
  <c r="M24" i="6"/>
  <c r="I24" i="6"/>
  <c r="S24" i="6"/>
  <c r="S11" i="1"/>
  <c r="C19" i="77"/>
  <c r="C20" i="77"/>
  <c r="C26" i="77"/>
  <c r="F27" i="69"/>
  <c r="F27" i="11"/>
  <c r="F28" i="12"/>
  <c r="C29" i="12"/>
  <c r="D28" i="12"/>
  <c r="C19" i="78"/>
  <c r="C20" i="78"/>
  <c r="C26" i="78"/>
  <c r="D3" i="6"/>
  <c r="E66" i="39"/>
  <c r="AY87" i="3"/>
  <c r="AY83" i="3"/>
  <c r="AY51" i="3"/>
  <c r="AY66" i="3"/>
  <c r="AY34" i="3"/>
  <c r="AY2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91" i="3"/>
  <c r="AY475" i="3"/>
  <c r="AY488" i="3"/>
  <c r="AY472" i="3"/>
  <c r="AY457" i="3"/>
  <c r="AY462" i="3"/>
  <c r="AY446" i="3"/>
  <c r="AY430" i="3"/>
  <c r="AY414" i="3"/>
  <c r="AY398" i="3"/>
  <c r="AY427" i="3"/>
  <c r="AY411" i="3"/>
  <c r="AY581" i="3"/>
  <c r="BQ6" i="3"/>
  <c r="BM6" i="3"/>
  <c r="AY585" i="3"/>
  <c r="AY561" i="3"/>
  <c r="AY534" i="3"/>
  <c r="BF6" i="3"/>
  <c r="AY571" i="3"/>
  <c r="AY53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N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K16" i="1"/>
  <c r="M14" i="1"/>
  <c r="C34" i="69"/>
  <c r="D3" i="79"/>
  <c r="M18" i="9"/>
  <c r="B118" i="9"/>
  <c r="B14" i="74"/>
  <c r="D3" i="21"/>
  <c r="E6" i="6"/>
  <c r="C17" i="4"/>
  <c r="B4" i="52"/>
  <c r="B43" i="72"/>
  <c r="L18" i="9"/>
  <c r="D3" i="37"/>
  <c r="D3" i="34"/>
  <c r="D3" i="33"/>
  <c r="B2" i="33"/>
  <c r="B3" i="33"/>
  <c r="D19" i="11"/>
  <c r="D37" i="11"/>
  <c r="C37" i="11"/>
  <c r="D14" i="12"/>
  <c r="G52" i="21"/>
  <c r="H52" i="21"/>
  <c r="G53" i="21"/>
  <c r="H53" i="21"/>
  <c r="E42" i="37"/>
  <c r="R43" i="37"/>
  <c r="I40" i="36"/>
  <c r="J40" i="36"/>
  <c r="E38" i="35"/>
  <c r="R39" i="35"/>
  <c r="R49" i="21"/>
  <c r="E48" i="21"/>
  <c r="I47" i="37"/>
  <c r="J47" i="37"/>
  <c r="I46" i="37"/>
  <c r="J46" i="37"/>
  <c r="G40" i="36"/>
  <c r="H40" i="36"/>
  <c r="G41" i="36"/>
  <c r="H41" i="36"/>
  <c r="I42" i="35"/>
  <c r="J42" i="35"/>
  <c r="I43" i="35"/>
  <c r="J43" i="35"/>
  <c r="K59" i="34"/>
  <c r="S7" i="36"/>
  <c r="AA7" i="36"/>
  <c r="R36" i="36"/>
  <c r="F68" i="39"/>
  <c r="E70" i="39"/>
  <c r="E48" i="79"/>
  <c r="R49" i="79"/>
  <c r="I52" i="21"/>
  <c r="J52" i="21"/>
  <c r="U7" i="37"/>
  <c r="AB7" i="37"/>
  <c r="T42" i="37"/>
  <c r="G42" i="37"/>
  <c r="U7" i="35"/>
  <c r="AB7" i="35"/>
  <c r="T38" i="35"/>
  <c r="G38" i="35"/>
  <c r="I53" i="79"/>
  <c r="J53" i="79"/>
  <c r="I52" i="79"/>
  <c r="J52" i="79"/>
  <c r="G53" i="79"/>
  <c r="H53" i="79"/>
  <c r="G52" i="79"/>
  <c r="H52" i="79"/>
  <c r="C19" i="67"/>
  <c r="C20" i="67"/>
  <c r="C26" i="67"/>
  <c r="J24" i="67"/>
  <c r="J26" i="67"/>
  <c r="J29" i="67"/>
  <c r="J18" i="67"/>
  <c r="C53" i="15"/>
  <c r="C48" i="15"/>
  <c r="C53" i="67"/>
  <c r="C48" i="67"/>
  <c r="C10" i="67"/>
  <c r="C5" i="67"/>
  <c r="C10" i="77"/>
  <c r="C5" i="77"/>
  <c r="C53" i="77"/>
  <c r="C48" i="77"/>
  <c r="C10" i="78"/>
  <c r="C5" i="78"/>
  <c r="C53" i="78"/>
  <c r="J5" i="77"/>
  <c r="F24" i="77"/>
  <c r="C24" i="77"/>
  <c r="F24" i="78"/>
  <c r="C24" i="78"/>
  <c r="F22" i="11"/>
  <c r="F22" i="69"/>
  <c r="F25" i="12"/>
  <c r="F24" i="67"/>
  <c r="C24" i="67"/>
  <c r="J24" i="15"/>
  <c r="J24" i="83"/>
  <c r="J18" i="83"/>
  <c r="J18" i="15"/>
  <c r="G65" i="40"/>
  <c r="H63" i="40"/>
  <c r="H101" i="43"/>
  <c r="J22" i="43"/>
  <c r="B113" i="43"/>
  <c r="E22" i="43"/>
  <c r="N104" i="46"/>
  <c r="D101" i="43"/>
  <c r="G22" i="43"/>
  <c r="K101" i="43"/>
  <c r="G101" i="43"/>
  <c r="H22" i="43"/>
  <c r="M101" i="43"/>
  <c r="AJ11" i="43"/>
  <c r="AJ13" i="43"/>
  <c r="AF11" i="43"/>
  <c r="AF13" i="43"/>
  <c r="AB11" i="43"/>
  <c r="AB13" i="43"/>
  <c r="Z7" i="43"/>
  <c r="AG11" i="43"/>
  <c r="AG13" i="43"/>
  <c r="AC11" i="43"/>
  <c r="AC13" i="43"/>
  <c r="Y11" i="43"/>
  <c r="Y13" i="43"/>
  <c r="F101" i="43"/>
  <c r="C101" i="43"/>
  <c r="L101" i="43"/>
  <c r="I101" i="43"/>
  <c r="F22" i="43"/>
  <c r="N101" i="43"/>
  <c r="J101" i="43"/>
  <c r="E101" i="43"/>
  <c r="AH11" i="43"/>
  <c r="AH13" i="43"/>
  <c r="AD11" i="43"/>
  <c r="AD13" i="43"/>
  <c r="Z11" i="43"/>
  <c r="Z13" i="43"/>
  <c r="AI11" i="43"/>
  <c r="AI13" i="43"/>
  <c r="AE11" i="43"/>
  <c r="AE13" i="43"/>
  <c r="AA11" i="43"/>
  <c r="AA13" i="43"/>
  <c r="AC6" i="3"/>
  <c r="E6" i="3"/>
  <c r="F69" i="80"/>
  <c r="F69" i="81"/>
  <c r="C48" i="78"/>
  <c r="C60" i="78"/>
  <c r="J26" i="78"/>
  <c r="J29" i="78"/>
  <c r="S16" i="1"/>
  <c r="E11" i="70"/>
  <c r="E8" i="70"/>
  <c r="E7" i="70"/>
  <c r="E10" i="70"/>
  <c r="E9" i="70"/>
  <c r="H10" i="40"/>
  <c r="J10" i="39"/>
  <c r="F10" i="40"/>
  <c r="F10" i="39"/>
  <c r="H10" i="39"/>
  <c r="J10" i="40"/>
  <c r="J18" i="78"/>
  <c r="C66" i="84"/>
  <c r="C60" i="84"/>
  <c r="C66" i="83"/>
  <c r="C60" i="83"/>
  <c r="C66" i="82"/>
  <c r="C60" i="82"/>
  <c r="C66" i="81"/>
  <c r="C60" i="81"/>
  <c r="C66" i="80"/>
  <c r="C60" i="80"/>
  <c r="AQ11" i="1"/>
  <c r="AR11" i="1"/>
  <c r="T11" i="1"/>
  <c r="AR8" i="1"/>
  <c r="AQ8" i="1"/>
  <c r="T8" i="1"/>
  <c r="AQ7" i="1"/>
  <c r="AR7" i="1"/>
  <c r="T7" i="1"/>
  <c r="T10" i="1"/>
  <c r="AR10" i="1"/>
  <c r="AQ10" i="1"/>
  <c r="T9" i="1"/>
  <c r="AQ9" i="1"/>
  <c r="AR9" i="1"/>
  <c r="C47" i="11"/>
  <c r="D45" i="11"/>
  <c r="C29" i="11"/>
  <c r="D27" i="11"/>
  <c r="C47" i="69"/>
  <c r="D45" i="69"/>
  <c r="C29" i="69"/>
  <c r="D27" i="69"/>
  <c r="D17" i="12"/>
  <c r="C14" i="12"/>
  <c r="C16" i="12"/>
  <c r="D10" i="11"/>
  <c r="C10" i="11"/>
  <c r="D20" i="12"/>
  <c r="C20" i="12"/>
  <c r="D10" i="69"/>
  <c r="C35" i="69"/>
  <c r="C38" i="69"/>
  <c r="I19" i="6"/>
  <c r="M27" i="6"/>
  <c r="M19" i="9"/>
  <c r="C118" i="9"/>
  <c r="C14" i="74"/>
  <c r="D25" i="6"/>
  <c r="D15" i="6"/>
  <c r="D22" i="6"/>
  <c r="D21" i="6"/>
  <c r="D24" i="6"/>
  <c r="D20" i="6"/>
  <c r="D6" i="6"/>
  <c r="D9" i="6"/>
  <c r="D10" i="6"/>
  <c r="L19" i="9"/>
  <c r="D29" i="6"/>
  <c r="H25" i="6"/>
  <c r="H22" i="6"/>
  <c r="H21" i="6"/>
  <c r="H24" i="6"/>
  <c r="H19" i="6"/>
  <c r="H20" i="6"/>
  <c r="D19" i="6"/>
  <c r="D26" i="6"/>
  <c r="C18" i="4"/>
  <c r="D8" i="6"/>
  <c r="D23" i="6"/>
  <c r="D14" i="6"/>
  <c r="D5" i="6"/>
  <c r="D12" i="6"/>
  <c r="D11" i="6"/>
  <c r="D13" i="6"/>
  <c r="D28" i="6"/>
  <c r="E61" i="40"/>
  <c r="H23" i="6"/>
  <c r="H26" i="6"/>
  <c r="C8" i="74"/>
  <c r="M16" i="1"/>
  <c r="E52" i="21"/>
  <c r="F52" i="21"/>
  <c r="E53" i="21"/>
  <c r="F53" i="21"/>
  <c r="C38" i="35"/>
  <c r="C39" i="35"/>
  <c r="B2" i="35"/>
  <c r="B3" i="35"/>
  <c r="C42" i="37"/>
  <c r="C43" i="37"/>
  <c r="B2" i="37"/>
  <c r="B3" i="37"/>
  <c r="I53" i="21"/>
  <c r="J53" i="21"/>
  <c r="E53" i="79"/>
  <c r="F53" i="79"/>
  <c r="E52" i="79"/>
  <c r="F52" i="79"/>
  <c r="G68" i="39"/>
  <c r="F70" i="39"/>
  <c r="L59" i="34"/>
  <c r="C49" i="21"/>
  <c r="B2" i="21"/>
  <c r="B3" i="21"/>
  <c r="C48" i="21"/>
  <c r="E42" i="35"/>
  <c r="F42" i="35"/>
  <c r="E43" i="35"/>
  <c r="F43" i="35"/>
  <c r="E46" i="37"/>
  <c r="F46" i="37"/>
  <c r="E47" i="37"/>
  <c r="F47" i="37"/>
  <c r="G42" i="35"/>
  <c r="H42" i="35"/>
  <c r="G43" i="35"/>
  <c r="H43" i="35"/>
  <c r="G46" i="37"/>
  <c r="H46" i="37"/>
  <c r="G47" i="37"/>
  <c r="H47" i="37"/>
  <c r="C49" i="79"/>
  <c r="B2" i="79"/>
  <c r="B3" i="79"/>
  <c r="C48" i="79"/>
  <c r="E36" i="36"/>
  <c r="R37" i="36"/>
  <c r="C23" i="78"/>
  <c r="C29" i="78"/>
  <c r="C33" i="78"/>
  <c r="J18" i="77"/>
  <c r="J26" i="77"/>
  <c r="J29" i="77"/>
  <c r="J24" i="77"/>
  <c r="C38" i="77"/>
  <c r="C32" i="77"/>
  <c r="C23" i="67"/>
  <c r="C29" i="67"/>
  <c r="C23" i="77"/>
  <c r="C29" i="77"/>
  <c r="C60" i="15"/>
  <c r="C66" i="15"/>
  <c r="C26" i="12"/>
  <c r="D25" i="12"/>
  <c r="C44" i="11"/>
  <c r="D41" i="11"/>
  <c r="C23" i="11"/>
  <c r="C26" i="11"/>
  <c r="D22" i="11"/>
  <c r="C60" i="77"/>
  <c r="C66" i="77"/>
  <c r="C32" i="67"/>
  <c r="C38" i="67"/>
  <c r="C26" i="69"/>
  <c r="D22" i="69"/>
  <c r="C44" i="69"/>
  <c r="D41" i="69"/>
  <c r="C32" i="78"/>
  <c r="C38" i="78"/>
  <c r="C60" i="67"/>
  <c r="C66" i="67"/>
  <c r="H65" i="40"/>
  <c r="I63" i="40"/>
  <c r="F69" i="15"/>
  <c r="K103" i="43"/>
  <c r="K104" i="43"/>
  <c r="K109" i="43"/>
  <c r="K105" i="43"/>
  <c r="K107" i="43"/>
  <c r="K106" i="43"/>
  <c r="K102" i="43"/>
  <c r="D109" i="43"/>
  <c r="D104" i="43"/>
  <c r="D105" i="43"/>
  <c r="D102" i="43"/>
  <c r="D103" i="43"/>
  <c r="D107" i="43"/>
  <c r="D106" i="43"/>
  <c r="D22" i="43"/>
  <c r="E109" i="43"/>
  <c r="E105" i="43"/>
  <c r="E106" i="43"/>
  <c r="E103" i="43"/>
  <c r="E104" i="43"/>
  <c r="E102" i="43"/>
  <c r="E107" i="43"/>
  <c r="N103" i="43"/>
  <c r="N107" i="43"/>
  <c r="N105" i="43"/>
  <c r="N102" i="43"/>
  <c r="N106" i="43"/>
  <c r="N109" i="43"/>
  <c r="N104" i="43"/>
  <c r="I102" i="43"/>
  <c r="I103" i="43"/>
  <c r="I107" i="43"/>
  <c r="I109" i="43"/>
  <c r="I106" i="43"/>
  <c r="I104" i="43"/>
  <c r="I105" i="43"/>
  <c r="C104" i="43"/>
  <c r="C102" i="43"/>
  <c r="C107" i="43"/>
  <c r="C109" i="43"/>
  <c r="C105" i="43"/>
  <c r="C106" i="43"/>
  <c r="C103" i="43"/>
  <c r="J104" i="43"/>
  <c r="J103" i="43"/>
  <c r="J109" i="43"/>
  <c r="J102" i="43"/>
  <c r="J105" i="43"/>
  <c r="J106" i="43"/>
  <c r="J107" i="43"/>
  <c r="L105" i="43"/>
  <c r="L104" i="43"/>
  <c r="L102" i="43"/>
  <c r="L109" i="43"/>
  <c r="L103" i="43"/>
  <c r="L106" i="43"/>
  <c r="L107" i="43"/>
  <c r="F107" i="43"/>
  <c r="F103" i="43"/>
  <c r="F102" i="43"/>
  <c r="F104" i="43"/>
  <c r="F106" i="43"/>
  <c r="F109" i="43"/>
  <c r="F105" i="43"/>
  <c r="M105" i="43"/>
  <c r="M107" i="43"/>
  <c r="M102" i="43"/>
  <c r="M106" i="43"/>
  <c r="M104" i="43"/>
  <c r="M109" i="43"/>
  <c r="M103" i="43"/>
  <c r="G103" i="43"/>
  <c r="G107" i="43"/>
  <c r="G106" i="43"/>
  <c r="G105" i="43"/>
  <c r="G102" i="43"/>
  <c r="G104" i="43"/>
  <c r="G109" i="43"/>
  <c r="B115" i="43"/>
  <c r="C115" i="43"/>
  <c r="I118" i="43"/>
  <c r="J118" i="43"/>
  <c r="K118" i="43"/>
  <c r="L118" i="43"/>
  <c r="M118" i="43"/>
  <c r="D118" i="43"/>
  <c r="E118" i="43"/>
  <c r="F118" i="43"/>
  <c r="I117" i="43"/>
  <c r="J117" i="43"/>
  <c r="K117" i="43"/>
  <c r="L117" i="43"/>
  <c r="M117" i="43"/>
  <c r="I116" i="43"/>
  <c r="J116" i="43"/>
  <c r="K116" i="43"/>
  <c r="L116" i="43"/>
  <c r="M116" i="43"/>
  <c r="I115" i="43"/>
  <c r="J115" i="43"/>
  <c r="K115" i="43"/>
  <c r="L115" i="43"/>
  <c r="M115" i="43"/>
  <c r="B118" i="43"/>
  <c r="C118" i="43"/>
  <c r="D117" i="43"/>
  <c r="E117" i="43"/>
  <c r="F117" i="43"/>
  <c r="G117" i="43"/>
  <c r="H117" i="43"/>
  <c r="D116" i="43"/>
  <c r="E116" i="43"/>
  <c r="F116" i="43"/>
  <c r="G116" i="43"/>
  <c r="H116" i="43"/>
  <c r="B116" i="43"/>
  <c r="C116" i="43"/>
  <c r="B117" i="43"/>
  <c r="C117" i="43"/>
  <c r="D115" i="43"/>
  <c r="E115" i="43"/>
  <c r="F115" i="43"/>
  <c r="G115" i="43"/>
  <c r="H115" i="43"/>
  <c r="G118" i="43"/>
  <c r="H118" i="43"/>
  <c r="H106" i="43"/>
  <c r="H103" i="43"/>
  <c r="H104" i="43"/>
  <c r="H105" i="43"/>
  <c r="H107" i="43"/>
  <c r="H102" i="43"/>
  <c r="H109" i="43"/>
  <c r="C66" i="78"/>
  <c r="F69" i="82"/>
  <c r="F69" i="84"/>
  <c r="F69" i="83"/>
  <c r="C13" i="78"/>
  <c r="C37" i="78"/>
  <c r="D30" i="6"/>
  <c r="E2" i="70"/>
  <c r="D16" i="6"/>
  <c r="H27" i="6"/>
  <c r="AC10" i="40"/>
  <c r="W10" i="40"/>
  <c r="S10" i="39"/>
  <c r="AA10" i="39"/>
  <c r="W10" i="39"/>
  <c r="AC10" i="39"/>
  <c r="AB10" i="39"/>
  <c r="U10" i="39"/>
  <c r="AA10" i="40"/>
  <c r="S10" i="40"/>
  <c r="AB10" i="40"/>
  <c r="U10" i="40"/>
  <c r="J59" i="83"/>
  <c r="J59" i="80"/>
  <c r="T16" i="1"/>
  <c r="R20" i="6"/>
  <c r="R23" i="6"/>
  <c r="A7" i="51"/>
  <c r="B7" i="72"/>
  <c r="C4" i="52"/>
  <c r="B45" i="72"/>
  <c r="A10" i="51"/>
  <c r="B9" i="72"/>
  <c r="D27" i="6"/>
  <c r="D31" i="6"/>
  <c r="R19" i="6"/>
  <c r="R21" i="6"/>
  <c r="D8" i="74"/>
  <c r="S19" i="6"/>
  <c r="S27" i="6"/>
  <c r="I27" i="6"/>
  <c r="C10" i="69"/>
  <c r="C8" i="69"/>
  <c r="C5" i="69"/>
  <c r="C23" i="69"/>
  <c r="D19" i="69"/>
  <c r="C34" i="11"/>
  <c r="N16" i="1"/>
  <c r="L16" i="1"/>
  <c r="R26" i="6"/>
  <c r="R24" i="6"/>
  <c r="R22" i="6"/>
  <c r="R25" i="6"/>
  <c r="C37" i="36"/>
  <c r="B2" i="36"/>
  <c r="B3" i="36"/>
  <c r="C36" i="36"/>
  <c r="E41" i="36"/>
  <c r="F41" i="36"/>
  <c r="E40" i="36"/>
  <c r="F40" i="36"/>
  <c r="I41" i="36"/>
  <c r="J41" i="36"/>
  <c r="M59" i="34"/>
  <c r="H68" i="39"/>
  <c r="G70" i="39"/>
  <c r="C57" i="78"/>
  <c r="C61" i="78"/>
  <c r="C59" i="78"/>
  <c r="J19" i="78"/>
  <c r="J17" i="78"/>
  <c r="J14" i="78"/>
  <c r="J22" i="78"/>
  <c r="C31" i="78"/>
  <c r="J59" i="78"/>
  <c r="J60" i="78"/>
  <c r="Q48" i="78"/>
  <c r="Q49" i="78"/>
  <c r="C36" i="78"/>
  <c r="J59" i="15"/>
  <c r="Q49" i="67"/>
  <c r="J14" i="67"/>
  <c r="C13" i="67"/>
  <c r="J19" i="67"/>
  <c r="J17" i="67"/>
  <c r="C36" i="67"/>
  <c r="C33" i="67"/>
  <c r="C31" i="67"/>
  <c r="C57" i="67"/>
  <c r="J59" i="67"/>
  <c r="J60" i="67"/>
  <c r="C13" i="77"/>
  <c r="C57" i="77"/>
  <c r="J19" i="77"/>
  <c r="J17" i="77"/>
  <c r="C33" i="77"/>
  <c r="C31" i="77"/>
  <c r="C36" i="77"/>
  <c r="Q49" i="77"/>
  <c r="J14" i="77"/>
  <c r="J59" i="77"/>
  <c r="J60" i="77"/>
  <c r="M21" i="15"/>
  <c r="M21" i="83"/>
  <c r="M21" i="84"/>
  <c r="M21" i="82"/>
  <c r="M21" i="81"/>
  <c r="I65" i="40"/>
  <c r="J63" i="40"/>
  <c r="C23" i="43"/>
  <c r="C21" i="43"/>
  <c r="S5" i="43"/>
  <c r="T5" i="43"/>
  <c r="V5" i="43"/>
  <c r="S2" i="43"/>
  <c r="T2" i="43"/>
  <c r="V2" i="43"/>
  <c r="S7" i="43"/>
  <c r="T7" i="43"/>
  <c r="V7" i="43"/>
  <c r="S4" i="43"/>
  <c r="T4" i="43"/>
  <c r="V4" i="43"/>
  <c r="S3" i="43"/>
  <c r="T3" i="43"/>
  <c r="V3" i="43"/>
  <c r="S6" i="43"/>
  <c r="T6" i="43"/>
  <c r="V6" i="43"/>
  <c r="D113" i="43"/>
  <c r="C75" i="78"/>
  <c r="C56" i="78"/>
  <c r="C65" i="78"/>
  <c r="C57" i="80"/>
  <c r="C64" i="80"/>
  <c r="Q70" i="78"/>
  <c r="F63" i="15"/>
  <c r="C62" i="15"/>
  <c r="J20" i="15"/>
  <c r="F63" i="82"/>
  <c r="C62" i="82"/>
  <c r="J20" i="82"/>
  <c r="J20" i="83"/>
  <c r="F63" i="83"/>
  <c r="C62" i="83"/>
  <c r="F63" i="84"/>
  <c r="C62" i="84"/>
  <c r="J20" i="84"/>
  <c r="J20" i="81"/>
  <c r="F63" i="81"/>
  <c r="C62" i="81"/>
  <c r="J59" i="84"/>
  <c r="Q48" i="83"/>
  <c r="J59" i="82"/>
  <c r="J59" i="81"/>
  <c r="Q48" i="80"/>
  <c r="R27" i="6"/>
  <c r="C35" i="11"/>
  <c r="C38" i="11"/>
  <c r="D37" i="69"/>
  <c r="C37" i="69"/>
  <c r="C33" i="69"/>
  <c r="F50" i="11"/>
  <c r="F50" i="68"/>
  <c r="F50" i="69"/>
  <c r="I6" i="6"/>
  <c r="I5" i="6"/>
  <c r="C11" i="39"/>
  <c r="J13" i="78"/>
  <c r="J23" i="78"/>
  <c r="J16" i="78"/>
  <c r="J25" i="78"/>
  <c r="I68" i="39"/>
  <c r="H70" i="39"/>
  <c r="N59" i="34"/>
  <c r="O59" i="34"/>
  <c r="H7" i="34"/>
  <c r="C64" i="78"/>
  <c r="C58" i="78"/>
  <c r="C67" i="78"/>
  <c r="C68" i="78"/>
  <c r="C71" i="78"/>
  <c r="L46" i="78"/>
  <c r="C30" i="78"/>
  <c r="C39" i="78"/>
  <c r="C40" i="78"/>
  <c r="J22" i="77"/>
  <c r="J13" i="77"/>
  <c r="J23" i="77"/>
  <c r="C37" i="77"/>
  <c r="C30" i="77"/>
  <c r="C39" i="77"/>
  <c r="C75" i="77"/>
  <c r="Q70" i="77"/>
  <c r="C56" i="77"/>
  <c r="C65" i="77"/>
  <c r="C61" i="67"/>
  <c r="C59" i="67"/>
  <c r="C64" i="67"/>
  <c r="Q70" i="67"/>
  <c r="C56" i="67"/>
  <c r="C65" i="67"/>
  <c r="C37" i="67"/>
  <c r="C30" i="67"/>
  <c r="C39" i="67"/>
  <c r="C75" i="67"/>
  <c r="Q48" i="15"/>
  <c r="Q48" i="77"/>
  <c r="L46" i="77"/>
  <c r="C61" i="77"/>
  <c r="C59" i="77"/>
  <c r="C64" i="77"/>
  <c r="Q48" i="67"/>
  <c r="L46" i="67"/>
  <c r="J22" i="67"/>
  <c r="J13" i="67"/>
  <c r="J23" i="67"/>
  <c r="L51" i="78"/>
  <c r="M21" i="80"/>
  <c r="F7" i="34"/>
  <c r="S7" i="34"/>
  <c r="J7" i="34"/>
  <c r="K63" i="40"/>
  <c r="J65" i="40"/>
  <c r="J14" i="80"/>
  <c r="J13" i="80"/>
  <c r="J23" i="80"/>
  <c r="C29" i="43"/>
  <c r="F11" i="39"/>
  <c r="H11" i="39"/>
  <c r="J11" i="39"/>
  <c r="C61" i="80"/>
  <c r="C75" i="80"/>
  <c r="J19" i="80"/>
  <c r="Q49" i="80"/>
  <c r="J14" i="83"/>
  <c r="F63" i="80"/>
  <c r="C62" i="80"/>
  <c r="J20" i="80"/>
  <c r="R16" i="1"/>
  <c r="Q48" i="84"/>
  <c r="Q48" i="81"/>
  <c r="Q48" i="82"/>
  <c r="C33" i="11"/>
  <c r="C42" i="11"/>
  <c r="C39" i="69"/>
  <c r="C43" i="69"/>
  <c r="C42" i="69"/>
  <c r="AA7" i="34"/>
  <c r="R49" i="34"/>
  <c r="AB7" i="34"/>
  <c r="T49" i="34"/>
  <c r="G49" i="34"/>
  <c r="U7" i="34"/>
  <c r="J68" i="39"/>
  <c r="I70" i="39"/>
  <c r="W7" i="34"/>
  <c r="AC7" i="34"/>
  <c r="V49" i="34"/>
  <c r="I49" i="34"/>
  <c r="C80" i="78"/>
  <c r="C79" i="78"/>
  <c r="J16" i="77"/>
  <c r="J25" i="77"/>
  <c r="J16" i="67"/>
  <c r="J25" i="67"/>
  <c r="Q69" i="78"/>
  <c r="Q68" i="78"/>
  <c r="Q67" i="78"/>
  <c r="L57" i="78"/>
  <c r="L60" i="78"/>
  <c r="C40" i="77"/>
  <c r="Q69" i="77"/>
  <c r="Q68" i="77"/>
  <c r="Q65" i="78"/>
  <c r="Q56" i="78"/>
  <c r="Q47" i="78"/>
  <c r="Q53" i="78"/>
  <c r="C43" i="78"/>
  <c r="B2" i="78"/>
  <c r="B3" i="78"/>
  <c r="C83" i="78"/>
  <c r="C82" i="78"/>
  <c r="C46" i="78"/>
  <c r="Q69" i="67"/>
  <c r="Q68" i="67"/>
  <c r="C40" i="67"/>
  <c r="C58" i="77"/>
  <c r="C67" i="77"/>
  <c r="C68" i="77"/>
  <c r="C80" i="67"/>
  <c r="C79" i="67"/>
  <c r="C58" i="67"/>
  <c r="C67" i="67"/>
  <c r="C68" i="67"/>
  <c r="C80" i="77"/>
  <c r="C79" i="77"/>
  <c r="L51" i="67"/>
  <c r="L51" i="77"/>
  <c r="L63" i="40"/>
  <c r="K65" i="40"/>
  <c r="C59" i="80"/>
  <c r="J22" i="80"/>
  <c r="C39" i="11"/>
  <c r="C43" i="11"/>
  <c r="C41" i="11"/>
  <c r="E29" i="43"/>
  <c r="C26" i="43"/>
  <c r="C30" i="43"/>
  <c r="E30" i="43"/>
  <c r="C27" i="43"/>
  <c r="AB11" i="39"/>
  <c r="U11" i="39"/>
  <c r="W11" i="39"/>
  <c r="AC11" i="39"/>
  <c r="AA11" i="39"/>
  <c r="S11" i="39"/>
  <c r="J17" i="80"/>
  <c r="J16" i="80"/>
  <c r="J25" i="80"/>
  <c r="C56" i="80"/>
  <c r="C65" i="80"/>
  <c r="Q70" i="80"/>
  <c r="C57" i="15"/>
  <c r="C61" i="15"/>
  <c r="C59" i="15"/>
  <c r="J19" i="15"/>
  <c r="J17" i="15"/>
  <c r="J19" i="83"/>
  <c r="J17" i="83"/>
  <c r="Q49" i="83"/>
  <c r="C57" i="83"/>
  <c r="C61" i="83"/>
  <c r="C59" i="83"/>
  <c r="J14" i="15"/>
  <c r="J13" i="15"/>
  <c r="J23" i="15"/>
  <c r="Q49" i="15"/>
  <c r="J22" i="83"/>
  <c r="J13" i="83"/>
  <c r="J23" i="83"/>
  <c r="J14" i="81"/>
  <c r="Q49" i="81"/>
  <c r="C57" i="81"/>
  <c r="J19" i="81"/>
  <c r="J17" i="81"/>
  <c r="C57" i="84"/>
  <c r="J19" i="84"/>
  <c r="J17" i="84"/>
  <c r="J14" i="84"/>
  <c r="Q49" i="84"/>
  <c r="J14" i="82"/>
  <c r="Q49" i="82"/>
  <c r="C57" i="82"/>
  <c r="J19" i="82"/>
  <c r="J17" i="82"/>
  <c r="L57" i="80"/>
  <c r="L60" i="80"/>
  <c r="C41" i="69"/>
  <c r="C46" i="69"/>
  <c r="C45" i="69"/>
  <c r="K68" i="39"/>
  <c r="J70" i="39"/>
  <c r="G53" i="34"/>
  <c r="H53" i="34"/>
  <c r="G54" i="34"/>
  <c r="H54" i="34"/>
  <c r="R50" i="34"/>
  <c r="E49" i="34"/>
  <c r="I53" i="34"/>
  <c r="J53" i="34"/>
  <c r="I54" i="34"/>
  <c r="J54" i="34"/>
  <c r="Q67" i="67"/>
  <c r="L57" i="67"/>
  <c r="L60" i="67"/>
  <c r="Q67" i="77"/>
  <c r="L57" i="77"/>
  <c r="L60" i="77"/>
  <c r="C71" i="67"/>
  <c r="C45" i="67"/>
  <c r="C46" i="67"/>
  <c r="Q57" i="78"/>
  <c r="Q62" i="78"/>
  <c r="Q66" i="78"/>
  <c r="Q75" i="78"/>
  <c r="C46" i="77"/>
  <c r="C71" i="77"/>
  <c r="C43" i="67"/>
  <c r="Q65" i="67"/>
  <c r="Q56" i="67"/>
  <c r="Q47" i="67"/>
  <c r="Q53" i="67"/>
  <c r="D2" i="67"/>
  <c r="C83" i="67"/>
  <c r="C82" i="67"/>
  <c r="Q56" i="77"/>
  <c r="B2" i="77"/>
  <c r="B3" i="77"/>
  <c r="Q65" i="77"/>
  <c r="Q47" i="77"/>
  <c r="Q53" i="77"/>
  <c r="C43" i="77"/>
  <c r="C83" i="77"/>
  <c r="C82" i="77"/>
  <c r="E6" i="76"/>
  <c r="C58" i="80"/>
  <c r="C67" i="80"/>
  <c r="C68" i="80"/>
  <c r="C71" i="80"/>
  <c r="M63" i="40"/>
  <c r="L65" i="40"/>
  <c r="C46" i="11"/>
  <c r="C45" i="11"/>
  <c r="E2" i="76"/>
  <c r="B2" i="43"/>
  <c r="C56" i="15"/>
  <c r="C65" i="15"/>
  <c r="C75" i="83"/>
  <c r="C64" i="15"/>
  <c r="Q69" i="15"/>
  <c r="Q47" i="83"/>
  <c r="Q53" i="83"/>
  <c r="Q70" i="83"/>
  <c r="C75" i="15"/>
  <c r="C56" i="83"/>
  <c r="C65" i="83"/>
  <c r="Q70" i="15"/>
  <c r="C64" i="83"/>
  <c r="J22" i="15"/>
  <c r="J16" i="15"/>
  <c r="J25" i="15"/>
  <c r="J16" i="83"/>
  <c r="J25" i="83"/>
  <c r="Q70" i="82"/>
  <c r="C56" i="82"/>
  <c r="C65" i="82"/>
  <c r="C75" i="82"/>
  <c r="C61" i="82"/>
  <c r="C59" i="82"/>
  <c r="C64" i="82"/>
  <c r="J22" i="82"/>
  <c r="J13" i="82"/>
  <c r="J23" i="82"/>
  <c r="C75" i="84"/>
  <c r="Q70" i="84"/>
  <c r="C56" i="84"/>
  <c r="C65" i="84"/>
  <c r="C64" i="84"/>
  <c r="C61" i="84"/>
  <c r="C59" i="84"/>
  <c r="Q70" i="81"/>
  <c r="C75" i="81"/>
  <c r="C56" i="81"/>
  <c r="C65" i="81"/>
  <c r="C61" i="81"/>
  <c r="C59" i="81"/>
  <c r="C64" i="81"/>
  <c r="J13" i="81"/>
  <c r="J23" i="81"/>
  <c r="J22" i="81"/>
  <c r="J13" i="84"/>
  <c r="J23" i="84"/>
  <c r="J22" i="84"/>
  <c r="Q66" i="80"/>
  <c r="Q57" i="80"/>
  <c r="C49" i="69"/>
  <c r="C51" i="69"/>
  <c r="C49" i="11"/>
  <c r="C51" i="11"/>
  <c r="E54" i="34"/>
  <c r="F54" i="34"/>
  <c r="E53" i="34"/>
  <c r="F53" i="34"/>
  <c r="C50" i="34"/>
  <c r="B2" i="34"/>
  <c r="B3" i="34"/>
  <c r="C49" i="34"/>
  <c r="L68" i="39"/>
  <c r="K70" i="39"/>
  <c r="B2" i="67"/>
  <c r="B3" i="67"/>
  <c r="Q66" i="77"/>
  <c r="Q75" i="77"/>
  <c r="Q57" i="77"/>
  <c r="Q62" i="77"/>
  <c r="Q57" i="67"/>
  <c r="Q62" i="67"/>
  <c r="Q66" i="67"/>
  <c r="Q75" i="67"/>
  <c r="L51" i="80"/>
  <c r="L51" i="84"/>
  <c r="L51" i="82"/>
  <c r="B6" i="76"/>
  <c r="L51" i="81"/>
  <c r="Q67" i="80"/>
  <c r="C80" i="80"/>
  <c r="C79" i="80"/>
  <c r="Q69" i="80"/>
  <c r="Q68" i="80"/>
  <c r="M65" i="40"/>
  <c r="N63" i="40"/>
  <c r="B2" i="76"/>
  <c r="B3" i="76"/>
  <c r="B3" i="43"/>
  <c r="C80" i="15"/>
  <c r="C79" i="15"/>
  <c r="C46" i="80"/>
  <c r="C58" i="15"/>
  <c r="C67" i="15"/>
  <c r="C68" i="15"/>
  <c r="C71" i="15"/>
  <c r="Q69" i="83"/>
  <c r="Q68" i="83"/>
  <c r="C58" i="83"/>
  <c r="C67" i="83"/>
  <c r="C68" i="83"/>
  <c r="C71" i="83"/>
  <c r="C80" i="83"/>
  <c r="C79" i="83"/>
  <c r="Q68" i="15"/>
  <c r="L57" i="83"/>
  <c r="L60" i="83"/>
  <c r="Q66" i="83"/>
  <c r="L57" i="15"/>
  <c r="L60" i="15"/>
  <c r="Q66" i="15"/>
  <c r="C83" i="80"/>
  <c r="C82" i="80"/>
  <c r="Q47" i="80"/>
  <c r="Q53" i="80"/>
  <c r="Q56" i="80"/>
  <c r="Q62" i="80"/>
  <c r="Q65" i="80"/>
  <c r="Q75" i="80"/>
  <c r="C43" i="80"/>
  <c r="C83" i="83"/>
  <c r="C82" i="83"/>
  <c r="C43" i="83"/>
  <c r="J16" i="84"/>
  <c r="J25" i="84"/>
  <c r="J16" i="81"/>
  <c r="J25" i="81"/>
  <c r="C58" i="84"/>
  <c r="C67" i="84"/>
  <c r="C68" i="84"/>
  <c r="C71" i="84"/>
  <c r="L57" i="81"/>
  <c r="L60" i="81"/>
  <c r="Q67" i="81"/>
  <c r="L57" i="84"/>
  <c r="L60" i="84"/>
  <c r="Q67" i="84"/>
  <c r="L57" i="82"/>
  <c r="L60" i="82"/>
  <c r="Q67" i="82"/>
  <c r="Q56" i="83"/>
  <c r="Q65" i="83"/>
  <c r="C58" i="81"/>
  <c r="C67" i="81"/>
  <c r="C68" i="81"/>
  <c r="C80" i="81"/>
  <c r="C79" i="81"/>
  <c r="C80" i="84"/>
  <c r="C79" i="84"/>
  <c r="J16" i="82"/>
  <c r="J25" i="82"/>
  <c r="C58" i="82"/>
  <c r="C67" i="82"/>
  <c r="C68" i="82"/>
  <c r="C80" i="82"/>
  <c r="C79" i="82"/>
  <c r="Q69" i="81"/>
  <c r="Q68" i="81"/>
  <c r="Q69" i="84"/>
  <c r="Q68" i="84"/>
  <c r="Q69" i="82"/>
  <c r="Q68" i="82"/>
  <c r="M68" i="39"/>
  <c r="L70" i="39"/>
  <c r="L51" i="83"/>
  <c r="L51" i="15"/>
  <c r="O63" i="40"/>
  <c r="O65" i="40"/>
  <c r="J7" i="40"/>
  <c r="N65" i="40"/>
  <c r="F7" i="40"/>
  <c r="H7" i="40"/>
  <c r="Q67" i="15"/>
  <c r="C46" i="83"/>
  <c r="Q67" i="83"/>
  <c r="Q57" i="84"/>
  <c r="Q75" i="83"/>
  <c r="Q65" i="15"/>
  <c r="Q75" i="15"/>
  <c r="C46" i="15"/>
  <c r="Q47" i="15"/>
  <c r="Q53" i="15"/>
  <c r="C43" i="15"/>
  <c r="C83" i="15"/>
  <c r="C82" i="15"/>
  <c r="Q56" i="15"/>
  <c r="Q57" i="15"/>
  <c r="B3" i="83"/>
  <c r="Q57" i="83"/>
  <c r="Q62" i="83"/>
  <c r="Q66" i="81"/>
  <c r="Q57" i="82"/>
  <c r="Q57" i="81"/>
  <c r="Q66" i="82"/>
  <c r="Q66" i="84"/>
  <c r="C46" i="84"/>
  <c r="Q56" i="84"/>
  <c r="C83" i="84"/>
  <c r="C82" i="84"/>
  <c r="Q47" i="84"/>
  <c r="Q53" i="84"/>
  <c r="Q65" i="84"/>
  <c r="C43" i="84"/>
  <c r="C71" i="82"/>
  <c r="C46" i="82"/>
  <c r="C71" i="81"/>
  <c r="C46" i="81"/>
  <c r="Q47" i="82"/>
  <c r="Q53" i="82"/>
  <c r="Q56" i="82"/>
  <c r="C83" i="82"/>
  <c r="C82" i="82"/>
  <c r="Q65" i="82"/>
  <c r="C43" i="82"/>
  <c r="Q56" i="81"/>
  <c r="C83" i="81"/>
  <c r="C82" i="81"/>
  <c r="Q65" i="81"/>
  <c r="Q47" i="81"/>
  <c r="Q53" i="81"/>
  <c r="C43" i="81"/>
  <c r="N68" i="39"/>
  <c r="M70" i="39"/>
  <c r="AB7" i="40"/>
  <c r="T42" i="40"/>
  <c r="G42" i="40"/>
  <c r="U7" i="40"/>
  <c r="S7" i="40"/>
  <c r="AA7" i="40"/>
  <c r="R42" i="40"/>
  <c r="W7" i="40"/>
  <c r="AC7" i="40"/>
  <c r="V42" i="40"/>
  <c r="I42" i="40"/>
  <c r="I46" i="40"/>
  <c r="J46" i="40"/>
  <c r="Q62" i="84"/>
  <c r="Q62" i="15"/>
  <c r="Q75" i="81"/>
  <c r="Q75" i="82"/>
  <c r="Q62" i="82"/>
  <c r="Q62" i="81"/>
  <c r="Q75" i="84"/>
  <c r="B3" i="84"/>
  <c r="B3" i="81"/>
  <c r="O68" i="39"/>
  <c r="O70" i="39"/>
  <c r="N70" i="39"/>
  <c r="R43" i="40"/>
  <c r="E42" i="40"/>
  <c r="G47" i="40"/>
  <c r="H47" i="40"/>
  <c r="G46" i="40"/>
  <c r="H46" i="40"/>
  <c r="J7" i="39"/>
  <c r="F7" i="39"/>
  <c r="H7" i="39"/>
  <c r="E47" i="40"/>
  <c r="F47" i="40"/>
  <c r="E46" i="40"/>
  <c r="F46" i="40"/>
  <c r="I47" i="40"/>
  <c r="J47" i="40"/>
  <c r="C43" i="40"/>
  <c r="C42" i="40"/>
  <c r="D102" i="9"/>
  <c r="D21" i="9"/>
  <c r="AB7" i="39"/>
  <c r="T47" i="39"/>
  <c r="G47" i="39"/>
  <c r="U7" i="39"/>
  <c r="S7" i="39"/>
  <c r="AA7" i="39"/>
  <c r="R47" i="39"/>
  <c r="AC7" i="39"/>
  <c r="V47" i="39"/>
  <c r="I47" i="39"/>
  <c r="W7" i="39"/>
  <c r="B57" i="40"/>
  <c r="F57" i="40"/>
  <c r="B59" i="40"/>
  <c r="F59" i="40"/>
  <c r="B56" i="40"/>
  <c r="F56" i="40"/>
  <c r="B54" i="40"/>
  <c r="F54" i="40"/>
  <c r="B53" i="40"/>
  <c r="F53" i="40"/>
  <c r="F61" i="40"/>
  <c r="B2" i="40"/>
  <c r="B3" i="40"/>
  <c r="B58" i="40"/>
  <c r="F58" i="40"/>
  <c r="B52" i="40"/>
  <c r="F52" i="40"/>
  <c r="B51" i="40"/>
  <c r="F51" i="40"/>
  <c r="B55" i="40"/>
  <c r="F55" i="40"/>
  <c r="B60" i="40"/>
  <c r="F60" i="40"/>
  <c r="D103" i="9"/>
  <c r="I51" i="39"/>
  <c r="J51" i="39"/>
  <c r="G52" i="39"/>
  <c r="H52" i="39"/>
  <c r="G51" i="39"/>
  <c r="H51" i="39"/>
  <c r="E47" i="39"/>
  <c r="R48" i="39"/>
  <c r="E51" i="39"/>
  <c r="F51" i="39"/>
  <c r="E52" i="39"/>
  <c r="F52" i="39"/>
  <c r="C47" i="39"/>
  <c r="C48" i="39"/>
  <c r="I52" i="39"/>
  <c r="J52" i="39"/>
  <c r="B61" i="39"/>
  <c r="F61" i="39"/>
  <c r="B60" i="39"/>
  <c r="F60" i="39"/>
  <c r="B56" i="39"/>
  <c r="F56" i="39"/>
  <c r="F66" i="39"/>
  <c r="B2" i="39"/>
  <c r="B58" i="39"/>
  <c r="F58" i="39"/>
  <c r="B59" i="39"/>
  <c r="F59" i="39"/>
  <c r="B64" i="39"/>
  <c r="F64" i="39"/>
  <c r="B65" i="39"/>
  <c r="F65" i="39"/>
  <c r="B57" i="39"/>
  <c r="F57" i="39"/>
  <c r="B63" i="39"/>
  <c r="F63" i="39"/>
  <c r="B62" i="39"/>
  <c r="F62" i="39"/>
  <c r="B3" i="39"/>
  <c r="C6" i="68"/>
  <c r="C7" i="68"/>
  <c r="E17" i="12"/>
  <c r="C17" i="12"/>
  <c r="B31" i="1"/>
  <c r="E19" i="69"/>
  <c r="C19" i="69"/>
  <c r="E19" i="11"/>
  <c r="C19" i="11"/>
  <c r="C24" i="69"/>
  <c r="C20" i="69"/>
  <c r="C25" i="69"/>
  <c r="E19" i="68"/>
  <c r="C19" i="68"/>
  <c r="C24" i="11"/>
  <c r="C20" i="11"/>
  <c r="C25" i="11"/>
  <c r="C28" i="69"/>
  <c r="C27" i="69"/>
  <c r="C22" i="69"/>
  <c r="C28" i="11"/>
  <c r="C27" i="11"/>
  <c r="C22" i="11"/>
  <c r="C31" i="69"/>
  <c r="C52" i="69"/>
  <c r="C57" i="69"/>
  <c r="C56" i="69"/>
  <c r="C31" i="11"/>
  <c r="C52" i="11"/>
  <c r="C56" i="11"/>
  <c r="C57" i="11"/>
  <c r="B2" i="69"/>
  <c r="B3" i="69"/>
  <c r="B2" i="11"/>
  <c r="B3" i="11"/>
  <c r="C18" i="12"/>
  <c r="C21" i="12"/>
  <c r="C22" i="12"/>
  <c r="C30" i="12"/>
  <c r="C28" i="12"/>
  <c r="C27" i="12"/>
  <c r="C25" i="12"/>
  <c r="C32" i="12"/>
  <c r="B2" i="12"/>
  <c r="B3" i="12"/>
  <c r="C57" i="68"/>
  <c r="C56" i="68"/>
  <c r="C102" i="9"/>
  <c r="C21" i="9"/>
  <c r="D35" i="9"/>
  <c r="D34" i="9"/>
  <c r="C103" i="9"/>
  <c r="C32" i="9"/>
  <c r="G21" i="9"/>
  <c r="C35" i="9"/>
  <c r="F118" i="9"/>
  <c r="H118" i="9"/>
  <c r="C34" i="9"/>
  <c r="D118" i="9"/>
  <c r="D119" i="9"/>
  <c r="D5" i="52"/>
  <c r="B49" i="72"/>
  <c r="F4" i="52"/>
  <c r="B51" i="72"/>
  <c r="G118" i="9"/>
  <c r="G4" i="52"/>
  <c r="B52" i="72"/>
  <c r="F119" i="9"/>
  <c r="F5" i="52"/>
  <c r="B53" i="72"/>
  <c r="D14" i="74"/>
  <c r="B5" i="74"/>
  <c r="C104" i="9"/>
  <c r="H119" i="9"/>
  <c r="H5" i="52"/>
  <c r="H101" i="9"/>
  <c r="H109" i="9"/>
  <c r="I118" i="9"/>
  <c r="H4" i="52"/>
  <c r="D124" i="9"/>
  <c r="H110" i="9"/>
  <c r="D18" i="53"/>
  <c r="B35" i="72"/>
  <c r="D16" i="53"/>
  <c r="D4" i="52"/>
  <c r="B47" i="72"/>
  <c r="M48" i="9"/>
  <c r="D5" i="53"/>
  <c r="H107" i="9"/>
  <c r="D45" i="9"/>
  <c r="I4" i="52"/>
  <c r="H102" i="9"/>
  <c r="D7" i="53"/>
  <c r="B21" i="72"/>
  <c r="C105" i="9"/>
  <c r="E118" i="9"/>
  <c r="E4" i="52"/>
  <c r="B48" i="72"/>
  <c r="E14" i="74"/>
  <c r="F14" i="74"/>
  <c r="B34" i="72"/>
  <c r="D17" i="53"/>
  <c r="B36" i="72"/>
  <c r="H14" i="74"/>
  <c r="B7" i="74"/>
  <c r="D10" i="52"/>
  <c r="D125" i="9"/>
  <c r="D11" i="52"/>
  <c r="C5" i="74"/>
  <c r="D5" i="74"/>
  <c r="C85" i="9"/>
  <c r="C64" i="9"/>
  <c r="C63" i="9"/>
  <c r="C67" i="9"/>
  <c r="C68" i="9"/>
  <c r="D54" i="9"/>
  <c r="C93" i="9"/>
  <c r="C86" i="9"/>
  <c r="C72" i="9"/>
  <c r="C78" i="9"/>
  <c r="C73" i="9"/>
  <c r="D55" i="9"/>
  <c r="M53" i="9"/>
  <c r="D53" i="9"/>
  <c r="D52" i="9"/>
  <c r="B20" i="72"/>
  <c r="D6" i="53"/>
  <c r="B22" i="72"/>
  <c r="M49" i="9"/>
  <c r="D13" i="53"/>
  <c r="H108" i="9"/>
  <c r="D15" i="53"/>
  <c r="B31" i="72"/>
  <c r="D122" i="9"/>
  <c r="C7" i="74"/>
  <c r="D7" i="74"/>
  <c r="G14" i="74"/>
  <c r="B6" i="74"/>
  <c r="D123" i="9"/>
  <c r="D9" i="52"/>
  <c r="D8" i="52"/>
  <c r="D14" i="53"/>
  <c r="B32" i="72"/>
  <c r="B30" i="72"/>
  <c r="C79" i="9"/>
  <c r="L66" i="9"/>
  <c r="M66" i="9"/>
  <c r="L65" i="9"/>
  <c r="M65" i="9"/>
  <c r="L64" i="9"/>
  <c r="M64" i="9"/>
  <c r="L67" i="9"/>
  <c r="M67" i="9"/>
  <c r="L68" i="9"/>
  <c r="M68" i="9"/>
  <c r="L63" i="9"/>
  <c r="M63" i="9"/>
  <c r="C95" i="9"/>
  <c r="M69" i="9"/>
  <c r="N69" i="9"/>
  <c r="C96" i="9"/>
  <c r="E96" i="9"/>
  <c r="E97" i="9"/>
  <c r="C80" i="9"/>
  <c r="E80" i="9"/>
  <c r="E81" i="9"/>
  <c r="D6" i="74"/>
  <c r="C6" i="74"/>
  <c r="C97" i="9"/>
  <c r="D58" i="9"/>
  <c r="D56" i="9"/>
  <c r="M54" i="9"/>
  <c r="N57" i="9"/>
  <c r="N58" i="9"/>
  <c r="C81" i="9"/>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D35" authorId="0">
      <text>
        <r>
          <rPr>
            <sz val="9"/>
            <rFont val="宋体"/>
            <family val="3"/>
            <charset val="134"/>
          </rPr>
          <t>user:
7-1-5018</t>
        </r>
      </text>
    </comment>
    <comment ref="D36" authorId="0">
      <text>
        <r>
          <rPr>
            <sz val="9"/>
            <rFont val="宋体"/>
            <family val="3"/>
            <charset val="134"/>
          </rPr>
          <t>user:
7-1-5028</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<sst xmlns="http://schemas.openxmlformats.org/spreadsheetml/2006/main" count="11167" uniqueCount="3399">
  <si>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</si>
  <si>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</si>
  <si>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</si>
  <si>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</si>
  <si>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</si>
  <si>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</si>
  <si>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</si>
  <si>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</si>
  <si>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</si>
  <si>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</si>
  <si>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</si>
  <si>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</si>
  <si>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</si>
  <si>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</si>
  <si>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</si>
  <si>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</si>
  <si>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</si>
  <si>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</si>
  <si>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</si>
  <si>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</si>
  <si>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</si>
  <si>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</si>
  <si>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</si>
  <si>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</si>
  <si>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</si>
  <si>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</si>
  <si>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</si>
  <si>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</si>
  <si>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</si>
  <si>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</si>
  <si>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</si>
  <si>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</si>
  <si>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</si>
  <si>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</si>
  <si>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</si>
  <si>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</si>
  <si>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</si>
  <si>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</si>
  <si>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</si>
  <si>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</si>
  <si>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</si>
  <si>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</si>
  <si>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</si>
  <si>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</si>
  <si>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</si>
  <si>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</si>
  <si>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</si>
  <si>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</si>
  <si>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</si>
  <si>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</si>
  <si>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</si>
  <si>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</si>
  <si>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</si>
  <si>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</si>
  <si>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</si>
  <si>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</si>
  <si>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</si>
  <si>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</si>
  <si>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</si>
  <si>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</si>
  <si>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</si>
  <si>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</si>
  <si>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</si>
  <si>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</si>
  <si>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</si>
  <si>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</si>
  <si>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</si>
  <si>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</si>
  <si>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</si>
  <si>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</si>
  <si>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</si>
  <si>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</si>
  <si>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</si>
  <si>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</si>
  <si>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</si>
  <si>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</si>
  <si>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</si>
  <si>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</si>
  <si>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</si>
  <si>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</si>
  <si>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</si>
  <si>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</si>
  <si>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</si>
  <si>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</si>
  <si>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</si>
  <si>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</si>
  <si>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</si>
  <si>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</si>
  <si>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</si>
  <si>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</si>
  <si>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</si>
  <si>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</si>
  <si>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</si>
  <si>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</si>
  <si>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</si>
  <si>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</si>
  <si>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</si>
  <si>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</si>
  <si>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</si>
  <si>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</si>
  <si>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</si>
  <si>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</si>
  <si>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</si>
  <si>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</si>
  <si>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</si>
  <si>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</si>
  <si>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</si>
  <si>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</si>
  <si>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</si>
  <si>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</si>
  <si>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</si>
  <si>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</si>
  <si>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</si>
  <si>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</si>
  <si>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</si>
  <si>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</si>
  <si>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</si>
  <si>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</si>
  <si>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</si>
  <si>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</si>
  <si>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</si>
  <si>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</si>
  <si>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</si>
  <si>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</si>
  <si>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</si>
  <si>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</si>
  <si>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</si>
  <si>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</si>
  <si>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</si>
  <si>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</si>
  <si>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</si>
  <si>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</si>
  <si>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</si>
  <si>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</si>
  <si>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</si>
  <si>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</si>
  <si>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</si>
  <si>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</si>
  <si>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</si>
  <si>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</si>
  <si>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</si>
  <si>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</si>
  <si>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</si>
  <si>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</si>
  <si>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</si>
  <si>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</si>
  <si>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</si>
  <si>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</si>
  <si>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</si>
  <si>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</si>
  <si>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</si>
  <si>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</si>
  <si>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</si>
  <si>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</si>
  <si>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</si>
  <si>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</si>
  <si>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</si>
  <si>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</si>
  <si>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</si>
  <si>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</si>
  <si>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</si>
  <si>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</si>
  <si>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</si>
  <si>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</si>
  <si>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</si>
  <si>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</si>
  <si>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</si>
  <si>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</si>
  <si>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</si>
  <si>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</si>
  <si>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</si>
  <si>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</si>
  <si>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</si>
  <si>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</si>
  <si>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</si>
  <si>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</si>
  <si>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</si>
  <si>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</si>
  <si>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</si>
  <si>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</si>
  <si>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</si>
  <si>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</si>
  <si>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</si>
  <si>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</si>
  <si>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</si>
  <si>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</si>
  <si>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</si>
  <si>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</si>
  <si>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</si>
  <si>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</si>
  <si>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</si>
  <si>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</si>
  <si>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</si>
  <si>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</si>
  <si>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</si>
  <si>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</si>
  <si>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</si>
  <si>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</si>
  <si>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</si>
  <si>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</si>
  <si>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</si>
  <si>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</si>
  <si>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</si>
  <si>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</si>
  <si>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</si>
  <si>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</si>
  <si>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</si>
  <si>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</si>
  <si>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</si>
  <si>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</si>
  <si>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</si>
  <si>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</si>
  <si>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</si>
  <si>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</si>
  <si>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</si>
  <si>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</si>
  <si>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</si>
  <si>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</si>
  <si>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</si>
  <si>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</si>
  <si>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</si>
  <si>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</si>
  <si>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</si>
  <si>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</si>
  <si>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</si>
  <si>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</si>
  <si>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</si>
  <si>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</si>
  <si>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</si>
  <si>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</si>
  <si>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</si>
  <si>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</si>
  <si>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</si>
  <si>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</si>
  <si>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</si>
  <si>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</si>
  <si>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</si>
  <si>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</si>
  <si>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</si>
  <si>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</si>
  <si>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</si>
  <si>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</si>
  <si>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</si>
  <si>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</si>
  <si>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</si>
  <si>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</si>
  <si>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</si>
  <si>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</si>
  <si>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</si>
  <si>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</si>
  <si>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</si>
  <si>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</si>
  <si>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</si>
  <si>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</si>
  <si>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</si>
  <si>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</si>
  <si>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</si>
  <si>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</si>
  <si>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</si>
  <si>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</si>
  <si>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</si>
  <si>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</si>
  <si>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</si>
  <si>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</si>
  <si>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</si>
  <si>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</si>
  <si>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</si>
  <si>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</si>
  <si>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</si>
  <si>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</si>
  <si>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</si>
  <si>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</si>
  <si>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</si>
  <si>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</si>
  <si>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</si>
  <si>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</si>
  <si>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</si>
  <si>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</si>
  <si>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</si>
  <si>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</si>
  <si>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</si>
  <si>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</si>
  <si>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</si>
  <si>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</si>
  <si>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</si>
  <si>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</si>
  <si>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</si>
  <si>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</si>
  <si>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</si>
  <si>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</si>
  <si>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</si>
  <si>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</si>
  <si>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</si>
  <si>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</si>
  <si>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</si>
  <si>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</si>
  <si>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</si>
  <si>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</si>
  <si>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</si>
  <si>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</si>
  <si>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</si>
  <si>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</si>
  <si>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</si>
  <si>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</si>
  <si>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</si>
  <si>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</si>
  <si>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</si>
  <si>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</si>
  <si>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</si>
  <si>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</si>
  <si>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</si>
  <si>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</si>
  <si>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</si>
  <si>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</si>
  <si>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</si>
  <si>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</si>
  <si>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</si>
  <si>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</si>
  <si>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</si>
  <si>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</si>
  <si>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</si>
  <si>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</si>
  <si>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</si>
  <si>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</si>
  <si>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</si>
  <si>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</si>
  <si>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</si>
  <si>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</si>
  <si>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</si>
  <si>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</si>
  <si>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</si>
  <si>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</si>
  <si>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</si>
  <si>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</si>
  <si>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</si>
  <si>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</si>
  <si>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</si>
  <si>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</si>
  <si>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</si>
  <si>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</si>
  <si>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</si>
  <si>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</si>
  <si>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</si>
  <si>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</si>
  <si>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</si>
  <si>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</si>
  <si>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</si>
  <si>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</si>
  <si>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</si>
  <si>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</si>
  <si>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</si>
  <si>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</si>
  <si>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</si>
  <si>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</si>
  <si>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</si>
  <si>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</si>
  <si>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</si>
  <si>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</si>
  <si>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</si>
  <si>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</si>
  <si>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</si>
  <si>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</si>
  <si>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</si>
  <si>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</si>
  <si>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</si>
  <si>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</si>
  <si>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</si>
  <si>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</si>
  <si>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</si>
  <si>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</si>
  <si>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</si>
  <si>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</si>
  <si>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</si>
  <si>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</si>
  <si>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</si>
  <si>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</si>
  <si>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</si>
  <si>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</si>
  <si>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</si>
  <si>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</si>
  <si>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</si>
  <si>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</si>
  <si>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</si>
  <si>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</si>
  <si>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</si>
  <si>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</si>
  <si>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</si>
  <si>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</si>
  <si>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</si>
  <si>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</si>
  <si>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</si>
  <si>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</si>
  <si>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</si>
  <si>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</si>
  <si>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</si>
  <si>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</si>
  <si>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</si>
  <si>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</si>
  <si>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</si>
  <si>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</si>
  <si>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</si>
  <si>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</si>
  <si>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</si>
  <si>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</si>
  <si>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</si>
  <si>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</si>
  <si>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</si>
  <si>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</si>
  <si>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</si>
  <si>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</si>
  <si>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</si>
  <si>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</si>
  <si>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</si>
  <si>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</si>
  <si>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</si>
  <si>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</si>
  <si>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</si>
  <si>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</si>
  <si>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</si>
  <si>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</si>
  <si>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</si>
  <si>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</si>
  <si>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</si>
  <si>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</si>
  <si>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</si>
  <si>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</si>
  <si>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</si>
  <si>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</si>
  <si>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</si>
  <si>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</si>
  <si>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</si>
  <si>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</si>
  <si>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</si>
  <si>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</si>
  <si>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</si>
  <si>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</si>
  <si>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</si>
  <si>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</si>
  <si>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</si>
  <si>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</si>
  <si>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</si>
  <si>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</si>
  <si>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</si>
  <si>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</si>
  <si>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</si>
  <si>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</si>
  <si>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</si>
  <si>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</si>
  <si>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</si>
  <si>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</si>
  <si>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</si>
  <si>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</si>
  <si>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</si>
  <si>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</si>
  <si>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</si>
  <si>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</si>
  <si>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</si>
  <si>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</si>
  <si>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</si>
  <si>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</si>
  <si>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</si>
  <si>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</si>
  <si>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</si>
  <si>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</si>
  <si>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</si>
  <si>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</si>
  <si>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</si>
  <si>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</si>
  <si>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</si>
  <si>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</si>
  <si>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</si>
  <si>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</si>
  <si>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</si>
  <si>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</si>
  <si>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</si>
  <si>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</si>
  <si>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</si>
  <si>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</si>
  <si>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</si>
  <si>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</si>
  <si>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</si>
  <si>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</si>
  <si>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</si>
  <si>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</si>
  <si>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</si>
  <si>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</si>
  <si>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</si>
  <si>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</si>
  <si>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</si>
  <si>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</si>
  <si>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</si>
  <si>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</si>
  <si>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</si>
  <si>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</si>
  <si>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</si>
  <si>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</si>
  <si>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</si>
  <si>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</si>
  <si>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</si>
  <si>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</si>
  <si>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</si>
  <si>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</si>
  <si>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</si>
  <si>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</si>
  <si>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</si>
  <si>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</si>
  <si>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</si>
  <si>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</si>
  <si>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</si>
  <si>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</si>
  <si>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</si>
  <si>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</si>
  <si>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</si>
  <si>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</si>
  <si>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</si>
  <si>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</si>
  <si>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</si>
  <si>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</si>
  <si>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</si>
  <si>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</si>
  <si>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</si>
  <si>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</si>
  <si>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</si>
  <si>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</si>
  <si>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</si>
  <si>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</si>
  <si>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</si>
  <si>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</si>
  <si>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</si>
  <si>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</si>
  <si>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</si>
  <si>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</si>
  <si>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</si>
  <si>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</si>
  <si>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</si>
  <si>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</si>
  <si>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</si>
  <si>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</si>
  <si>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</si>
  <si>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</si>
  <si>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</si>
  <si>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</si>
  <si>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</si>
  <si>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</si>
  <si>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</si>
  <si>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</si>
  <si>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</si>
  <si>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</si>
  <si>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</si>
  <si>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</si>
  <si>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</si>
  <si>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</si>
  <si>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</si>
  <si>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</si>
  <si>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</si>
  <si>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</si>
  <si>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</si>
  <si>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</si>
  <si>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</si>
  <si>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</si>
  <si>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</si>
  <si>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</si>
  <si>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</si>
  <si>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</si>
  <si>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</si>
  <si>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</si>
  <si>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</si>
  <si>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</si>
  <si>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</si>
  <si>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</si>
  <si>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</si>
  <si>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</si>
  <si>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</si>
  <si>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</si>
  <si>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</si>
  <si>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</si>
  <si>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</si>
  <si>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</si>
  <si>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</si>
  <si>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</si>
  <si>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</si>
  <si>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</si>
  <si>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</si>
  <si>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</si>
  <si>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</si>
  <si>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</si>
  <si>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</si>
  <si>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</si>
  <si>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</si>
  <si>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</si>
  <si>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</si>
  <si>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</si>
  <si>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</si>
  <si>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</si>
  <si>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</si>
  <si>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</si>
  <si>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</si>
  <si>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</si>
  <si>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</si>
  <si>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</si>
  <si>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</si>
  <si>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</si>
  <si>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</si>
  <si>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</si>
  <si>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</si>
  <si>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</si>
  <si>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</si>
  <si>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</si>
  <si>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</si>
  <si>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</si>
  <si>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</si>
  <si>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</si>
  <si>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</si>
  <si>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</si>
  <si>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</si>
  <si>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</si>
  <si>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</si>
  <si>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</si>
  <si>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</si>
  <si>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</si>
  <si>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</si>
  <si>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</si>
  <si>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</si>
  <si>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</si>
  <si>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</si>
  <si>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</si>
  <si>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</si>
  <si>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</si>
  <si>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</si>
  <si>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</si>
  <si>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</si>
  <si>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</si>
  <si>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</si>
  <si>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</si>
  <si>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</si>
  <si>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</si>
  <si>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</si>
  <si>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</si>
  <si>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</si>
  <si>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</si>
  <si>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</si>
  <si>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</si>
  <si>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</si>
  <si>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</si>
  <si>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</si>
  <si>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</si>
  <si>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</si>
  <si>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</si>
  <si>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</si>
  <si>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</si>
  <si>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</si>
  <si>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</si>
  <si>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</si>
  <si>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</si>
  <si>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</si>
  <si>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</si>
  <si>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</si>
  <si>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</si>
  <si>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</si>
  <si>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</si>
  <si>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</si>
  <si>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</si>
  <si>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</si>
  <si>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</si>
  <si>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</si>
  <si>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</si>
  <si>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</si>
  <si>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</si>
  <si>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</si>
  <si>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</si>
  <si>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</si>
  <si>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</si>
  <si>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</si>
  <si>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</si>
  <si>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</si>
  <si>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</si>
  <si>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</si>
  <si>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</si>
  <si>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</si>
  <si>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</si>
  <si>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</si>
  <si>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</si>
  <si>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</si>
  <si>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</si>
  <si>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</si>
  <si>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</si>
  <si>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</si>
  <si>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</si>
  <si>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</si>
  <si>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</si>
  <si>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</si>
  <si>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</si>
  <si>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</si>
  <si>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</si>
  <si>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</si>
  <si>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</si>
  <si>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</si>
  <si>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</si>
  <si>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</si>
  <si>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</si>
  <si>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</si>
  <si>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</si>
  <si>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</si>
  <si>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</si>
  <si>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</si>
  <si>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</si>
  <si>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</si>
  <si>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</si>
  <si>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</si>
  <si>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</si>
  <si>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</si>
  <si>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</si>
  <si>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</si>
  <si>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</si>
  <si>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</si>
  <si>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</si>
  <si>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</si>
  <si>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</si>
  <si>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</si>
  <si>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</si>
  <si>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</si>
  <si>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</si>
  <si>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</si>
  <si>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</si>
  <si>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</si>
  <si>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</si>
  <si>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</si>
  <si>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</si>
  <si>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</si>
  <si>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</si>
  <si>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</si>
  <si>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</si>
  <si>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</si>
  <si>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</si>
  <si>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</si>
  <si>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</si>
  <si>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</si>
  <si>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</si>
  <si>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</si>
  <si>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</si>
  <si>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</si>
  <si>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</si>
  <si>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</si>
  <si>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</si>
  <si>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</si>
  <si>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</si>
  <si>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</si>
  <si>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</si>
  <si>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</si>
  <si>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</si>
  <si>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</si>
  <si>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</si>
  <si>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</si>
  <si>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</si>
  <si>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</si>
  <si>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</si>
  <si>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</si>
  <si>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</si>
  <si>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</si>
  <si>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</si>
  <si>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</si>
  <si>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</si>
  <si>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</si>
  <si>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</si>
  <si>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</si>
  <si>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</si>
  <si>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</si>
  <si>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</si>
  <si>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</si>
  <si>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</si>
  <si>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</si>
  <si>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</si>
  <si>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</si>
  <si>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</si>
  <si>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</si>
  <si>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</si>
  <si>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</si>
  <si>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</si>
  <si>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</si>
  <si>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</si>
  <si>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</si>
  <si>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</si>
  <si>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</si>
  <si>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</si>
  <si>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</si>
  <si>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</si>
  <si>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</si>
  <si>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</si>
  <si>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</si>
  <si>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</si>
  <si>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</si>
  <si>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</si>
  <si>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</si>
  <si>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</si>
  <si>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</si>
  <si>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</si>
  <si>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</si>
  <si>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</si>
  <si>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</si>
  <si>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</si>
  <si>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</si>
  <si>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</si>
  <si>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</si>
  <si>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</si>
  <si>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</si>
  <si>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</si>
  <si>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</si>
  <si>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</si>
  <si>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</si>
  <si>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</si>
  <si>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</si>
  <si>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</si>
  <si>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</si>
  <si>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</si>
  <si>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</si>
  <si>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</si>
  <si>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</si>
  <si>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</si>
  <si>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</si>
  <si>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</si>
  <si>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</si>
  <si>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</si>
  <si>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</si>
  <si>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</si>
  <si>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</si>
  <si>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</si>
  <si>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</si>
  <si>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</si>
  <si>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</si>
  <si>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</si>
  <si>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</si>
  <si>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</si>
  <si>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</si>
  <si>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</si>
  <si>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</si>
  <si>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</si>
  <si>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</si>
  <si>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</si>
  <si>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</si>
  <si>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</si>
  <si>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</si>
  <si>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</si>
  <si>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</si>
  <si>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</si>
  <si>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</si>
  <si>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</si>
  <si>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</si>
  <si>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</si>
  <si>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</si>
  <si>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</si>
  <si>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</si>
  <si>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</si>
  <si>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</si>
  <si>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</si>
  <si>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</si>
  <si>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</si>
  <si>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</si>
  <si>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</si>
  <si>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</si>
  <si>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</si>
  <si>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</si>
  <si>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</si>
  <si>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</si>
  <si>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</si>
  <si>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</si>
  <si>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</si>
  <si>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</si>
  <si>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</si>
  <si>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</si>
  <si>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</si>
  <si>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</si>
  <si>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</si>
  <si>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</si>
  <si>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</si>
  <si>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</si>
  <si>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</si>
  <si>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</si>
  <si>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</si>
  <si>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</si>
  <si>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</si>
  <si>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</si>
  <si>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</si>
  <si>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</si>
  <si>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</si>
  <si>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</si>
  <si>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</si>
  <si>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</si>
  <si>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</si>
  <si>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</si>
  <si>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</si>
  <si>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</si>
  <si>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</si>
  <si>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</si>
  <si>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</si>
  <si>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</si>
  <si>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</si>
  <si>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</si>
  <si>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</si>
  <si>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</si>
  <si>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</si>
  <si>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</si>
  <si>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</si>
  <si>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</si>
  <si>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</si>
  <si>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</si>
  <si>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</si>
  <si>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</si>
  <si>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</si>
  <si>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</si>
  <si>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</si>
  <si>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</si>
  <si>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</si>
  <si>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</si>
  <si>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</si>
  <si>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</si>
  <si>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</si>
  <si>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</si>
  <si>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</si>
  <si>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</si>
  <si>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</si>
  <si>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</si>
  <si>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</si>
  <si>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</si>
  <si>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</si>
  <si>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</si>
  <si>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</si>
  <si>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</si>
  <si>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</si>
  <si>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</si>
  <si>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</si>
  <si>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</si>
  <si>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</si>
  <si>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</si>
  <si>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</si>
  <si>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</si>
  <si>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</si>
  <si>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</si>
  <si>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</si>
  <si>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</si>
  <si>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</si>
  <si>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</si>
  <si>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</si>
  <si>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</si>
  <si>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</si>
  <si>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</si>
  <si>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</si>
  <si>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</si>
  <si>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</si>
  <si>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</si>
  <si>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</si>
  <si>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</si>
  <si>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</si>
  <si>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</si>
  <si>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</si>
  <si>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</si>
  <si>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</si>
  <si>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</si>
  <si>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</si>
  <si>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</si>
  <si>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</si>
  <si>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</si>
  <si>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</si>
  <si>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</si>
  <si>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</si>
  <si>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</si>
  <si>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</si>
  <si>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</si>
  <si>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</si>
  <si>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</si>
  <si>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</si>
  <si>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</si>
  <si>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</si>
  <si>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</si>
  <si>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</si>
  <si>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</si>
  <si>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</si>
  <si>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</si>
  <si>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</si>
  <si>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</si>
  <si>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</si>
  <si>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</si>
  <si>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</si>
  <si>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</si>
  <si>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</si>
  <si>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</si>
  <si>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</si>
  <si>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</si>
  <si>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</si>
  <si>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</si>
  <si>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</si>
  <si>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</si>
  <si>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</si>
  <si>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</si>
  <si>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</si>
  <si>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</si>
  <si>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</si>
  <si>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</si>
  <si>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</si>
  <si>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</si>
  <si>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</si>
  <si>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</si>
  <si>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</si>
  <si>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</si>
  <si>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</si>
  <si>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</si>
  <si>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</si>
  <si>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</si>
  <si>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</si>
  <si>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</si>
  <si>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</si>
  <si>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</si>
  <si>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</si>
  <si>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</si>
  <si>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</si>
  <si>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</si>
  <si>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</si>
  <si>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</si>
  <si>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</si>
  <si>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</si>
  <si>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</si>
  <si>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</si>
  <si>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</si>
  <si>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</si>
  <si>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</si>
  <si>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</si>
  <si>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</si>
  <si>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</si>
  <si>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</si>
  <si>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</si>
  <si>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</si>
  <si>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</si>
  <si>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</si>
  <si>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</si>
  <si>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</si>
  <si>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</si>
  <si>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</si>
  <si>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</si>
  <si>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</si>
  <si>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</si>
  <si>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</si>
  <si>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</si>
  <si>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</si>
  <si>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</si>
  <si>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</si>
  <si>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</si>
  <si>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</si>
  <si>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</si>
  <si>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</si>
  <si>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</si>
  <si>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</si>
  <si>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</si>
  <si>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</si>
  <si>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</si>
  <si>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</si>
  <si>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</si>
  <si>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</si>
  <si>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</si>
  <si>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</si>
  <si>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</si>
  <si>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</si>
  <si>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</si>
  <si>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</si>
  <si>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</si>
  <si>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</si>
  <si>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</si>
  <si>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</si>
  <si>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</si>
  <si>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</si>
  <si>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</si>
  <si>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</si>
  <si>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</si>
  <si>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</si>
  <si>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</si>
  <si>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</si>
  <si>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</si>
  <si>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</si>
  <si>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</si>
  <si>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</si>
  <si>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</si>
  <si>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</si>
  <si>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</si>
  <si>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</si>
  <si>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</si>
  <si>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</si>
  <si>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</si>
  <si>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</si>
  <si>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</si>
  <si>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</si>
  <si>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</si>
  <si>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</si>
  <si>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</si>
  <si>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</si>
  <si>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</si>
  <si>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</si>
  <si>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</si>
  <si>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</si>
  <si>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</si>
  <si>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</si>
  <si>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</si>
  <si>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</si>
  <si>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</si>
  <si>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</si>
  <si>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</si>
  <si>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</si>
  <si>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</si>
  <si>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</si>
  <si>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</si>
  <si>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</si>
  <si>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</si>
  <si>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</si>
  <si>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</si>
  <si>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</si>
  <si>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</si>
  <si>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</si>
  <si>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</si>
  <si>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</si>
  <si>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</si>
  <si>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</si>
  <si>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</si>
  <si>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</si>
  <si>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</si>
  <si>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</si>
  <si>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</si>
  <si>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</si>
  <si>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</si>
  <si>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</si>
  <si>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</si>
  <si>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</si>
  <si>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</si>
  <si>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</si>
  <si>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</si>
  <si>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</si>
  <si>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</si>
  <si>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</si>
  <si>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</si>
  <si>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</si>
  <si>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</si>
  <si>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</si>
  <si>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</si>
  <si>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</si>
  <si>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</si>
  <si>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</si>
  <si>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</si>
  <si>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</si>
  <si>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</si>
  <si>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</si>
  <si>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</si>
  <si>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</si>
  <si>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</si>
  <si>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</si>
  <si>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</si>
  <si>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</si>
  <si>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</si>
  <si>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</si>
  <si>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</si>
  <si>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</si>
  <si>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</si>
  <si>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</si>
  <si>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</si>
  <si>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</si>
  <si>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</si>
  <si>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</si>
  <si>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</si>
  <si>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</si>
  <si>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</si>
  <si>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</si>
  <si>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</si>
  <si>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</si>
  <si>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</si>
  <si>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</si>
  <si>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</si>
  <si>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</si>
  <si>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</si>
  <si>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</si>
  <si>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</si>
  <si>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</si>
  <si>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</si>
  <si>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</si>
  <si>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</si>
  <si>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</si>
  <si>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</si>
  <si>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</si>
  <si>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</si>
  <si>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</si>
  <si>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</si>
  <si>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</si>
  <si>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</si>
  <si>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</si>
  <si>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</si>
  <si>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</si>
  <si>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</si>
  <si>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</si>
  <si>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</si>
  <si>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</si>
  <si>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</si>
  <si>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</si>
  <si>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</si>
  <si>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</si>
  <si>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</si>
  <si>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</si>
  <si>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</si>
  <si>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</si>
  <si>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</si>
  <si>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</si>
  <si>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</si>
  <si>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</si>
  <si>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</si>
  <si>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</si>
  <si>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</si>
  <si>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</si>
  <si>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</si>
  <si>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</si>
  <si>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</si>
  <si>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</si>
  <si>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</si>
  <si>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</si>
  <si>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</si>
  <si>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</si>
  <si>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</si>
  <si>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</si>
  <si>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</si>
  <si>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</si>
  <si>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</si>
  <si>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</si>
  <si>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</si>
  <si>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</si>
  <si>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</si>
  <si>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</si>
  <si>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</si>
  <si>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</si>
  <si>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</si>
  <si>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</si>
  <si>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</si>
  <si>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</si>
  <si>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</si>
  <si>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</si>
  <si>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</si>
  <si>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</si>
  <si>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</si>
  <si>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</si>
  <si>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</si>
  <si>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</si>
  <si>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</si>
  <si>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</si>
  <si>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</si>
  <si>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</si>
  <si>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</si>
  <si>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</si>
  <si>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</si>
  <si>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</si>
  <si>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</si>
  <si>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</si>
  <si>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</si>
  <si>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</si>
  <si>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</si>
  <si>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</si>
  <si>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</si>
  <si>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</si>
  <si>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</si>
  <si>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</si>
  <si>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</si>
  <si>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</si>
  <si>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</si>
  <si>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</si>
  <si>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</si>
  <si>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</si>
  <si>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</si>
  <si>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</si>
  <si>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</si>
  <si>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</si>
  <si>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</si>
  <si>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</si>
  <si>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</si>
  <si>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</si>
  <si>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</si>
  <si>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</si>
  <si>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</si>
  <si>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</si>
  <si>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</si>
  <si>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</si>
  <si>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</si>
  <si>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</si>
  <si>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</si>
  <si>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</si>
  <si>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</si>
  <si>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</si>
  <si>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</si>
  <si>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</si>
  <si>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</si>
  <si>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</si>
  <si>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</si>
  <si>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</si>
  <si>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</si>
  <si>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</si>
  <si>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</si>
  <si>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</si>
  <si>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</si>
  <si>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</si>
  <si>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</si>
  <si>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</si>
  <si>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</si>
  <si>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</si>
  <si>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</si>
  <si>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</si>
  <si>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</si>
  <si>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</si>
  <si>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</si>
  <si>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</si>
  <si>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</si>
  <si>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</si>
  <si>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</si>
  <si>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</si>
  <si>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</si>
  <si>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</si>
  <si>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</si>
  <si>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</si>
  <si>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</si>
  <si>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</si>
  <si>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</si>
  <si>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</si>
  <si>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</si>
  <si>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</si>
  <si>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</si>
  <si>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</si>
  <si>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</si>
  <si>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</si>
  <si>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</si>
  <si>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</si>
  <si>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</si>
  <si>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</si>
  <si>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</si>
  <si>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</si>
  <si>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</si>
  <si>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</si>
  <si>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</si>
  <si>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</si>
  <si>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</si>
  <si>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</si>
  <si>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</si>
  <si>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</si>
  <si>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</si>
  <si>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</si>
  <si>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</si>
  <si>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</si>
  <si>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</si>
  <si>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</si>
  <si>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</si>
  <si>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</si>
  <si>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</si>
  <si>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</si>
  <si>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</si>
  <si>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</si>
  <si>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</si>
  <si>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</si>
  <si>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</si>
  <si>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</si>
  <si>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</si>
  <si>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</si>
  <si>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</si>
  <si>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</si>
  <si>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</si>
  <si>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</si>
  <si>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</si>
  <si>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</si>
  <si>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</si>
  <si>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</si>
  <si>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</si>
  <si>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</si>
  <si>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</si>
  <si>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</si>
  <si>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</si>
  <si>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</si>
  <si>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</si>
  <si>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</si>
  <si>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</si>
  <si>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</si>
  <si>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</si>
  <si>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</si>
  <si>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</si>
  <si>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</si>
  <si>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</si>
  <si>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</si>
  <si>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</si>
  <si>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</si>
  <si>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</si>
  <si>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</si>
  <si>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</si>
  <si>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</si>
  <si>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</si>
  <si>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</si>
  <si>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</si>
  <si>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</si>
  <si>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</si>
  <si>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</si>
  <si>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</si>
  <si>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</si>
  <si>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</si>
  <si>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</si>
  <si>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</si>
  <si>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</si>
  <si>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</si>
  <si>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</si>
  <si>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</si>
  <si>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</si>
  <si>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</si>
  <si>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</si>
  <si>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</si>
  <si>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</si>
  <si>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</si>
  <si>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</si>
  <si>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</si>
  <si>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</si>
  <si>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</si>
  <si>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</si>
  <si>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</si>
  <si>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</si>
  <si>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</si>
  <si>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</si>
  <si>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</si>
  <si>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</si>
  <si>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</si>
  <si>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</si>
  <si>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</si>
  <si>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</si>
  <si>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</si>
  <si>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</si>
  <si>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</si>
  <si>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</si>
  <si>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</si>
  <si>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</si>
  <si>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</si>
  <si>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</si>
  <si>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</si>
  <si>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</si>
  <si>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</si>
  <si>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</si>
  <si>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</si>
  <si>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</si>
  <si>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</si>
  <si>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</si>
  <si>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</si>
  <si>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</si>
  <si>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</si>
  <si>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</si>
  <si>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</si>
  <si>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</si>
  <si>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</si>
  <si>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</si>
  <si>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</si>
  <si>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</si>
  <si>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</si>
  <si>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</si>
  <si>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</si>
  <si>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</si>
  <si>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</si>
  <si>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</si>
  <si>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</si>
  <si>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</si>
  <si>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</si>
  <si>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</si>
  <si>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</si>
  <si>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</si>
  <si>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</si>
  <si>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</si>
  <si>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</si>
  <si>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</si>
  <si>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</si>
  <si>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</si>
  <si>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</si>
  <si>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</si>
  <si>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</si>
  <si>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</si>
  <si>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</si>
  <si>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</si>
  <si>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</si>
  <si>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</si>
  <si>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</si>
  <si>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</si>
  <si>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</si>
  <si>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</si>
  <si>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</si>
  <si>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</si>
  <si>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</si>
  <si>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</si>
  <si>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</si>
  <si>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</si>
  <si>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</si>
  <si>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</si>
  <si>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</si>
  <si>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</si>
  <si>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</si>
  <si>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</si>
  <si>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</si>
  <si>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</si>
  <si>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</si>
  <si>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</si>
  <si>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</si>
  <si>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</si>
  <si>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</si>
  <si>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</si>
  <si>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</si>
  <si>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</si>
  <si>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</si>
  <si>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</si>
  <si>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</si>
  <si>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</si>
  <si>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</si>
  <si>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</si>
  <si>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</si>
  <si>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</si>
  <si>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</si>
  <si>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</si>
  <si>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</si>
  <si>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</si>
  <si>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</si>
  <si>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</si>
  <si>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</si>
  <si>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</si>
  <si>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</si>
  <si>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</si>
  <si>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</si>
  <si>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</si>
  <si>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</si>
  <si>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</si>
  <si>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</si>
  <si>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</si>
  <si>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</si>
  <si>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</si>
  <si>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</si>
  <si>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</si>
  <si>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</si>
  <si>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</si>
  <si>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</si>
  <si>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</si>
  <si>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</si>
  <si>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</si>
  <si>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</si>
  <si>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</si>
  <si>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</si>
  <si>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</si>
  <si>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</si>
  <si>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</si>
  <si>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</si>
  <si>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</si>
  <si>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</si>
  <si>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</si>
  <si>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</si>
  <si>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</si>
  <si>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</si>
  <si>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</si>
  <si>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</si>
  <si>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</si>
  <si>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</si>
  <si>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</si>
  <si>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</si>
  <si>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</si>
  <si>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</si>
  <si>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</si>
  <si>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</si>
  <si>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</si>
  <si>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</si>
  <si>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</si>
  <si>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</si>
  <si>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</si>
  <si>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</si>
  <si>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</si>
  <si>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</si>
  <si>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</si>
  <si>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</si>
  <si>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</si>
  <si>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</si>
  <si>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</si>
  <si>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</si>
  <si>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</si>
  <si>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</si>
  <si>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</si>
  <si>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</si>
  <si>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</si>
  <si>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</si>
  <si>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</si>
  <si>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</si>
  <si>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</si>
  <si>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</si>
  <si>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</si>
  <si>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</si>
  <si>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</si>
  <si>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</si>
  <si>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</si>
  <si>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</si>
  <si>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</si>
  <si>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</si>
  <si>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</si>
  <si>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</si>
  <si>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</si>
  <si>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</si>
  <si>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</si>
  <si>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</si>
  <si>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</si>
  <si>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</si>
  <si>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</si>
  <si>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</si>
  <si>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</si>
  <si>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</si>
  <si>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</si>
  <si>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</si>
  <si>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</si>
  <si>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</si>
  <si>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</si>
  <si>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</si>
  <si>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</si>
  <si>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</si>
  <si>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</si>
  <si>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</si>
  <si>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</si>
  <si>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</si>
  <si>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</si>
  <si>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</si>
  <si>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</si>
  <si>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</si>
  <si>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</si>
  <si>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</si>
  <si>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</si>
  <si>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</si>
  <si>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</si>
  <si>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</si>
  <si>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</si>
  <si>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</si>
  <si>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</si>
  <si>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</si>
  <si>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</si>
  <si>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</si>
  <si>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</si>
  <si>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</si>
  <si>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</si>
  <si>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</si>
  <si>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</si>
  <si>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</si>
  <si>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</si>
  <si>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</si>
  <si>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</si>
  <si>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</si>
  <si>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</si>
  <si>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</si>
  <si>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</si>
  <si>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</si>
  <si>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</si>
  <si>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</si>
  <si>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</si>
  <si>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</si>
  <si>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</si>
  <si>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</si>
  <si>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</si>
  <si>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</si>
  <si>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</si>
  <si>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</si>
  <si>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</si>
  <si>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</si>
  <si>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</si>
  <si>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</si>
  <si>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</si>
  <si>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</si>
  <si>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</si>
  <si>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</si>
  <si>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</si>
  <si>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</si>
  <si>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</si>
  <si>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</si>
  <si>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</si>
  <si>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</si>
  <si>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</si>
  <si>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</si>
  <si>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</si>
  <si>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</si>
  <si>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</si>
  <si>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</si>
  <si>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</si>
  <si>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</si>
  <si>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</si>
  <si>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</si>
  <si>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</si>
  <si>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</si>
  <si>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</si>
  <si>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</si>
  <si>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</si>
  <si>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</si>
  <si>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</si>
  <si>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</si>
  <si>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</si>
  <si>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</si>
  <si>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</si>
  <si>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</si>
  <si>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</si>
  <si>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</si>
  <si>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</si>
  <si>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</si>
  <si>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</si>
  <si>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</si>
  <si>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</si>
  <si>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</si>
  <si>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</si>
  <si>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</si>
  <si>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</si>
  <si>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</si>
  <si>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</si>
  <si>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</si>
  <si>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</si>
  <si>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</si>
  <si>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</si>
  <si>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</si>
  <si>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</si>
  <si>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</si>
  <si>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</si>
  <si>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</si>
  <si>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</si>
  <si>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</si>
  <si>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</si>
  <si>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</si>
  <si>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</si>
  <si>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</si>
  <si>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</si>
  <si>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</si>
  <si>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</si>
  <si>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</si>
  <si>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</si>
  <si>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</si>
  <si>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</si>
  <si>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</si>
  <si>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</si>
  <si>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</si>
  <si>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</si>
  <si>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</si>
  <si>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</si>
  <si>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</si>
  <si>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</si>
  <si>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</si>
  <si>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</si>
  <si>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</si>
  <si>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</si>
  <si>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</si>
  <si>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</si>
  <si>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</si>
  <si>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</si>
  <si>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</si>
  <si>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</si>
  <si>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</si>
  <si>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</si>
  <si>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</si>
  <si>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</si>
  <si>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</si>
  <si>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</si>
  <si>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</si>
  <si>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</si>
  <si>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</si>
  <si>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</si>
  <si>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</si>
  <si>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</si>
  <si>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</si>
  <si>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</si>
  <si>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</si>
  <si>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</si>
  <si>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</si>
  <si>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</si>
  <si>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</si>
  <si>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</si>
  <si>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</si>
  <si>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</si>
  <si>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</si>
  <si>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</si>
  <si>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</si>
  <si>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</si>
  <si>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</si>
  <si>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</si>
  <si>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</si>
  <si>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</si>
  <si>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</si>
  <si>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</si>
  <si>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</si>
  <si>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</si>
  <si>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</si>
  <si>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</si>
  <si>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</si>
  <si>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</si>
  <si>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</si>
  <si>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</si>
  <si>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</si>
  <si>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</si>
  <si>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</si>
  <si>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</si>
  <si>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</si>
  <si>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</si>
  <si>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</si>
  <si>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</si>
  <si>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</si>
  <si>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</si>
  <si>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</si>
  <si>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</si>
  <si>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</si>
  <si>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</si>
  <si>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</si>
  <si>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</si>
  <si>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</si>
  <si>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</si>
  <si>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</si>
  <si>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</si>
  <si>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</si>
  <si>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</si>
  <si>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</si>
  <si>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</si>
  <si>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</si>
  <si>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</si>
  <si>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</si>
  <si>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</si>
  <si>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</si>
  <si>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</si>
  <si>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</si>
  <si>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</si>
  <si>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</si>
  <si>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</si>
  <si>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</si>
  <si>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</si>
  <si>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</si>
  <si>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</si>
  <si>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</si>
  <si>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</si>
  <si>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</si>
  <si>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</si>
  <si>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</si>
  <si>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</si>
  <si>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</si>
  <si>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</si>
  <si>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</si>
  <si>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</si>
  <si>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</si>
  <si>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</si>
  <si>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</si>
  <si>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</si>
  <si>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</si>
  <si>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</si>
  <si>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</si>
  <si>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</si>
  <si>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</si>
  <si>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</si>
  <si>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</si>
  <si>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</si>
  <si>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</si>
  <si>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</si>
  <si>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</si>
  <si>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</si>
  <si>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</si>
  <si>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</si>
  <si>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</si>
  <si>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</si>
  <si>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</si>
  <si>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</si>
  <si>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</si>
  <si>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</si>
  <si>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</si>
  <si>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</si>
  <si>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</si>
  <si>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</si>
  <si>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</si>
  <si>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</si>
  <si>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</si>
  <si>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</si>
  <si>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</si>
  <si>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</si>
  <si>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</si>
  <si>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</si>
  <si>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</si>
  <si>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</si>
  <si>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</si>
  <si>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</si>
  <si>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</si>
  <si>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</si>
  <si>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</si>
  <si>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</si>
  <si>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</si>
  <si>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</si>
  <si>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</si>
  <si>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</si>
  <si>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</si>
  <si>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</si>
  <si>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</si>
  <si>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</si>
  <si>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</si>
  <si>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</si>
  <si>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</si>
  <si>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</si>
  <si>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</si>
  <si>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</si>
  <si>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</si>
  <si>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</si>
  <si>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</si>
  <si>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</si>
  <si>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</si>
  <si>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</si>
  <si>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</si>
  <si>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</si>
  <si>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</si>
  <si>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</si>
  <si>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</si>
  <si>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</si>
  <si>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</si>
  <si>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</si>
  <si>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</si>
  <si>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</si>
  <si>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</si>
  <si>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</si>
  <si>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</si>
  <si>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</si>
  <si>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</si>
  <si>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</si>
  <si>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</si>
  <si>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</si>
  <si>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</si>
  <si>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</si>
  <si>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</si>
  <si>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</si>
  <si>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</si>
  <si>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</si>
  <si>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</si>
  <si>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</si>
  <si>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</si>
  <si>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</si>
  <si>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</si>
  <si>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</si>
  <si>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</si>
  <si>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</si>
  <si>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</si>
  <si>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</si>
  <si>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</si>
  <si>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</si>
  <si>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</si>
  <si>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</si>
  <si>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</si>
  <si>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</si>
  <si>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</si>
  <si>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</si>
  <si>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</si>
  <si>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</si>
  <si>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</si>
  <si>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</si>
  <si>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</si>
  <si>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</si>
  <si>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</si>
  <si>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</si>
  <si>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</si>
  <si>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</si>
  <si>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</si>
  <si>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</si>
  <si>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</si>
  <si>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</si>
  <si>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</si>
  <si>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</si>
  <si>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</si>
  <si>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</si>
  <si>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</si>
  <si>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</si>
  <si>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</si>
  <si>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</si>
  <si>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</si>
  <si>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</si>
  <si>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</si>
  <si>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</si>
  <si>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</si>
  <si>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</si>
  <si>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</si>
  <si>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</si>
  <si>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</si>
  <si>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</si>
  <si>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</si>
  <si>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</si>
  <si>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</si>
  <si>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</si>
  <si>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</si>
  <si>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</si>
  <si>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</si>
  <si>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</si>
  <si>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</si>
  <si>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</si>
  <si>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</si>
  <si>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</si>
  <si>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</si>
  <si>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</si>
  <si>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</si>
  <si>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</si>
  <si>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</si>
  <si>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</si>
  <si>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</si>
  <si>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</si>
  <si>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</si>
  <si>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</si>
  <si>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</si>
  <si>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</si>
  <si>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</si>
  <si>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</si>
  <si>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</si>
  <si>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</si>
  <si>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</si>
  <si>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</si>
  <si>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</si>
  <si>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</si>
  <si>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</si>
  <si>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</si>
  <si>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</si>
  <si>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</si>
  <si>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</si>
  <si>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</si>
  <si>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</si>
  <si>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</si>
  <si>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</si>
  <si>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</si>
  <si>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</si>
  <si>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</si>
  <si>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</si>
  <si>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</si>
  <si>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</si>
  <si>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</si>
  <si>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</si>
  <si>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</si>
  <si>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</si>
  <si>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</si>
  <si>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</si>
  <si>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</si>
  <si>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</si>
  <si>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</si>
  <si>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</si>
  <si>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</si>
  <si>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</si>
  <si>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</si>
  <si>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</si>
  <si>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</si>
  <si>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</si>
  <si>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</si>
  <si>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</si>
  <si>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</si>
  <si>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</si>
  <si>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</si>
  <si>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</si>
  <si>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</si>
  <si>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</si>
  <si>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</si>
  <si>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</si>
  <si>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</si>
  <si>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</si>
  <si>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</si>
  <si>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</si>
  <si>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</si>
  <si>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</si>
  <si>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</si>
  <si>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</si>
  <si>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</si>
  <si>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</si>
  <si>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</si>
  <si>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</si>
  <si>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</si>
  <si>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</si>
  <si>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</si>
  <si>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</si>
  <si>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</si>
  <si>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</si>
  <si>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</si>
  <si>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</si>
  <si>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</si>
  <si>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</si>
  <si>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</si>
  <si>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</si>
  <si>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</si>
  <si>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</si>
  <si>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</si>
  <si>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</si>
  <si>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</si>
  <si>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</si>
  <si>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</si>
  <si>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</si>
  <si>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</si>
  <si>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</si>
  <si>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</si>
  <si>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</si>
  <si>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</si>
  <si>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</si>
  <si>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</si>
  <si>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</si>
  <si>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</si>
  <si>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</si>
  <si>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</si>
  <si>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</si>
  <si>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</si>
  <si>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</si>
  <si>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</si>
  <si>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</si>
  <si>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</si>
  <si>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</si>
  <si>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</si>
  <si>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</si>
  <si>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</si>
  <si>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</si>
  <si>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</si>
  <si>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</si>
  <si>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</si>
  <si>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</si>
  <si>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</si>
  <si>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</si>
  <si>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</si>
  <si>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</si>
  <si>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</si>
  <si>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</si>
  <si>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</si>
  <si>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</si>
  <si>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</si>
  <si>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</si>
  <si>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</si>
  <si>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</si>
  <si>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</si>
  <si>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</si>
  <si>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</si>
  <si>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</si>
  <si>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</si>
  <si>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</si>
  <si>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</si>
  <si>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</si>
  <si>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</si>
  <si>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</si>
  <si>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</si>
  <si>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</si>
  <si>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</si>
  <si>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</si>
  <si>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</si>
  <si>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</si>
  <si>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</si>
  <si>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</si>
  <si>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</si>
  <si>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</si>
  <si>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</si>
  <si>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</si>
  <si>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</si>
  <si>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</si>
  <si>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</si>
  <si>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</si>
  <si>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</si>
  <si>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</si>
  <si>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</si>
  <si>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</si>
  <si>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</si>
  <si>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</si>
  <si>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</si>
  <si>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</si>
  <si>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</si>
  <si>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</si>
  <si>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</si>
  <si>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</si>
  <si>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</si>
  <si>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</si>
  <si>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</si>
  <si>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</si>
  <si>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</si>
  <si>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</si>
  <si>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</si>
  <si>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</si>
  <si>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</si>
  <si>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</si>
  <si>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</si>
  <si>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</si>
  <si>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</si>
  <si>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</si>
  <si>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</si>
  <si>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</si>
  <si>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</si>
  <si>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</si>
  <si>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</si>
  <si>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</si>
  <si>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</si>
  <si>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</si>
  <si>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</si>
  <si>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</si>
  <si>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</si>
  <si>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</si>
  <si>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</si>
  <si>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</si>
  <si>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</si>
  <si>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</si>
  <si>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</si>
  <si>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</si>
  <si>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</si>
  <si>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</si>
  <si>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</si>
  <si>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</si>
  <si>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</si>
  <si>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</si>
  <si>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</si>
  <si>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</si>
  <si>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</si>
  <si>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</si>
  <si>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</si>
  <si>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</si>
  <si>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</si>
  <si>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</si>
  <si>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</si>
  <si>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</si>
  <si>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</si>
  <si>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</si>
  <si>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</si>
  <si>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</si>
  <si>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</si>
  <si>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</si>
  <si>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</si>
  <si>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</si>
  <si>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</si>
  <si>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</si>
  <si>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</si>
  <si>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</si>
  <si>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</si>
  <si>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</si>
  <si>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</si>
  <si>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</si>
  <si>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</si>
  <si>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</si>
  <si>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</si>
  <si>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</si>
  <si>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</si>
  <si>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</si>
  <si>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</si>
  <si>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</si>
  <si>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</si>
  <si>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</si>
  <si>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</si>
  <si>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</si>
  <si>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</si>
  <si>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</si>
  <si>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</si>
  <si>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</si>
  <si>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</si>
  <si>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</si>
  <si>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</si>
  <si>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</si>
  <si>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</si>
  <si>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</si>
  <si>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</si>
  <si>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</si>
  <si>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</si>
  <si>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</si>
  <si>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</si>
  <si>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</si>
  <si>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</si>
  <si>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</si>
  <si>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</si>
  <si>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</si>
  <si>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</si>
  <si>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</si>
  <si>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</si>
  <si>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</si>
  <si>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</si>
  <si>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</si>
  <si>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</si>
  <si>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</si>
  <si>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</si>
  <si>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</si>
  <si>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</si>
  <si>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</si>
  <si>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</si>
  <si>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</si>
  <si>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</si>
  <si>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</si>
  <si>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</si>
  <si>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</si>
  <si>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</si>
  <si>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</si>
  <si>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</si>
  <si>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</si>
  <si>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</si>
  <si>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</si>
  <si>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</si>
  <si>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</si>
  <si>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</si>
  <si>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</si>
  <si>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</si>
  <si>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</si>
  <si>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</si>
  <si>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</si>
  <si>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</si>
  <si>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</si>
  <si>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</si>
  <si>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</si>
  <si>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</si>
  <si>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</si>
  <si>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</si>
  <si>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</si>
  <si>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</si>
  <si>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</si>
  <si>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</si>
  <si>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</si>
  <si>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</si>
  <si>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</si>
  <si>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</si>
  <si>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</si>
  <si>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</si>
  <si>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</si>
  <si>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</si>
  <si>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</si>
  <si>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</si>
  <si>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</si>
  <si>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</si>
  <si>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</si>
  <si>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</si>
  <si>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</si>
  <si>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</si>
  <si>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</si>
  <si>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</si>
  <si>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</si>
  <si>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</si>
  <si>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</si>
  <si>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</si>
  <si>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</si>
  <si>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</si>
  <si>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</si>
  <si>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</si>
  <si>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</si>
  <si>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</si>
  <si>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</si>
  <si>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</si>
  <si>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</si>
  <si>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</si>
  <si>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</si>
  <si>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</si>
  <si>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</si>
  <si>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</si>
  <si>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</si>
  <si>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</si>
  <si>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</si>
  <si>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</si>
  <si>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</si>
  <si>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</si>
  <si>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</si>
  <si>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</si>
  <si>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</si>
  <si>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</si>
  <si>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</si>
  <si>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</si>
  <si>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</si>
  <si>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</si>
  <si>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</si>
  <si>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</si>
  <si>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</si>
  <si>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</si>
  <si>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</si>
  <si>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</si>
  <si>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</si>
  <si>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</si>
  <si>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</si>
  <si>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</si>
  <si>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</si>
  <si>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</si>
  <si>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</si>
  <si>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</si>
  <si>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</si>
  <si>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</si>
  <si>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</si>
  <si>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</si>
  <si>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</si>
  <si>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</si>
  <si>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</si>
  <si>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</si>
  <si>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</si>
  <si>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</si>
  <si>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</si>
  <si>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</si>
  <si>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</si>
  <si>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</si>
  <si>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</si>
  <si>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</si>
  <si>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</si>
  <si>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</si>
  <si>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</si>
  <si>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</si>
  <si>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</si>
  <si>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</si>
  <si>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</si>
  <si>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</si>
  <si>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</si>
  <si>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</si>
  <si>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</si>
  <si>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</si>
  <si>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</si>
  <si>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</si>
  <si>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</si>
  <si>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</si>
  <si>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</si>
  <si>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</si>
  <si>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</si>
  <si>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</si>
  <si>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</si>
  <si>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</si>
  <si>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</si>
  <si>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</si>
  <si>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</si>
  <si>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</si>
  <si>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</si>
  <si>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</si>
  <si>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</si>
  <si>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</si>
  <si>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</si>
  <si>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</si>
  <si>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</si>
  <si>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</si>
  <si>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</si>
  <si>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</si>
  <si>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</si>
  <si>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</si>
  <si>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</si>
  <si>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</si>
  <si>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</si>
  <si>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</si>
  <si>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</si>
  <si>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</si>
  <si>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</si>
  <si>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</si>
  <si>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</si>
  <si>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</si>
  <si>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</si>
  <si>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</si>
  <si>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</si>
  <si>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</si>
  <si>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</si>
  <si>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</si>
  <si>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</si>
  <si>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</si>
  <si>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</si>
  <si>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</si>
  <si>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</si>
  <si>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</si>
  <si>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</si>
  <si>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</si>
  <si>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</si>
  <si>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</si>
  <si>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</si>
  <si>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</si>
  <si>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</si>
  <si>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</si>
  <si>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</si>
  <si>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</si>
  <si>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</si>
  <si>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</si>
  <si>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</si>
  <si>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</si>
  <si>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</si>
  <si>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</si>
  <si>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</si>
  <si>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</si>
  <si>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</si>
  <si>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</si>
  <si>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</si>
  <si>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</si>
  <si>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</si>
  <si>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</si>
  <si>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</si>
  <si>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</si>
  <si>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</si>
  <si>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</si>
  <si>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</si>
  <si>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</si>
  <si>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</si>
  <si>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</si>
  <si>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</si>
  <si>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</si>
  <si>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</si>
  <si>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</si>
  <si>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</si>
  <si>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</si>
  <si>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</si>
  <si>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</si>
  <si>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</si>
  <si>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</si>
  <si>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</si>
  <si>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</si>
  <si>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</si>
  <si>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</si>
  <si>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</si>
  <si>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</si>
  <si>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</si>
  <si>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</si>
  <si>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</si>
  <si>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</si>
  <si>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</si>
  <si>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</si>
  <si>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</si>
  <si>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</si>
  <si>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</si>
  <si>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</si>
  <si>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</si>
  <si>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</si>
  <si>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</si>
  <si>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</si>
  <si>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</si>
  <si>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</si>
  <si>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</si>
  <si>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</si>
  <si>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</si>
  <si>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</si>
  <si>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</si>
  <si>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</si>
  <si>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</si>
  <si>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</si>
  <si>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</si>
  <si>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</si>
  <si>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</si>
  <si>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</si>
  <si>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</si>
  <si>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</si>
  <si>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</si>
  <si>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</si>
  <si>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</si>
  <si>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</si>
  <si>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</si>
  <si>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</si>
  <si>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</si>
  <si>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</si>
  <si>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</si>
  <si>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</si>
  <si>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</si>
  <si>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</si>
  <si>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</si>
  <si>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</si>
  <si>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</si>
  <si>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</si>
  <si>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</si>
  <si>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</si>
  <si>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</si>
  <si>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</si>
  <si>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</si>
  <si>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</si>
  <si>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</si>
  <si>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</si>
  <si>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</si>
  <si>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</si>
  <si>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</si>
  <si>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</si>
  <si>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</si>
  <si>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</si>
  <si>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</si>
  <si>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</si>
  <si>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</si>
  <si>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</si>
  <si>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</si>
  <si>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</si>
  <si>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</si>
  <si>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</si>
  <si>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</si>
  <si>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</si>
  <si>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</si>
  <si>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</si>
  <si>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</si>
  <si>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</si>
  <si>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</si>
  <si>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</si>
  <si>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</si>
  <si>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</si>
  <si>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</si>
  <si>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</si>
  <si>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</si>
  <si>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</si>
  <si>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</si>
  <si>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</si>
  <si>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</si>
  <si>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</si>
  <si>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</si>
  <si>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</si>
  <si>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</si>
  <si>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</si>
  <si>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</si>
  <si>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</si>
  <si>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</si>
  <si>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</si>
  <si>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</si>
  <si>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</si>
  <si>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</si>
  <si>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</si>
  <si>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</si>
  <si>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</si>
  <si>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</si>
  <si>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</si>
  <si>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</si>
  <si>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</si>
  <si>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</si>
  <si>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</si>
  <si>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</si>
  <si>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</si>
  <si>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</si>
  <si>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</si>
  <si>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</si>
  <si>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</si>
  <si>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</si>
  <si>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</si>
  <si>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</si>
  <si>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</si>
  <si>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</si>
  <si>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</si>
  <si>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</si>
  <si>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</si>
  <si>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</si>
  <si>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</si>
  <si>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</si>
  <si>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</si>
  <si>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</si>
  <si>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</si>
  <si>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</si>
  <si>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</si>
  <si>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</si>
  <si>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</si>
  <si>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</si>
  <si>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</si>
  <si>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</si>
  <si>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</si>
  <si>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</si>
  <si>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</si>
  <si>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</si>
  <si>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</si>
  <si>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</si>
  <si>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</si>
  <si>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</si>
  <si>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</si>
  <si>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</si>
  <si>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</si>
  <si>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</si>
  <si>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</si>
  <si>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</si>
  <si>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</si>
  <si>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</si>
  <si>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</si>
  <si>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</si>
  <si>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</si>
  <si>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</si>
  <si>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</si>
  <si>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</si>
  <si>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</si>
  <si>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</si>
  <si>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</si>
  <si>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</si>
  <si>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</si>
  <si>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</si>
  <si>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</si>
  <si>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</si>
  <si>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</si>
  <si>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</si>
  <si>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</si>
  <si>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</si>
  <si>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</si>
  <si>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</si>
  <si>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</si>
  <si>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</si>
  <si>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</si>
  <si>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</si>
  <si>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</si>
  <si>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</si>
  <si>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</si>
  <si>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</si>
  <si>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</si>
  <si>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</si>
  <si>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</si>
  <si>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</si>
  <si>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</si>
  <si>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</si>
  <si>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</si>
  <si>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</si>
  <si>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</si>
  <si>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</si>
  <si>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</si>
  <si>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</si>
  <si>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</si>
  <si>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</si>
  <si>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</si>
  <si>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</si>
  <si>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</si>
  <si>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</si>
  <si>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</si>
  <si>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</si>
  <si>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</si>
  <si>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</si>
  <si>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</si>
  <si>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</si>
  <si>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</si>
  <si>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</si>
  <si>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</si>
  <si>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</si>
  <si>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</si>
  <si>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</si>
  <si>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</si>
  <si>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</si>
  <si>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</si>
  <si>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</si>
  <si>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</si>
  <si>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</si>
  <si>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</si>
  <si>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</si>
  <si>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</si>
  <si>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</si>
  <si>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</si>
  <si>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</si>
  <si>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</si>
  <si>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</si>
  <si>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</si>
  <si>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</si>
  <si>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</si>
  <si>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</si>
  <si>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</si>
  <si>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</si>
  <si>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</si>
  <si>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</si>
  <si>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</si>
  <si>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</si>
  <si>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</si>
  <si>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</si>
  <si>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</si>
  <si>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</si>
  <si>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</si>
  <si>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</si>
  <si>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</si>
  <si>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</si>
  <si>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</si>
  <si>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</si>
  <si>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</si>
  <si>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</si>
  <si>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</si>
  <si>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</si>
  <si>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</si>
  <si>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</si>
  <si>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</si>
  <si>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</si>
  <si>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</si>
  <si>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</si>
  <si>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</si>
  <si>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</si>
  <si>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</si>
  <si>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</si>
  <si>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</si>
  <si>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</si>
  <si>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</si>
  <si>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</si>
  <si>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</si>
  <si>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</si>
  <si>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</si>
  <si>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</si>
  <si>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</si>
  <si>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</si>
  <si>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</si>
  <si>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</si>
  <si>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</si>
  <si>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</si>
  <si>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</si>
  <si>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</si>
  <si>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</si>
  <si>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</si>
  <si>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</si>
  <si>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</si>
  <si>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</si>
  <si>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</si>
  <si>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</si>
  <si>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</si>
  <si>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</si>
  <si>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</si>
  <si>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</si>
  <si>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</si>
  <si>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</si>
  <si>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</si>
  <si>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</si>
  <si>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</si>
  <si>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</si>
  <si>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</si>
  <si>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</si>
  <si>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</si>
  <si>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</si>
  <si>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</si>
  <si>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</si>
  <si>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</si>
  <si>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</si>
  <si>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</si>
  <si>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</si>
  <si>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</si>
  <si>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</si>
  <si>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</si>
  <si>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</si>
  <si>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</si>
  <si>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</si>
  <si>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</si>
  <si>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</si>
  <si>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</si>
  <si>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</si>
  <si>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</si>
  <si>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</si>
  <si>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</si>
  <si>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</si>
  <si>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</si>
  <si>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</si>
  <si>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</si>
  <si>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</si>
  <si>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</si>
  <si>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</si>
  <si>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</si>
  <si>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</si>
  <si>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</si>
  <si>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</si>
  <si>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</si>
  <si>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</si>
  <si>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</si>
  <si>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</si>
  <si>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</si>
  <si>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</si>
  <si>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</si>
  <si>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</si>
  <si>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</si>
  <si>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</si>
  <si>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</si>
  <si>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</si>
  <si>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</si>
  <si>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</si>
  <si>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</si>
  <si>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</si>
  <si>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</si>
  <si>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</si>
  <si>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</si>
  <si>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</si>
  <si>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</si>
  <si>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</si>
  <si>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</si>
  <si>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</si>
  <si>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</si>
  <si>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</si>
  <si>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</si>
  <si>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</si>
  <si>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</si>
  <si>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</si>
  <si>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</si>
  <si>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</si>
  <si>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</si>
  <si>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</si>
  <si>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</si>
  <si>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</si>
  <si>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</si>
  <si>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</si>
  <si>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</si>
  <si>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</si>
  <si>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</si>
  <si>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</si>
  <si>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</si>
  <si>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</si>
  <si>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</si>
  <si>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</si>
  <si>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</si>
  <si>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</si>
  <si>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</si>
  <si>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</si>
  <si>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</si>
  <si>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</si>
  <si>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</si>
  <si>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</si>
  <si>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</si>
  <si>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</si>
  <si>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</si>
  <si>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</si>
  <si>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</si>
  <si>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</si>
  <si>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</si>
  <si>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</si>
  <si>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</si>
  <si>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</si>
  <si>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</si>
  <si>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</si>
  <si>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</si>
  <si>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</si>
  <si>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</si>
  <si>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</si>
  <si>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</si>
  <si>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</si>
  <si>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</si>
  <si>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</si>
  <si>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</si>
  <si>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</si>
  <si>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</si>
  <si>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</si>
  <si>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</si>
  <si>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</si>
  <si>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</si>
  <si>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</si>
  <si>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</si>
  <si>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</si>
  <si>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</si>
  <si>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</si>
  <si>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</si>
  <si>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</si>
  <si>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</si>
  <si>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</si>
  <si>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</si>
  <si>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</si>
  <si>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</si>
  <si>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</si>
  <si>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</si>
  <si>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</si>
  <si>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</si>
  <si>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</si>
  <si>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</si>
  <si>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</si>
  <si>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</si>
  <si>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</si>
  <si>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</si>
  <si>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</si>
  <si>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</si>
  <si>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</si>
  <si>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</si>
  <si>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</si>
  <si>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</si>
  <si>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</si>
  <si>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</si>
  <si>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</si>
  <si>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</si>
  <si>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</si>
  <si>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</si>
  <si>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</si>
  <si>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</si>
  <si>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</si>
  <si>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</si>
  <si>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</si>
  <si>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</si>
  <si>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</si>
  <si>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</si>
  <si>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</si>
  <si>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</si>
  <si>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</si>
  <si>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</si>
  <si>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</si>
  <si>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</si>
  <si>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</si>
  <si>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</si>
  <si>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</si>
  <si>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</si>
  <si>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</si>
  <si>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</si>
  <si>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</si>
  <si>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</si>
  <si>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</si>
  <si>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</si>
  <si>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</si>
  <si>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</si>
  <si>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</si>
  <si>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</si>
  <si>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</si>
  <si>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</si>
  <si>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</si>
  <si>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</si>
  <si>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</si>
  <si>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</si>
  <si>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</si>
  <si>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</si>
  <si>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</si>
  <si>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</si>
  <si>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</si>
  <si>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</si>
  <si>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</si>
  <si>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</si>
  <si>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</si>
  <si>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</si>
  <si>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</si>
  <si>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</si>
  <si>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</si>
  <si>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</si>
  <si>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</si>
  <si>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</si>
  <si>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</si>
  <si>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</si>
  <si>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</si>
  <si>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</si>
  <si>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</si>
  <si>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</si>
  <si>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</si>
  <si>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</si>
  <si>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</si>
  <si>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</si>
  <si>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</si>
  <si>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</si>
  <si>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</si>
  <si>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</si>
  <si>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</si>
  <si>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</si>
  <si>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</si>
  <si>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</si>
  <si>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</si>
  <si>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</si>
  <si>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</si>
  <si>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</si>
  <si>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</si>
  <si>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</si>
  <si>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</si>
  <si>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</si>
  <si>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</si>
  <si>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</si>
  <si>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</si>
  <si>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</si>
  <si>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</si>
  <si>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</si>
  <si>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</si>
  <si>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</si>
  <si>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</si>
  <si>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</si>
  <si>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</si>
  <si>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</si>
  <si>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</si>
  <si>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</si>
  <si>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</si>
  <si>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</si>
  <si>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</si>
  <si>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</si>
  <si>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</si>
  <si>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</si>
  <si>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</si>
  <si>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</si>
  <si>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</si>
  <si>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</si>
  <si>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</si>
  <si>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</si>
  <si>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</si>
  <si>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</si>
  <si>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</si>
  <si>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</si>
  <si>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</si>
  <si>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</si>
  <si>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</si>
  <si>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</si>
  <si>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</si>
  <si>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</si>
  <si>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是</t>
  </si>
  <si>
    <t>成新度</t>
  </si>
  <si>
    <t>抵押</t>
  </si>
  <si>
    <t>房地产抵押价值</t>
  </si>
  <si>
    <t>其他：</t>
  </si>
  <si>
    <t>企业</t>
  </si>
  <si>
    <t>出让</t>
  </si>
  <si>
    <t>正常</t>
  </si>
  <si>
    <t>王鹏</t>
  </si>
  <si>
    <t>郑燚</t>
  </si>
  <si>
    <t>昆仑信托有限责任公司</t>
    <phoneticPr fontId="7" type="noConversion"/>
  </si>
  <si>
    <t>秦皇岛天行九州旅游置业开发有限公司</t>
  </si>
  <si>
    <t>秦皇岛天行九州旅游置业开发有限公司</t>
    <phoneticPr fontId="7" type="noConversion"/>
  </si>
  <si>
    <t>复印件</t>
  </si>
  <si>
    <t>《国有土地使用权》</t>
  </si>
  <si>
    <t>地上</t>
  </si>
  <si>
    <t>独栋</t>
  </si>
  <si>
    <t>小院</t>
  </si>
  <si>
    <t>小院</t>
    <phoneticPr fontId="17" type="noConversion"/>
  </si>
  <si>
    <t>联排</t>
  </si>
  <si>
    <t>洋房</t>
  </si>
  <si>
    <t>公寓</t>
  </si>
  <si>
    <t>配套商业</t>
  </si>
  <si>
    <t>配套商业</t>
    <phoneticPr fontId="17"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</si>
  <si>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</si>
  <si>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</si>
  <si>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</si>
  <si>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</si>
  <si>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</si>
  <si>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</si>
  <si>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</si>
  <si>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</si>
  <si>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4" type="noConversion"/>
  </si>
  <si>
    <t>单位面积地价</t>
  </si>
  <si>
    <t>其他省市系数</t>
  </si>
  <si>
    <t>未包含在土地购买价格中</t>
  </si>
  <si>
    <t>已包含在土地取得成本中</t>
  </si>
  <si>
    <t>A5地块房屋测算</t>
  </si>
  <si>
    <t>A5抵押物明细表</t>
  </si>
  <si>
    <t xml:space="preserve">序号  </t>
  </si>
  <si>
    <t>新序号</t>
  </si>
  <si>
    <t>楼号</t>
  </si>
  <si>
    <t>房号</t>
  </si>
  <si>
    <t>房产证</t>
  </si>
  <si>
    <t>坐落</t>
  </si>
  <si>
    <t>总层数</t>
  </si>
  <si>
    <t>建筑类型</t>
  </si>
  <si>
    <t>建筑面积（㎡）</t>
  </si>
  <si>
    <t>组团118号楼</t>
  </si>
  <si>
    <t xml:space="preserve"> 1-18-1018 </t>
  </si>
  <si>
    <t xml:space="preserve">昌黎房权证黄金海岸字第100069145号 </t>
  </si>
  <si>
    <t>黄金海岸中区、沿海公路东侧（黄金假日滨海度假城A5区）</t>
  </si>
  <si>
    <t>组团123号楼</t>
  </si>
  <si>
    <t xml:space="preserve"> 1-23-1018</t>
  </si>
  <si>
    <t>昌黎房权证黄金海岸字第100069144号</t>
  </si>
  <si>
    <t>组团125号楼</t>
  </si>
  <si>
    <t xml:space="preserve">1-25-1018 </t>
  </si>
  <si>
    <t>昌黎房权证黄金海岸字第100069143号</t>
  </si>
  <si>
    <t>组团134号楼</t>
  </si>
  <si>
    <t xml:space="preserve"> 1-34-1018 </t>
  </si>
  <si>
    <t>昌黎房权证黄金海岸字第100069142号</t>
  </si>
  <si>
    <t>组团139号楼</t>
  </si>
  <si>
    <t>1-39-1018</t>
  </si>
  <si>
    <t>昌黎房权证黄金海岸字第100069141号</t>
  </si>
  <si>
    <t>组团21号楼</t>
  </si>
  <si>
    <t xml:space="preserve"> 2-1-1018  </t>
  </si>
  <si>
    <t>昌黎房权证黄金海岸字第100069171号</t>
  </si>
  <si>
    <t>组团29号楼</t>
  </si>
  <si>
    <t xml:space="preserve">  2-9-1018 </t>
  </si>
  <si>
    <t>昌黎房权证黄金海岸字第100069164号</t>
  </si>
  <si>
    <t>组团233号楼</t>
  </si>
  <si>
    <t xml:space="preserve">  2-33-1028  </t>
  </si>
  <si>
    <t>昌黎房权证黄金海岸字第100069150号</t>
  </si>
  <si>
    <t>组团312号楼</t>
  </si>
  <si>
    <t xml:space="preserve">  3-12-1018 </t>
  </si>
  <si>
    <t>昌黎房权证黄金海岸字第100069178号</t>
  </si>
  <si>
    <t>组团335号楼</t>
  </si>
  <si>
    <t xml:space="preserve"> 3-35-1018 </t>
  </si>
  <si>
    <t xml:space="preserve">昌黎房权证黄金海岸字第100069182号 </t>
  </si>
  <si>
    <t>组团350号楼</t>
  </si>
  <si>
    <t xml:space="preserve">  3-50-1018 </t>
  </si>
  <si>
    <t xml:space="preserve">昌黎房权证黄金海岸字第100069189号 </t>
  </si>
  <si>
    <t>组团351号楼</t>
  </si>
  <si>
    <t xml:space="preserve">  3-51-1018  </t>
  </si>
  <si>
    <t>昌黎房权证黄金海岸字第100069186号</t>
  </si>
  <si>
    <t>组团352号楼</t>
  </si>
  <si>
    <t xml:space="preserve">  3-52-1018  </t>
  </si>
  <si>
    <t xml:space="preserve">昌黎房权证黄金海岸字第100069188号 </t>
  </si>
  <si>
    <t>组团353号楼</t>
  </si>
  <si>
    <t xml:space="preserve"> 3-53-1018  </t>
  </si>
  <si>
    <t xml:space="preserve">昌黎房权证黄金海岸字第100069190号 </t>
  </si>
  <si>
    <t>组团73号楼</t>
  </si>
  <si>
    <t>昌黎房权证黄金海岸字第100069333号</t>
  </si>
  <si>
    <t>黄金海岸中区、沿海公路东侧（黄金假日滨海度假城A5区）010301</t>
  </si>
  <si>
    <t>组团310号楼</t>
  </si>
  <si>
    <t xml:space="preserve"> 3-10-1018 </t>
  </si>
  <si>
    <t>昌黎房权证黄金海岸字第100069176号</t>
  </si>
  <si>
    <t>组团311号楼</t>
  </si>
  <si>
    <t xml:space="preserve">  3-11-1018  </t>
  </si>
  <si>
    <t xml:space="preserve">昌黎房权证黄金海岸字第100069177号 </t>
  </si>
  <si>
    <t>组团320号楼</t>
  </si>
  <si>
    <t xml:space="preserve">  3-20-1018 </t>
  </si>
  <si>
    <t xml:space="preserve">昌黎房权证黄金海岸字第100069179号 </t>
  </si>
  <si>
    <t>组团51号楼</t>
  </si>
  <si>
    <t xml:space="preserve">  5-1-1018 </t>
  </si>
  <si>
    <t xml:space="preserve">昌黎房权证黄金海岸字第100069157号 </t>
  </si>
  <si>
    <t>组团61号楼</t>
  </si>
  <si>
    <t xml:space="preserve"> 6-1-1018  </t>
  </si>
  <si>
    <t xml:space="preserve">昌黎房权证黄金海岸字第100069099号 </t>
  </si>
  <si>
    <t>楼王独栋</t>
  </si>
  <si>
    <t>组团71号楼</t>
  </si>
  <si>
    <t>昌黎房权证黄金海岸字第100069313号</t>
  </si>
  <si>
    <t>黄金海岸中区、沿海公路东侧（黄金假日滨海度假城A5区）010101</t>
  </si>
  <si>
    <t xml:space="preserve">昌黎房权证黄金海岸字第100069315号 </t>
  </si>
  <si>
    <t>黄金海岸中区、沿海公路东侧（黄金假日滨海度假城A5区）010102</t>
  </si>
  <si>
    <t>昌黎房权证黄金海岸字第100069318号</t>
  </si>
  <si>
    <t>黄金海岸中区、沿海公路东侧（黄金假日滨海度假城A5区）010302</t>
  </si>
  <si>
    <t>组团74号楼</t>
  </si>
  <si>
    <t xml:space="preserve">昌黎房权证黄金海岸字第100069342号 </t>
  </si>
  <si>
    <t>组团75号楼</t>
  </si>
  <si>
    <t>昌黎房权证黄金海岸字第100069348号</t>
  </si>
  <si>
    <t>黄金海岸中区、沿海公路东侧（黄金假日滨海度假城A5区）010202</t>
  </si>
  <si>
    <t>昌黎房权证黄金海岸字第100069350号</t>
  </si>
  <si>
    <t>组团347号楼</t>
  </si>
  <si>
    <t xml:space="preserve">  3-47-1018 </t>
  </si>
  <si>
    <t xml:space="preserve">昌黎房权证黄金海岸字第100069187号  </t>
  </si>
  <si>
    <t>组团346号楼</t>
  </si>
  <si>
    <t>3-46-1018</t>
  </si>
  <si>
    <t>昌黎房权证黄金海岸字第100069300号</t>
  </si>
  <si>
    <t>组团231号楼</t>
  </si>
  <si>
    <t>2-31-1018</t>
  </si>
  <si>
    <t>昌黎房权证黄金海岸字第100069277号</t>
  </si>
  <si>
    <t>组团63号楼</t>
  </si>
  <si>
    <t>6-3-1018</t>
  </si>
  <si>
    <t>昌黎房权证黄金海岸字第100069101号</t>
  </si>
  <si>
    <t>合计：</t>
  </si>
  <si>
    <t xml:space="preserve">昌黎房权证黄金海岸字第100069347号  </t>
  </si>
  <si>
    <t>昌黎房权证黄金海岸字第100069319号</t>
  </si>
  <si>
    <t>黄金海岸中区、沿海公路东侧（黄金假日滨海度假城A5区）010401</t>
  </si>
  <si>
    <t xml:space="preserve">昌黎房权证黄金海岸字第100069320号 </t>
  </si>
  <si>
    <t>黄金海岸中区、沿海公路东侧（黄金假日滨海度假城A5区）010402</t>
  </si>
  <si>
    <t>组团62号楼</t>
  </si>
  <si>
    <t xml:space="preserve">  6-2-1018  </t>
  </si>
  <si>
    <t xml:space="preserve">昌黎房权证黄金海岸字第100069100号 </t>
  </si>
  <si>
    <t>组团54号楼</t>
  </si>
  <si>
    <t xml:space="preserve"> 5-4-1018  </t>
  </si>
  <si>
    <t>昌黎房权证黄金海岸字第100069166号</t>
  </si>
  <si>
    <t>组团348号楼</t>
  </si>
  <si>
    <t xml:space="preserve">  3-48-1018  </t>
  </si>
  <si>
    <t>昌黎房权证黄金海岸字第100069191号</t>
  </si>
  <si>
    <t xml:space="preserve"> 2-33-1058 </t>
  </si>
  <si>
    <t>昌黎房权证黄金海岸字第100069149号</t>
  </si>
  <si>
    <t>组团17号楼</t>
  </si>
  <si>
    <t xml:space="preserve"> 1-7-1018 </t>
  </si>
  <si>
    <t>昌黎房权证黄金海岸字第100069147号</t>
  </si>
  <si>
    <t>组团115号楼</t>
  </si>
  <si>
    <t xml:space="preserve"> 1-15-1018 </t>
  </si>
  <si>
    <t xml:space="preserve">昌黎房权证黄金海岸字第100069146号 </t>
  </si>
  <si>
    <t>组团22号楼</t>
  </si>
  <si>
    <t xml:space="preserve"> 2-2-1018 </t>
  </si>
  <si>
    <t xml:space="preserve">昌黎房权证黄金海岸字第100069168号  </t>
  </si>
  <si>
    <t>组团24号楼</t>
  </si>
  <si>
    <t xml:space="preserve">  2-4-1018  </t>
  </si>
  <si>
    <t xml:space="preserve">昌黎房权证黄金海岸字第100069167号 </t>
  </si>
  <si>
    <t>组团213号楼</t>
  </si>
  <si>
    <t xml:space="preserve"> 2-13-1018</t>
  </si>
  <si>
    <t xml:space="preserve">昌黎房权证黄金海岸字第100069161号 </t>
  </si>
  <si>
    <t>组团216号楼</t>
  </si>
  <si>
    <t xml:space="preserve"> 2-16-1018 </t>
  </si>
  <si>
    <t xml:space="preserve">昌黎房权证黄金海岸字第100069160号 </t>
  </si>
  <si>
    <t>组团218号楼</t>
  </si>
  <si>
    <t>2-18-1018</t>
  </si>
  <si>
    <t xml:space="preserve">昌黎房权证黄金海岸字第100069159号  </t>
  </si>
  <si>
    <t>组团221号楼</t>
  </si>
  <si>
    <t xml:space="preserve"> 2-21-1018 </t>
  </si>
  <si>
    <t xml:space="preserve">昌黎房权证黄金海岸字第100069158号 </t>
  </si>
  <si>
    <t>组团225号楼</t>
  </si>
  <si>
    <t xml:space="preserve">  2-25-1018</t>
  </si>
  <si>
    <t>昌黎房权证黄金海岸字第100069153号</t>
  </si>
  <si>
    <t>组团226号楼</t>
  </si>
  <si>
    <t xml:space="preserve">  2-26-1018  </t>
  </si>
  <si>
    <t>昌黎房权证黄金海岸字第100069154号</t>
  </si>
  <si>
    <t>组团230号楼</t>
  </si>
  <si>
    <t xml:space="preserve">2-30-1018  </t>
  </si>
  <si>
    <t>昌黎房权证黄金海岸字第100069152号</t>
  </si>
  <si>
    <t xml:space="preserve"> 2-33-1038 </t>
  </si>
  <si>
    <t>昌黎房权证黄金海岸字第100069151号</t>
  </si>
  <si>
    <t>组团235号楼</t>
  </si>
  <si>
    <t xml:space="preserve"> 2-35-1018 </t>
  </si>
  <si>
    <t>昌黎房权证黄金海岸字第100069148号</t>
  </si>
  <si>
    <t>组团34号楼</t>
  </si>
  <si>
    <t xml:space="preserve"> 3-4-1018 </t>
  </si>
  <si>
    <t xml:space="preserve">昌黎房权证黄金海岸字第100069172号 </t>
  </si>
  <si>
    <t>组团35号楼</t>
  </si>
  <si>
    <t xml:space="preserve">  3-5-1018 </t>
  </si>
  <si>
    <t xml:space="preserve">昌黎房权证黄金海岸字第100069174号 </t>
  </si>
  <si>
    <t>组团38号楼</t>
  </si>
  <si>
    <t xml:space="preserve"> 3-8-1018  </t>
  </si>
  <si>
    <t xml:space="preserve">昌黎房权证黄金海岸字第100069175号 </t>
  </si>
  <si>
    <t>组团321号楼</t>
  </si>
  <si>
    <t xml:space="preserve"> 3-21-1018 </t>
  </si>
  <si>
    <t>昌黎房权证黄金海岸字第100069180号</t>
  </si>
  <si>
    <t>组团322号楼</t>
  </si>
  <si>
    <t xml:space="preserve">  3-22-1018 </t>
  </si>
  <si>
    <t xml:space="preserve">昌黎房权证黄金海岸字第100069181号 </t>
  </si>
  <si>
    <t>组团324号楼</t>
  </si>
  <si>
    <t xml:space="preserve">  3-24-1018  </t>
  </si>
  <si>
    <t>昌黎房权证黄金海岸字第100069183号</t>
  </si>
  <si>
    <t>组团332号楼</t>
  </si>
  <si>
    <t xml:space="preserve"> 3-32-1058  </t>
  </si>
  <si>
    <t>昌黎房权证黄金海岸字第100069185号</t>
  </si>
  <si>
    <t>组团334号楼</t>
  </si>
  <si>
    <t xml:space="preserve"> 3-34-1018 </t>
  </si>
  <si>
    <t xml:space="preserve">昌黎房权证黄金海岸字第100069173号 </t>
  </si>
  <si>
    <t>组团339号楼</t>
  </si>
  <si>
    <t xml:space="preserve">  3-39-1018  </t>
  </si>
  <si>
    <t xml:space="preserve">昌黎房权证黄金海岸字第100069184号 </t>
  </si>
  <si>
    <t>组团52号楼</t>
  </si>
  <si>
    <t xml:space="preserve">  5-2-1018  </t>
  </si>
  <si>
    <t>昌黎房权证黄金海岸字第100069162号</t>
  </si>
  <si>
    <t>组团53号楼</t>
  </si>
  <si>
    <t xml:space="preserve"> 5-3-1018  </t>
  </si>
  <si>
    <t>昌黎房权证黄金海岸字第100069163号</t>
  </si>
  <si>
    <t>组团55号楼</t>
  </si>
  <si>
    <t xml:space="preserve">  5-5-1018 </t>
  </si>
  <si>
    <t xml:space="preserve">昌黎房权证黄金海岸字第100069169号  </t>
  </si>
  <si>
    <t>组团57号楼</t>
  </si>
  <si>
    <t xml:space="preserve">  5-7-1018 </t>
  </si>
  <si>
    <t>昌黎房权证黄金海岸字第100069170号</t>
  </si>
  <si>
    <t>组团72号楼</t>
  </si>
  <si>
    <t xml:space="preserve">昌黎房权证黄金海岸字第100069321号 </t>
  </si>
  <si>
    <t>昌黎房权证黄金海岸字第100069323号</t>
  </si>
  <si>
    <t>昌黎房权证黄金海岸字第100069331号</t>
  </si>
  <si>
    <t>昌黎房权证黄金海岸字第100069334号</t>
  </si>
  <si>
    <t xml:space="preserve">昌黎房权证黄金海岸字第100069338号 </t>
  </si>
  <si>
    <t>黄金海岸中区、沿海公路东侧（黄金假日滨海度假城A5区）010201</t>
  </si>
  <si>
    <t xml:space="preserve">昌黎房权证黄金海岸字第100069340号 </t>
  </si>
  <si>
    <t>成本法</t>
  </si>
  <si>
    <t>收益法（汇总）</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</si>
  <si>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</si>
  <si>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</si>
  <si>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</si>
  <si>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</si>
  <si>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</si>
  <si>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</si>
  <si>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</si>
  <si>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</si>
  <si>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</si>
  <si>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</si>
  <si>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</si>
  <si>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</si>
  <si>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</si>
  <si>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</si>
  <si>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</si>
  <si>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</si>
  <si>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4"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</si>
  <si>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</si>
  <si>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</si>
  <si>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</si>
  <si>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</si>
  <si>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</si>
  <si>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</si>
  <si>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</si>
  <si>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</si>
  <si>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</si>
  <si>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</si>
  <si>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</si>
  <si>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</si>
  <si>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</si>
  <si>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</si>
  <si>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</si>
  <si>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</si>
  <si>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</si>
  <si>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</si>
  <si>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</si>
  <si>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</si>
  <si>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</si>
  <si>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</si>
  <si>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</si>
  <si>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</si>
  <si>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</si>
  <si>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</si>
  <si>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</si>
  <si>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</si>
  <si>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</si>
  <si>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</si>
  <si>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4"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</si>
  <si>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</si>
  <si>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</si>
  <si>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</si>
  <si>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</si>
  <si>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</si>
  <si>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</si>
  <si>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</si>
  <si>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</si>
  <si>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</si>
  <si>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</si>
  <si>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</si>
  <si>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</si>
  <si>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</si>
  <si>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</si>
  <si>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</si>
  <si>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</si>
  <si>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</si>
  <si>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</si>
  <si>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</si>
  <si>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</si>
  <si>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</si>
  <si>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</si>
  <si>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4"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</si>
  <si>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</si>
  <si>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</si>
  <si>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</si>
  <si>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</si>
  <si>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</si>
  <si>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</si>
  <si>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</si>
  <si>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</si>
  <si>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</si>
  <si>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</si>
  <si>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</si>
  <si>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</si>
  <si>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</si>
  <si>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</si>
  <si>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</si>
  <si>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</si>
  <si>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</si>
  <si>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</si>
  <si>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</si>
  <si>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</si>
  <si>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</si>
  <si>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</si>
  <si>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</si>
  <si>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</si>
  <si>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</si>
  <si>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</si>
  <si>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</si>
  <si>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</si>
  <si>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</si>
  <si>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</si>
  <si>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2" type="noConversion"/>
  </si>
  <si>
    <t>较好</t>
  </si>
  <si>
    <t>较好</t>
    <phoneticPr fontId="32" type="noConversion"/>
  </si>
  <si>
    <t>较规则</t>
  </si>
  <si>
    <t>较规则</t>
    <phoneticPr fontId="32"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</si>
  <si>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</si>
  <si>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</si>
  <si>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</si>
  <si>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</si>
  <si>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</si>
  <si>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</si>
  <si>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滨海新大道</t>
    <phoneticPr fontId="32" type="noConversion"/>
  </si>
  <si>
    <t>六通</t>
  </si>
  <si>
    <t>一般</t>
  </si>
  <si>
    <t>成本比率</t>
  </si>
  <si>
    <t>较差</t>
  </si>
  <si>
    <t>河北省秦皇岛市北戴河新区</t>
    <phoneticPr fontId="7" type="noConversion"/>
  </si>
  <si>
    <t>黄金海岸中区、沿海公路东侧、通海路南侧、扬水站北侧</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</si>
  <si>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7" type="noConversion"/>
  </si>
  <si>
    <t>《房屋所有权证》</t>
  </si>
  <si>
    <t>通路</t>
  </si>
  <si>
    <t>通电</t>
  </si>
  <si>
    <t>通讯</t>
  </si>
  <si>
    <t>通上水</t>
  </si>
  <si>
    <t>通下水</t>
  </si>
  <si>
    <t>估价对象11</t>
  </si>
  <si>
    <t>估价对象12</t>
  </si>
  <si>
    <t>估价对象13</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</si>
  <si>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956</t>
    </r>
    <r>
      <rPr>
        <sz val="12"/>
        <color theme="9" tint="-0.249977111117893"/>
        <rFont val="宋体"/>
        <family val="3"/>
        <charset val="134"/>
      </rPr>
      <t>号</t>
    </r>
    <r>
      <rPr>
        <sz val="12"/>
        <color theme="9" tint="-0.249977111117893"/>
        <rFont val="Arial"/>
        <family val="2"/>
      </rPr>
      <t>]</t>
    </r>
    <phoneticPr fontId="7" type="noConversion"/>
  </si>
  <si>
    <t>已注销</t>
  </si>
  <si>
    <t>旅游地产</t>
  </si>
  <si>
    <t>居住项目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</si>
</sst>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_ ;_ * \-#,##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0"/>
      <color indexed="12"/>
      <name val="宋体"/>
      <family val="3"/>
      <charset val="134"/>
    </font>
    <font>
      <sz val="11"/>
      <color indexed="12"/>
      <name val="宋体"/>
      <family val="3"/>
      <charset val="134"/>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1"/>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0" fontId="138" fillId="0" borderId="0">
      <alignment vertical="center"/>
    </xf>
    <xf numFmtId="0" fontId="259" fillId="17" borderId="0" applyProtection="0">
      <alignment vertical="center"/>
    </xf>
    <xf numFmtId="0" fontId="57" fillId="0" borderId="0"/>
    <xf numFmtId="197" fontId="138" fillId="0" borderId="0" applyProtection="0">
      <alignment vertical="center"/>
    </xf>
    <xf numFmtId="197" fontId="138" fillId="0" borderId="0" applyProtection="0">
      <alignment vertical="center"/>
    </xf>
    <xf numFmtId="9" fontId="100" fillId="0" borderId="0" applyFont="0" applyFill="0" applyBorder="0" applyAlignment="0" applyProtection="0">
      <alignment vertical="center"/>
    </xf>
    <xf numFmtId="0" fontId="1" fillId="0" borderId="0">
      <alignment vertical="center"/>
    </xf>
    <xf numFmtId="0" fontId="38" fillId="0" borderId="0">
      <alignment vertical="center"/>
    </xf>
    <xf numFmtId="0" fontId="100" fillId="0" borderId="0">
      <alignment vertical="center"/>
    </xf>
    <xf numFmtId="0" fontId="38" fillId="0" borderId="0">
      <alignment vertical="center"/>
    </xf>
    <xf numFmtId="0" fontId="38" fillId="0" borderId="0"/>
    <xf numFmtId="0" fontId="138" fillId="0" borderId="0" applyProtection="0">
      <alignment vertical="center"/>
    </xf>
    <xf numFmtId="0" fontId="263" fillId="0" borderId="0">
      <alignment vertical="center"/>
    </xf>
    <xf numFmtId="197" fontId="100" fillId="0" borderId="0" applyFont="0" applyFill="0" applyBorder="0" applyAlignment="0" applyProtection="0">
      <alignment vertical="center"/>
    </xf>
    <xf numFmtId="198" fontId="100" fillId="0" borderId="0" applyFont="0" applyFill="0" applyBorder="0" applyAlignment="0" applyProtection="0">
      <alignment vertical="center"/>
    </xf>
  </cellStyleXfs>
  <cellXfs count="33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21" fillId="6" borderId="0" xfId="0" applyFont="1" applyFill="1" applyProtection="1">
      <alignment vertical="center"/>
      <protection locked="0"/>
    </xf>
    <xf numFmtId="0" fontId="256" fillId="0" borderId="1" xfId="0" applyFont="1" applyFill="1" applyBorder="1" applyAlignment="1" applyProtection="1">
      <alignment horizontal="center" vertical="center" wrapText="1"/>
      <protection locked="0"/>
    </xf>
    <xf numFmtId="0" fontId="138"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2" borderId="2" xfId="0"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92" fillId="7" borderId="5" xfId="0" applyFont="1" applyFill="1" applyBorder="1" applyAlignment="1" applyProtection="1">
      <alignment vertical="center"/>
      <protection locked="0"/>
    </xf>
    <xf numFmtId="0" fontId="123" fillId="6" borderId="0" xfId="0" applyFont="1" applyFill="1" applyAlignment="1" applyProtection="1">
      <alignment horizontal="left" vertical="center"/>
      <protection locked="0"/>
    </xf>
    <xf numFmtId="0" fontId="20" fillId="0" borderId="60" xfId="13" applyNumberFormat="1" applyFont="1" applyFill="1" applyBorder="1" applyAlignment="1">
      <alignment vertical="center"/>
    </xf>
    <xf numFmtId="0" fontId="20" fillId="0" borderId="0" xfId="13" applyNumberFormat="1" applyFont="1" applyFill="1" applyBorder="1" applyAlignment="1">
      <alignment horizontal="center" vertical="center"/>
    </xf>
    <xf numFmtId="0" fontId="20" fillId="0" borderId="1" xfId="13" applyNumberFormat="1" applyFont="1" applyFill="1" applyBorder="1" applyAlignment="1">
      <alignment horizontal="center" vertical="center" wrapText="1"/>
    </xf>
    <xf numFmtId="0" fontId="20" fillId="0" borderId="1" xfId="13" applyNumberFormat="1" applyFont="1" applyFill="1" applyBorder="1" applyAlignment="1">
      <alignment horizontal="left" vertical="center" wrapText="1"/>
    </xf>
    <xf numFmtId="0" fontId="138" fillId="0" borderId="1" xfId="13" applyNumberFormat="1" applyFont="1" applyFill="1" applyBorder="1" applyAlignment="1">
      <alignment horizontal="center" vertical="center" wrapText="1"/>
    </xf>
    <xf numFmtId="0" fontId="20" fillId="2" borderId="1" xfId="13" applyNumberFormat="1" applyFont="1" applyFill="1" applyBorder="1" applyAlignment="1">
      <alignment horizontal="center" vertical="center"/>
    </xf>
    <xf numFmtId="0" fontId="20" fillId="2" borderId="1" xfId="13" applyNumberFormat="1" applyFont="1" applyFill="1" applyBorder="1" applyAlignment="1">
      <alignment horizontal="left" vertical="center"/>
    </xf>
    <xf numFmtId="0" fontId="20" fillId="2" borderId="1" xfId="13" applyNumberFormat="1" applyFont="1" applyFill="1" applyBorder="1" applyAlignment="1">
      <alignment horizontal="center" vertical="center" wrapText="1"/>
    </xf>
    <xf numFmtId="0" fontId="138" fillId="2" borderId="1" xfId="13" applyNumberFormat="1" applyFont="1" applyFill="1" applyBorder="1" applyAlignment="1">
      <alignment horizontal="center" vertical="center" wrapText="1"/>
    </xf>
    <xf numFmtId="0" fontId="20" fillId="2" borderId="0" xfId="13" applyNumberFormat="1" applyFont="1" applyFill="1" applyBorder="1" applyAlignment="1">
      <alignment horizontal="center" vertical="center"/>
    </xf>
    <xf numFmtId="0" fontId="81" fillId="2" borderId="1" xfId="13" applyNumberFormat="1" applyFont="1" applyFill="1" applyBorder="1" applyAlignment="1">
      <alignment horizontal="center" vertical="center" wrapText="1"/>
    </xf>
    <xf numFmtId="0" fontId="138" fillId="0" borderId="0" xfId="13">
      <alignment vertical="center"/>
    </xf>
    <xf numFmtId="0" fontId="20" fillId="0" borderId="1" xfId="13" applyNumberFormat="1" applyFont="1" applyFill="1" applyBorder="1" applyAlignment="1">
      <alignment horizontal="center" vertical="center"/>
    </xf>
    <xf numFmtId="0" fontId="20" fillId="16" borderId="1" xfId="13" applyNumberFormat="1" applyFont="1" applyFill="1" applyBorder="1" applyAlignment="1">
      <alignment horizontal="center" vertical="center"/>
    </xf>
    <xf numFmtId="0" fontId="20" fillId="16" borderId="1" xfId="13" applyNumberFormat="1" applyFont="1" applyFill="1" applyBorder="1" applyAlignment="1">
      <alignment horizontal="left" vertical="center"/>
    </xf>
    <xf numFmtId="0" fontId="81" fillId="0" borderId="1" xfId="13" applyNumberFormat="1" applyFont="1" applyFill="1" applyBorder="1" applyAlignment="1">
      <alignment horizontal="center" vertical="center" wrapText="1"/>
    </xf>
    <xf numFmtId="0" fontId="20" fillId="3" borderId="1" xfId="13" applyNumberFormat="1" applyFont="1" applyFill="1" applyBorder="1" applyAlignment="1">
      <alignment horizontal="center" vertical="center"/>
    </xf>
    <xf numFmtId="0" fontId="20" fillId="3" borderId="1" xfId="13" applyNumberFormat="1" applyFont="1" applyFill="1" applyBorder="1" applyAlignment="1">
      <alignment horizontal="center" vertical="center" wrapText="1"/>
    </xf>
    <xf numFmtId="0" fontId="138" fillId="3" borderId="1" xfId="13" applyNumberFormat="1" applyFont="1" applyFill="1" applyBorder="1" applyAlignment="1">
      <alignment horizontal="center" vertical="center" wrapText="1"/>
    </xf>
    <xf numFmtId="0" fontId="20" fillId="3" borderId="0" xfId="13" applyNumberFormat="1" applyFont="1" applyFill="1" applyBorder="1" applyAlignment="1">
      <alignment horizontal="center" vertical="center"/>
    </xf>
    <xf numFmtId="0" fontId="257" fillId="3" borderId="1" xfId="13" applyNumberFormat="1" applyFont="1" applyFill="1" applyBorder="1" applyAlignment="1">
      <alignment horizontal="center" vertical="center"/>
    </xf>
    <xf numFmtId="0" fontId="257" fillId="16" borderId="1" xfId="13" applyNumberFormat="1" applyFont="1" applyFill="1" applyBorder="1" applyAlignment="1">
      <alignment horizontal="center" vertical="center"/>
    </xf>
    <xf numFmtId="0" fontId="257" fillId="16" borderId="1" xfId="13" applyNumberFormat="1" applyFont="1" applyFill="1" applyBorder="1" applyAlignment="1">
      <alignment horizontal="left" vertical="center"/>
    </xf>
    <xf numFmtId="0" fontId="257" fillId="3" borderId="1" xfId="13" applyNumberFormat="1" applyFont="1" applyFill="1" applyBorder="1" applyAlignment="1">
      <alignment horizontal="center" vertical="center" wrapText="1"/>
    </xf>
    <xf numFmtId="0" fontId="258" fillId="3" borderId="1" xfId="13" applyNumberFormat="1" applyFont="1" applyFill="1" applyBorder="1" applyAlignment="1">
      <alignment horizontal="center" vertical="center" wrapText="1"/>
    </xf>
    <xf numFmtId="0" fontId="85" fillId="2" borderId="1" xfId="13" applyNumberFormat="1" applyFont="1" applyFill="1" applyBorder="1" applyAlignment="1">
      <alignment horizontal="center" vertical="center"/>
    </xf>
    <xf numFmtId="0" fontId="85" fillId="2" borderId="1" xfId="13" applyNumberFormat="1" applyFont="1" applyFill="1" applyBorder="1" applyAlignment="1">
      <alignment horizontal="left" vertical="center"/>
    </xf>
    <xf numFmtId="0" fontId="85" fillId="2" borderId="1" xfId="13" applyNumberFormat="1" applyFont="1" applyFill="1" applyBorder="1" applyAlignment="1">
      <alignment horizontal="center" vertical="center" wrapText="1"/>
    </xf>
    <xf numFmtId="0" fontId="157" fillId="2" borderId="1" xfId="13" applyNumberFormat="1" applyFont="1" applyFill="1" applyBorder="1" applyAlignment="1">
      <alignment horizontal="center" vertical="center" wrapText="1"/>
    </xf>
    <xf numFmtId="0" fontId="84" fillId="2" borderId="1" xfId="13" applyNumberFormat="1" applyFont="1" applyFill="1" applyBorder="1" applyAlignment="1">
      <alignment horizontal="center" vertical="center" wrapText="1"/>
    </xf>
    <xf numFmtId="0" fontId="85" fillId="2" borderId="0" xfId="13" applyNumberFormat="1" applyFont="1" applyFill="1" applyBorder="1" applyAlignment="1">
      <alignment horizontal="center" vertical="center"/>
    </xf>
    <xf numFmtId="0" fontId="20" fillId="0" borderId="1" xfId="13" applyNumberFormat="1" applyFont="1" applyFill="1" applyBorder="1" applyAlignment="1">
      <alignment horizontal="left" vertical="center"/>
    </xf>
    <xf numFmtId="0" fontId="20" fillId="0" borderId="0" xfId="13" applyNumberFormat="1" applyFont="1" applyFill="1" applyBorder="1" applyAlignment="1">
      <alignment horizontal="left" vertical="center"/>
    </xf>
    <xf numFmtId="0" fontId="138" fillId="0" borderId="0" xfId="13" applyNumberFormat="1" applyFont="1" applyFill="1" applyBorder="1" applyAlignment="1"/>
    <xf numFmtId="0" fontId="100" fillId="0" borderId="0" xfId="10" applyAlignment="1"/>
    <xf numFmtId="0" fontId="20" fillId="0" borderId="0" xfId="10" applyFont="1" applyAlignment="1"/>
    <xf numFmtId="0" fontId="100" fillId="18" borderId="0" xfId="10" applyFill="1" applyAlignment="1"/>
    <xf numFmtId="0" fontId="100" fillId="19" borderId="0" xfId="10" applyFill="1" applyAlignment="1"/>
    <xf numFmtId="0" fontId="100" fillId="19" borderId="0" xfId="10" applyFont="1" applyFill="1" applyAlignment="1"/>
    <xf numFmtId="0" fontId="100" fillId="20" borderId="0" xfId="10" applyFill="1" applyAlignment="1"/>
    <xf numFmtId="0" fontId="100" fillId="20" borderId="0" xfId="10" applyFont="1" applyFill="1" applyAlignment="1"/>
    <xf numFmtId="0" fontId="100" fillId="0" borderId="0" xfId="10">
      <alignment vertical="center"/>
    </xf>
    <xf numFmtId="0" fontId="261" fillId="21" borderId="156" xfId="10" applyFont="1" applyFill="1" applyBorder="1" applyAlignment="1">
      <alignment horizontal="center"/>
    </xf>
    <xf numFmtId="0" fontId="261" fillId="21" borderId="157" xfId="10" applyFont="1" applyFill="1" applyBorder="1" applyAlignment="1">
      <alignment horizontal="center"/>
    </xf>
    <xf numFmtId="0" fontId="262" fillId="0" borderId="0" xfId="10" applyFont="1" applyAlignment="1">
      <alignment horizontal="left" vertical="center" wrapText="1"/>
    </xf>
    <xf numFmtId="0" fontId="262" fillId="0" borderId="158" xfId="10" applyFont="1" applyBorder="1" applyAlignment="1">
      <alignment horizontal="right" vertical="center" wrapText="1"/>
    </xf>
    <xf numFmtId="0" fontId="262" fillId="22" borderId="0" xfId="10" applyFont="1" applyFill="1" applyAlignment="1">
      <alignment horizontal="left" vertical="center" wrapText="1"/>
    </xf>
    <xf numFmtId="0" fontId="262" fillId="22" borderId="158" xfId="10" applyFont="1" applyFill="1" applyBorder="1" applyAlignment="1">
      <alignment horizontal="right" vertical="center" wrapText="1"/>
    </xf>
    <xf numFmtId="0" fontId="100" fillId="0" borderId="0" xfId="10" applyFont="1" applyAlignment="1">
      <alignment horizontal="left" vertical="center" wrapText="1"/>
    </xf>
    <xf numFmtId="0" fontId="100" fillId="0" borderId="158" xfId="10" applyFont="1" applyBorder="1" applyAlignment="1">
      <alignment horizontal="right" vertical="center" wrapText="1"/>
    </xf>
    <xf numFmtId="0" fontId="100" fillId="0" borderId="158" xfId="10" applyBorder="1" applyAlignment="1">
      <alignment horizontal="right" vertical="center" wrapText="1"/>
    </xf>
    <xf numFmtId="0" fontId="100" fillId="22" borderId="0" xfId="10" applyFont="1" applyFill="1" applyAlignment="1">
      <alignment horizontal="left" vertical="center" wrapText="1"/>
    </xf>
    <xf numFmtId="0" fontId="100" fillId="22" borderId="158" xfId="10" applyFont="1" applyFill="1" applyBorder="1" applyAlignment="1">
      <alignment horizontal="right" vertical="center" wrapText="1"/>
    </xf>
    <xf numFmtId="0" fontId="100" fillId="22" borderId="158" xfId="10" applyFill="1" applyBorder="1" applyAlignment="1">
      <alignment horizontal="right" vertical="center" wrapText="1"/>
    </xf>
    <xf numFmtId="0" fontId="262" fillId="13" borderId="0" xfId="10" applyFont="1" applyFill="1" applyAlignment="1">
      <alignment horizontal="left" vertical="center" wrapText="1"/>
    </xf>
    <xf numFmtId="0" fontId="262" fillId="13" borderId="158" xfId="10" applyFont="1" applyFill="1" applyBorder="1" applyAlignment="1">
      <alignment horizontal="right" vertical="center" wrapText="1"/>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48" fillId="0" borderId="23" xfId="0" applyFont="1" applyBorder="1" applyAlignment="1" applyProtection="1">
      <alignment horizontal="right" vertical="center"/>
      <protection locked="0"/>
    </xf>
    <xf numFmtId="0" fontId="51" fillId="0" borderId="23" xfId="0" applyFont="1" applyBorder="1" applyAlignment="1" applyProtection="1">
      <alignment horizontal="right" vertical="center"/>
      <protection locked="0"/>
    </xf>
    <xf numFmtId="0" fontId="65" fillId="7" borderId="151" xfId="0" applyFont="1" applyFill="1" applyBorder="1" applyAlignment="1" applyProtection="1">
      <alignment vertical="center"/>
      <protection locked="0"/>
    </xf>
    <xf numFmtId="0" fontId="65" fillId="7" borderId="54"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192" fillId="7" borderId="60" xfId="0" applyFont="1" applyFill="1" applyBorder="1" applyAlignment="1" applyProtection="1">
      <alignmen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0" fillId="0" borderId="60" xfId="13" applyNumberFormat="1" applyFont="1" applyFill="1" applyBorder="1" applyAlignment="1">
      <alignment horizontal="center" vertical="center"/>
    </xf>
    <xf numFmtId="0" fontId="257" fillId="3" borderId="5" xfId="13" applyNumberFormat="1" applyFont="1" applyFill="1" applyBorder="1" applyAlignment="1">
      <alignment horizontal="center" vertical="center"/>
    </xf>
    <xf numFmtId="0" fontId="257" fillId="3" borderId="54" xfId="13" applyNumberFormat="1" applyFont="1" applyFill="1" applyBorder="1" applyAlignment="1">
      <alignment horizontal="center" vertical="center"/>
    </xf>
    <xf numFmtId="0" fontId="257" fillId="3" borderId="3" xfId="13" applyNumberFormat="1"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60" fillId="0" borderId="0" xfId="10" applyFont="1" applyAlignment="1">
      <alignment horizontal="center" vertical="center"/>
    </xf>
    <xf numFmtId="0" fontId="223" fillId="6" borderId="1" xfId="0" applyFont="1" applyFill="1" applyBorder="1" applyAlignment="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8">
    <cellStyle name="Accent1" xfId="14"/>
    <cellStyle name="百分比 2" xfId="18"/>
    <cellStyle name="常规" xfId="0" builtinId="0"/>
    <cellStyle name="常规 10" xfId="15"/>
    <cellStyle name="常规 10 2" xfId="19"/>
    <cellStyle name="常规 10 2 11 2" xfId="20"/>
    <cellStyle name="常规 11" xfId="13"/>
    <cellStyle name="常规 146" xfId="21"/>
    <cellStyle name="常规 153" xfId="22"/>
    <cellStyle name="常规 153 2" xfId="23"/>
    <cellStyle name="常规 16" xfId="10"/>
    <cellStyle name="常规 2" xfId="1"/>
    <cellStyle name="常规 2 2" xfId="8"/>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19968;&#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分楼）"/>
      <sheetName val="数据-基础表"/>
      <sheetName val="一期-A5-15套"/>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洋房"/>
      <sheetName val="比较法-联排"/>
      <sheetName val="收益法（汇总）"/>
      <sheetName val="收益法（独栋）"/>
      <sheetName val="比较法-独栋"/>
      <sheetName val="收益法（联排）"/>
      <sheetName val="收益法（洋房）"/>
      <sheetName val="土地案例"/>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比较法-洋房</v>
          </cell>
        </row>
        <row r="20">
          <cell r="A20" t="str">
            <v>食堂</v>
          </cell>
          <cell r="B20" t="str">
            <v>比较法-联排</v>
          </cell>
        </row>
        <row r="21">
          <cell r="A21" t="str">
            <v>车库</v>
          </cell>
          <cell r="B21" t="str">
            <v>比较法-独栋</v>
          </cell>
        </row>
        <row r="22">
          <cell r="A22" t="str">
            <v>戊类库房</v>
          </cell>
          <cell r="B22" t="str">
            <v>收益法（独栋）</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独栋</v>
          </cell>
        </row>
        <row r="20">
          <cell r="C20" t="str">
            <v>联排</v>
          </cell>
        </row>
        <row r="21">
          <cell r="C21" t="str">
            <v>洋房</v>
          </cell>
        </row>
      </sheetData>
      <sheetData sheetId="15">
        <row r="6">
          <cell r="Q6">
            <v>0.35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sheetData sheetId="19" refreshError="1"/>
      <sheetData sheetId="20" refreshError="1"/>
      <sheetData sheetId="21" refreshError="1"/>
      <sheetData sheetId="22">
        <row r="73">
          <cell r="A73" t="str">
            <v>交易情况</v>
          </cell>
          <cell r="C73" t="str">
            <v>正常</v>
          </cell>
        </row>
        <row r="75">
          <cell r="B75" t="str">
            <v>用途</v>
          </cell>
          <cell r="C75" t="str">
            <v>住宿餐饮用地</v>
          </cell>
          <cell r="D75" t="str">
            <v>批发零售用地</v>
          </cell>
          <cell r="E75" t="str">
            <v>商服用地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row>
        <row r="114">
          <cell r="B114" t="str">
            <v>物业管理</v>
          </cell>
          <cell r="C114" t="str">
            <v>专业</v>
          </cell>
        </row>
        <row r="116">
          <cell r="B116" t="str">
            <v>市政基础设施</v>
          </cell>
        </row>
        <row r="118">
          <cell r="B118" t="str">
            <v>房型</v>
          </cell>
        </row>
        <row r="122">
          <cell r="B122" t="str">
            <v>内部装修</v>
          </cell>
          <cell r="C122" t="str">
            <v>精装修（带家电）</v>
          </cell>
          <cell r="D122" t="str">
            <v>精装修</v>
          </cell>
          <cell r="E122" t="str">
            <v>毛坯</v>
          </cell>
        </row>
      </sheetData>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王鹏（注册号：1120050019)、郑燚（注册号：1120070131)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9119.9平方米。根据《房屋所有权证》[]、《抵押物清单》，估价对象建筑面积为3130.82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9119.9平方米。根据《房屋所有权证》[]、《抵押物清单》，估价对象规划建筑面积为3130.82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2018年1月10日（评估专业人员实地查勘之日）</v>
      </c>
    </row>
    <row r="13" spans="1:2" s="1588" customFormat="1">
      <c r="A13" s="1586" t="s">
        <v>1228</v>
      </c>
      <c r="B13" s="1587" t="str">
        <f>'预评函-1'!A18</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9146</v>
      </c>
    </row>
    <row r="21" spans="1:2" s="1588" customFormat="1">
      <c r="A21" s="1586" t="s">
        <v>1236</v>
      </c>
      <c r="B21" s="1587">
        <f ca="1">'预评函-2'!D7</f>
        <v>29213</v>
      </c>
    </row>
    <row r="22" spans="1:2" s="1588" customFormat="1">
      <c r="A22" s="1586" t="s">
        <v>1237</v>
      </c>
      <c r="B22" s="1587" t="str">
        <f ca="1">'预评函-2'!D6</f>
        <v>玖仟壹佰肆拾陆万元整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v>
      </c>
    </row>
    <row r="30" spans="1:2" s="1588" customFormat="1">
      <c r="A30" s="1586" t="s">
        <v>1293</v>
      </c>
      <c r="B30" s="1587" t="str">
        <f>'预评函-2'!D13</f>
        <v>——</v>
      </c>
    </row>
    <row r="31" spans="1:2" s="1588" customFormat="1">
      <c r="A31" s="1586" t="s">
        <v>1275</v>
      </c>
      <c r="B31" s="1587" t="e">
        <f>'预评函-2'!D15</f>
        <v>#VALUE!</v>
      </c>
    </row>
    <row r="32" spans="1:2" s="1588" customFormat="1">
      <c r="A32" s="1586" t="s">
        <v>1242</v>
      </c>
      <c r="B32" s="1587" t="e">
        <f>'预评函-2'!D14</f>
        <v>#VALUE!</v>
      </c>
    </row>
    <row r="33" spans="1:2" s="1588" customFormat="1">
      <c r="A33" s="1586" t="s">
        <v>1277</v>
      </c>
      <c r="B33" s="1587" t="str">
        <f>'预评函-2'!B16</f>
        <v>3.抵押担保权已注销时的房地产抵押价值</v>
      </c>
    </row>
    <row r="34" spans="1:2" s="1588" customFormat="1">
      <c r="A34" s="1586" t="s">
        <v>1295</v>
      </c>
      <c r="B34" s="1587">
        <f ca="1">'预评函-2'!D16</f>
        <v>9146</v>
      </c>
    </row>
    <row r="35" spans="1:2" s="1588" customFormat="1">
      <c r="A35" s="1586" t="s">
        <v>1276</v>
      </c>
      <c r="B35" s="1587">
        <f ca="1">'预评函-2'!D18</f>
        <v>29213</v>
      </c>
    </row>
    <row r="36" spans="1:2" s="1588" customFormat="1">
      <c r="A36" s="1586" t="s">
        <v>1243</v>
      </c>
      <c r="B36" s="1587" t="str">
        <f ca="1">'预评函-2'!D17</f>
        <v>玖仟壹佰肆拾陆万元整</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3130.82</v>
      </c>
    </row>
    <row r="44" spans="1:2" s="1588" customFormat="1">
      <c r="A44" s="1586" t="s">
        <v>1274</v>
      </c>
      <c r="B44" s="1587" t="str">
        <f>'预评函-3'!C2</f>
        <v>(分摊)土地面积</v>
      </c>
    </row>
    <row r="45" spans="1:2" s="1588" customFormat="1">
      <c r="A45" s="1586" t="s">
        <v>1246</v>
      </c>
      <c r="B45" s="1587">
        <f>'预评函-3'!C4</f>
        <v>9119.9</v>
      </c>
    </row>
    <row r="46" spans="1:2" s="1588" customFormat="1">
      <c r="A46" s="1586" t="s">
        <v>1272</v>
      </c>
      <c r="B46" s="1587" t="str">
        <f>'预评函-3'!D2</f>
        <v>出让国有建设用地使用权价值</v>
      </c>
    </row>
    <row r="47" spans="1:2" s="1588" customFormat="1">
      <c r="A47" s="1586" t="s">
        <v>1247</v>
      </c>
      <c r="B47" s="1587">
        <f ca="1">'预评函-3'!D4</f>
        <v>4610</v>
      </c>
    </row>
    <row r="48" spans="1:2" s="1588" customFormat="1">
      <c r="A48" s="1586" t="s">
        <v>1248</v>
      </c>
      <c r="B48" s="1587">
        <f ca="1">'预评函-3'!E4</f>
        <v>14725</v>
      </c>
    </row>
    <row r="49" spans="1:2" s="1588" customFormat="1">
      <c r="A49" s="1586" t="s">
        <v>1249</v>
      </c>
      <c r="B49" s="1587" t="str">
        <f ca="1">'预评函-3'!D5</f>
        <v>肆仟陆佰壹拾万元整</v>
      </c>
    </row>
    <row r="50" spans="1:2" s="1588" customFormat="1">
      <c r="A50" s="1586" t="s">
        <v>1273</v>
      </c>
      <c r="B50" s="1587" t="str">
        <f>'预评函-3'!F2</f>
        <v>在建建筑物价值</v>
      </c>
    </row>
    <row r="51" spans="1:2" s="1588" customFormat="1">
      <c r="A51" s="1586" t="s">
        <v>1250</v>
      </c>
      <c r="B51" s="1587">
        <f ca="1">'预评函-3'!F4</f>
        <v>4536</v>
      </c>
    </row>
    <row r="52" spans="1:2" s="1588" customFormat="1">
      <c r="A52" s="1586" t="s">
        <v>1251</v>
      </c>
      <c r="B52" s="1587">
        <f ca="1">'预评函-3'!G4</f>
        <v>14488</v>
      </c>
    </row>
    <row r="53" spans="1:2" s="1588" customFormat="1">
      <c r="A53" s="1586" t="s">
        <v>1279</v>
      </c>
      <c r="B53" s="1587" t="str">
        <f ca="1">'预评函-3'!F5</f>
        <v>肆仟伍佰叁拾陆万元整</v>
      </c>
    </row>
    <row r="54" spans="1:2" s="1588" customFormat="1">
      <c r="A54" s="1586" t="s">
        <v>1297</v>
      </c>
      <c r="B54" s="1587" t="str">
        <f>'预评函-3'!A8</f>
        <v/>
      </c>
    </row>
    <row r="55" spans="1:2" s="1588" customFormat="1">
      <c r="A55" s="1586" t="s">
        <v>1280</v>
      </c>
      <c r="B55" s="1587" t="str">
        <f>'预评函-3'!A10</f>
        <v>抵押担保权已注销时的房地产抵押价值</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1120050019</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3045</v>
      </c>
      <c r="B15" s="2009" t="s">
        <v>1762</v>
      </c>
      <c r="C15" s="2010"/>
    </row>
    <row r="16" spans="1:23">
      <c r="A16" s="2009" t="s">
        <v>3050</v>
      </c>
      <c r="B16" s="2009" t="s">
        <v>756</v>
      </c>
      <c r="C16" s="2010"/>
    </row>
    <row r="17" spans="1:3">
      <c r="A17" s="2009" t="s">
        <v>757</v>
      </c>
      <c r="B17" s="2009" t="s">
        <v>757</v>
      </c>
      <c r="C17" s="2010"/>
    </row>
    <row r="18" spans="1:3">
      <c r="A18" s="2009" t="s">
        <v>757</v>
      </c>
      <c r="B18" s="2009" t="s">
        <v>3051</v>
      </c>
      <c r="C18" s="2010"/>
    </row>
    <row r="19" spans="1:3">
      <c r="A19" s="2009" t="s">
        <v>757</v>
      </c>
      <c r="B19" s="2009" t="s">
        <v>3052</v>
      </c>
      <c r="C19" s="2010"/>
    </row>
    <row r="20" spans="1:3">
      <c r="A20" s="2009" t="s">
        <v>757</v>
      </c>
      <c r="B20" s="2009" t="s">
        <v>3053</v>
      </c>
      <c r="C20" s="2010"/>
    </row>
    <row r="21" spans="1:3">
      <c r="A21" s="2009" t="s">
        <v>757</v>
      </c>
      <c r="B21" s="2009" t="s">
        <v>3054</v>
      </c>
      <c r="C21" s="2010"/>
    </row>
    <row r="22" spans="1:3">
      <c r="A22" s="2009" t="s">
        <v>757</v>
      </c>
      <c r="B22" s="2009" t="s">
        <v>3055</v>
      </c>
      <c r="C22" s="2010"/>
    </row>
    <row r="23" spans="1:3">
      <c r="A23" s="2009" t="s">
        <v>757</v>
      </c>
      <c r="B23" s="2009" t="s">
        <v>3056</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5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7"/>
      <c r="B54" s="2017" t="s">
        <v>864</v>
      </c>
      <c r="C54" s="2014" t="s">
        <v>1282</v>
      </c>
    </row>
    <row r="55" spans="1:4">
      <c r="A55" s="3057"/>
      <c r="B55" s="2017" t="s">
        <v>865</v>
      </c>
      <c r="C55" s="2014" t="s">
        <v>1283</v>
      </c>
    </row>
    <row r="56" spans="1:4">
      <c r="A56" s="3057"/>
      <c r="B56" s="2017" t="s">
        <v>866</v>
      </c>
      <c r="C56" s="2014" t="s">
        <v>1287</v>
      </c>
    </row>
    <row r="57" spans="1:4">
      <c r="A57" s="3057"/>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0" sqref="G20"/>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58"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59"/>
      <c r="D1" s="3059"/>
      <c r="E1" s="3059"/>
      <c r="F1" s="3059"/>
      <c r="G1" s="3059"/>
      <c r="H1" s="3059"/>
      <c r="I1" s="306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43110</v>
      </c>
      <c r="C3" s="2032" t="s">
        <v>1769</v>
      </c>
      <c r="D3" s="2031">
        <v>43110</v>
      </c>
      <c r="E3" s="2021"/>
      <c r="F3" s="2021"/>
      <c r="G3" s="2021"/>
      <c r="H3" s="2021"/>
      <c r="I3" s="2021"/>
      <c r="J3" s="2021"/>
      <c r="K3" s="2022"/>
      <c r="L3" s="2023"/>
      <c r="M3" s="2023"/>
      <c r="N3" s="2024"/>
      <c r="O3" s="2025"/>
      <c r="P3" s="2024"/>
      <c r="Q3" s="2024"/>
      <c r="R3" s="2024"/>
      <c r="S3" s="2026"/>
    </row>
    <row r="4" spans="1:19" ht="18" customHeight="1" thickBot="1">
      <c r="A4" s="2033" t="s">
        <v>1770</v>
      </c>
      <c r="B4" s="2034" t="s">
        <v>3035</v>
      </c>
      <c r="C4" s="1032">
        <f ca="1">SUMIF(注册房地产估价师,B4,估价师及机构信息!B3:B24)</f>
        <v>1120050019</v>
      </c>
      <c r="D4" s="2034" t="s">
        <v>3036</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1771</v>
      </c>
      <c r="B5" s="3010"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3039</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61" t="s">
        <v>1775</v>
      </c>
      <c r="E8" s="2049" t="s">
        <v>3396</v>
      </c>
      <c r="F8" s="2050"/>
      <c r="G8" s="2021"/>
      <c r="H8" s="2021"/>
      <c r="I8" s="2021"/>
      <c r="J8" s="2037"/>
      <c r="K8" s="2038"/>
      <c r="L8" s="2023"/>
      <c r="M8" s="2023"/>
      <c r="N8" s="2024"/>
      <c r="O8" s="2025"/>
      <c r="P8" s="2024"/>
      <c r="Q8" s="2024"/>
      <c r="R8" s="2024"/>
    </row>
    <row r="9" spans="1:19" ht="18" customHeight="1" thickBot="1">
      <c r="A9" s="2035" t="s">
        <v>1776</v>
      </c>
      <c r="B9" s="2051" t="s">
        <v>3030</v>
      </c>
      <c r="C9" s="2052"/>
      <c r="D9" s="3062"/>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3013" t="s">
        <v>3383</v>
      </c>
      <c r="D10" s="2041"/>
      <c r="E10" s="2057" t="s">
        <v>1778</v>
      </c>
      <c r="F10" s="3012" t="s">
        <v>3384</v>
      </c>
      <c r="G10" s="2058"/>
      <c r="H10" s="2059"/>
      <c r="I10" s="2041"/>
      <c r="J10" s="2037"/>
      <c r="K10" s="2046"/>
      <c r="L10" s="2023"/>
      <c r="M10" s="2023"/>
      <c r="N10" s="2024"/>
      <c r="O10" s="2025"/>
      <c r="P10" s="2024"/>
      <c r="Q10" s="2024"/>
      <c r="R10" s="2024"/>
    </row>
    <row r="11" spans="1:19" ht="18" customHeight="1">
      <c r="A11" s="2060" t="s">
        <v>1779</v>
      </c>
      <c r="B11" s="2061" t="s">
        <v>3032</v>
      </c>
      <c r="C11" s="3011"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56444</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36.53</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68"/>
      <c r="C16" s="3069"/>
      <c r="D16" s="3070"/>
      <c r="E16" s="2075" t="s">
        <v>1792</v>
      </c>
      <c r="F16" s="3071"/>
      <c r="G16" s="3072"/>
      <c r="H16" s="3072"/>
      <c r="I16" s="3073"/>
      <c r="J16" s="2024"/>
      <c r="K16" s="2072"/>
      <c r="L16" s="2073"/>
      <c r="M16" s="2073"/>
      <c r="N16" s="2074"/>
      <c r="O16" s="2073"/>
      <c r="P16" s="2074"/>
      <c r="Q16" s="2024"/>
      <c r="R16" s="2024"/>
    </row>
    <row r="17" spans="1:22" ht="18" customHeight="1">
      <c r="A17" s="2076" t="s">
        <v>1793</v>
      </c>
      <c r="B17" s="2030" t="s">
        <v>1794</v>
      </c>
      <c r="C17" s="1049">
        <f>'数据-汇总表'!E3</f>
        <v>3130.82</v>
      </c>
      <c r="D17" s="2077" t="s">
        <v>1795</v>
      </c>
      <c r="E17" s="3074" t="s">
        <v>3385</v>
      </c>
      <c r="F17" s="3075"/>
      <c r="G17" s="3075"/>
      <c r="H17" s="3075"/>
      <c r="I17" s="3076"/>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9119.9</v>
      </c>
      <c r="D18" s="2080" t="s">
        <v>1795</v>
      </c>
      <c r="E18" s="3077" t="s">
        <v>3395</v>
      </c>
      <c r="F18" s="3078"/>
      <c r="G18" s="3078"/>
      <c r="H18" s="3078"/>
      <c r="I18" s="3079"/>
      <c r="J18" s="2024"/>
      <c r="K18" s="2078"/>
      <c r="L18" s="2073"/>
      <c r="M18" s="2073"/>
      <c r="N18" s="2074"/>
      <c r="O18" s="2073"/>
      <c r="P18" s="2074"/>
      <c r="Q18" s="2024"/>
      <c r="R18" s="2024"/>
      <c r="S18" s="2024"/>
      <c r="T18" s="2024"/>
      <c r="U18" s="2024"/>
      <c r="V18" s="2024"/>
    </row>
    <row r="19" spans="1:22" ht="37.5" customHeight="1" thickTop="1" thickBot="1">
      <c r="A19" s="370" t="s">
        <v>1797</v>
      </c>
      <c r="B19" s="349"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64" t="s">
        <v>1801</v>
      </c>
      <c r="C20" s="3065"/>
      <c r="D20" s="3066" t="s">
        <v>1802</v>
      </c>
      <c r="E20" s="3067"/>
      <c r="F20" s="2087" t="s">
        <v>1803</v>
      </c>
      <c r="G20" s="2037"/>
      <c r="H20" s="2037"/>
      <c r="I20" s="2037"/>
      <c r="J20" s="2037"/>
      <c r="K20" s="3063" t="s">
        <v>1804</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3386</v>
      </c>
      <c r="C21" s="2089" t="s">
        <v>3040</v>
      </c>
      <c r="D21" s="2090"/>
      <c r="E21" s="2091"/>
      <c r="F21" s="2092"/>
      <c r="G21" s="2037"/>
      <c r="H21" s="2037"/>
      <c r="I21" s="2037"/>
      <c r="J21" s="2037"/>
      <c r="K21" s="306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3041</v>
      </c>
      <c r="C22" s="2089" t="s">
        <v>3040</v>
      </c>
      <c r="D22" s="2021"/>
      <c r="E22" s="2021"/>
      <c r="F22" s="2094"/>
      <c r="G22" s="2037"/>
      <c r="H22" s="2037"/>
      <c r="I22" s="2037"/>
      <c r="J22" s="2037"/>
      <c r="K22" s="306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80" t="s">
        <v>1806</v>
      </c>
      <c r="C23" s="2096"/>
      <c r="D23" s="2097" t="s">
        <v>1806</v>
      </c>
      <c r="E23" s="2098"/>
      <c r="F23" s="2094"/>
      <c r="G23" s="2037"/>
      <c r="H23" s="2037"/>
      <c r="I23" s="2037"/>
      <c r="J23" s="2037"/>
      <c r="K23" s="2099"/>
      <c r="L23" s="745"/>
      <c r="M23" s="2023"/>
      <c r="N23" s="2074"/>
      <c r="O23" s="2073"/>
      <c r="P23" s="2074"/>
      <c r="Q23" s="2024"/>
      <c r="R23" s="2024"/>
      <c r="S23" s="2024"/>
      <c r="T23" s="2024"/>
      <c r="U23" s="2024"/>
      <c r="V23" s="2024"/>
    </row>
    <row r="24" spans="1:22" ht="18" customHeight="1">
      <c r="A24" s="2100"/>
      <c r="B24" s="180" t="s">
        <v>1807</v>
      </c>
      <c r="C24" s="2101"/>
      <c r="D24" s="2095" t="s">
        <v>1807</v>
      </c>
      <c r="E24" s="2102"/>
      <c r="F24" s="2094"/>
      <c r="G24" s="2037"/>
      <c r="H24" s="2037"/>
      <c r="I24" s="2037"/>
      <c r="J24" s="2037"/>
      <c r="K24" s="2099"/>
      <c r="L24" s="745"/>
      <c r="M24" s="2023"/>
      <c r="N24" s="2074"/>
      <c r="O24" s="2073"/>
      <c r="P24" s="2074"/>
      <c r="Q24" s="2024"/>
      <c r="R24" s="2024"/>
      <c r="S24" s="2024"/>
      <c r="T24" s="2024"/>
      <c r="U24" s="2024"/>
      <c r="V24" s="2024"/>
    </row>
    <row r="25" spans="1:22" ht="18" customHeight="1">
      <c r="A25" s="2100"/>
      <c r="B25" s="180"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81" t="s">
        <v>1811</v>
      </c>
      <c r="B27" s="2055" t="s">
        <v>1812</v>
      </c>
      <c r="C27" s="2109" t="s">
        <v>3398</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81"/>
      <c r="B28" s="2030" t="s">
        <v>1813</v>
      </c>
      <c r="C28" s="2111" t="s">
        <v>3397</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81"/>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82"/>
      <c r="B30" s="2030" t="s">
        <v>1815</v>
      </c>
      <c r="C30" s="3083"/>
      <c r="D30" s="3084"/>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85" t="s">
        <v>1816</v>
      </c>
      <c r="B31" s="2116" t="s">
        <v>3266</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86"/>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86"/>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3387</v>
      </c>
      <c r="C34" s="2123" t="s">
        <v>3388</v>
      </c>
      <c r="D34" s="2123" t="s">
        <v>3389</v>
      </c>
      <c r="E34" s="2123" t="s">
        <v>3390</v>
      </c>
      <c r="F34" s="2123" t="s">
        <v>3391</v>
      </c>
      <c r="G34" s="2123"/>
      <c r="H34" s="2123"/>
      <c r="I34" s="2037"/>
      <c r="J34" s="2037"/>
      <c r="K34" s="1790">
        <f>COUNTIF(B34:H34,"——")</f>
        <v>0</v>
      </c>
      <c r="L34" s="2064" t="s">
        <v>1818</v>
      </c>
      <c r="M34" s="2064" t="s">
        <v>1819</v>
      </c>
      <c r="N34" s="2064" t="s">
        <v>1820</v>
      </c>
      <c r="O34" s="2064" t="s">
        <v>1821</v>
      </c>
      <c r="P34" s="2064" t="s">
        <v>1822</v>
      </c>
      <c r="Q34" s="2064" t="s">
        <v>1823</v>
      </c>
      <c r="R34" s="2064" t="s">
        <v>1824</v>
      </c>
      <c r="S34" s="3080" t="s">
        <v>1825</v>
      </c>
      <c r="T34" s="2124" t="str">
        <f>NUMBERSTRING(7-K34,1)&amp;"通"</f>
        <v>七通</v>
      </c>
      <c r="U34" s="2024"/>
      <c r="V34" s="2024"/>
    </row>
    <row r="35" spans="1:22" ht="18" customHeight="1">
      <c r="A35" s="2125"/>
      <c r="B35" s="3087" t="s">
        <v>1826</v>
      </c>
      <c r="C35" s="3087"/>
      <c r="D35" s="3087"/>
      <c r="E35" s="3087"/>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0"/>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3"/>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9" sqref="B29"/>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ROUND(92517.4*B3/31760.79,2)</f>
        <v>9119.9</v>
      </c>
      <c r="B3" s="14">
        <f>IF(C3="否",G5-AT5,G5)</f>
        <v>3130.82</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3130.82</v>
      </c>
      <c r="H5" s="16">
        <f t="shared" ref="H5:AT5" si="0">SUM(H13:H656)</f>
        <v>3130.82</v>
      </c>
      <c r="I5" s="16">
        <f t="shared" si="0"/>
        <v>2219.35</v>
      </c>
      <c r="J5" s="16">
        <f t="shared" si="0"/>
        <v>0</v>
      </c>
      <c r="K5" s="16">
        <f t="shared" si="0"/>
        <v>0</v>
      </c>
      <c r="L5" s="16">
        <f t="shared" si="0"/>
        <v>0</v>
      </c>
      <c r="M5" s="16">
        <f t="shared" si="0"/>
        <v>149.13</v>
      </c>
      <c r="N5" s="16">
        <f t="shared" si="0"/>
        <v>0</v>
      </c>
      <c r="O5" s="16">
        <f t="shared" si="0"/>
        <v>762.34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3130.82</v>
      </c>
      <c r="BA5" s="18">
        <f t="shared" si="1"/>
        <v>3130.82</v>
      </c>
      <c r="BB5" s="18">
        <f t="shared" si="1"/>
        <v>2219.35</v>
      </c>
      <c r="BC5" s="18">
        <f t="shared" si="1"/>
        <v>0</v>
      </c>
      <c r="BD5" s="18">
        <f t="shared" si="1"/>
        <v>149.13</v>
      </c>
      <c r="BE5" s="18">
        <f t="shared" si="1"/>
        <v>762.34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9119.9</v>
      </c>
      <c r="F6" s="16" t="s">
        <v>1</v>
      </c>
      <c r="G6" s="16" t="s">
        <v>2</v>
      </c>
      <c r="H6" s="20">
        <f>SUMIF(I$12:AB$12,"总值",I6:AB6)</f>
        <v>9119.9</v>
      </c>
      <c r="I6" s="16">
        <f t="shared" ref="I6:AB6" si="2">ROUND($A$3*I5/$B$3,2)</f>
        <v>6464.84</v>
      </c>
      <c r="J6" s="16">
        <f t="shared" si="2"/>
        <v>0</v>
      </c>
      <c r="K6" s="16">
        <f t="shared" si="2"/>
        <v>0</v>
      </c>
      <c r="L6" s="16">
        <f t="shared" si="2"/>
        <v>0</v>
      </c>
      <c r="M6" s="16">
        <f t="shared" si="2"/>
        <v>434.41</v>
      </c>
      <c r="N6" s="16">
        <f t="shared" si="2"/>
        <v>0</v>
      </c>
      <c r="O6" s="16">
        <f t="shared" si="2"/>
        <v>2220.65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9119.9</v>
      </c>
      <c r="AZ6" s="16" t="s">
        <v>3</v>
      </c>
      <c r="BA6" s="16">
        <f>ROUND($AY$6*BA5/$AZ$5,2)</f>
        <v>9119.9</v>
      </c>
      <c r="BB6" s="16">
        <f>ROUND($AY$6*BB5/$AZ$5,2)</f>
        <v>6464.84</v>
      </c>
      <c r="BC6" s="16">
        <f t="shared" ref="BC6:BH6" si="4">ROUND($AY$6*BC5/$AZ$5,2)</f>
        <v>0</v>
      </c>
      <c r="BD6" s="16">
        <f t="shared" si="4"/>
        <v>434.41</v>
      </c>
      <c r="BE6" s="16">
        <f t="shared" si="4"/>
        <v>2220.65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3042</v>
      </c>
      <c r="J9" s="976"/>
      <c r="K9" s="2181" t="s">
        <v>3042</v>
      </c>
      <c r="L9" s="976"/>
      <c r="M9" s="2181" t="s">
        <v>3042</v>
      </c>
      <c r="N9" s="976"/>
      <c r="O9" s="2181" t="s">
        <v>3042</v>
      </c>
      <c r="P9" s="976"/>
      <c r="Q9" s="2181" t="s">
        <v>3042</v>
      </c>
      <c r="R9" s="976"/>
      <c r="S9" s="2181" t="s">
        <v>3042</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3043</v>
      </c>
      <c r="J11" s="2193"/>
      <c r="K11" s="2192" t="s">
        <v>3044</v>
      </c>
      <c r="L11" s="2193"/>
      <c r="M11" s="2192" t="s">
        <v>3046</v>
      </c>
      <c r="N11" s="2193"/>
      <c r="O11" s="2192" t="s">
        <v>3047</v>
      </c>
      <c r="P11" s="2193"/>
      <c r="Q11" s="2192" t="s">
        <v>3048</v>
      </c>
      <c r="R11" s="2193"/>
      <c r="S11" s="2192" t="s">
        <v>3049</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t="str">
        <f>'一期-A5-15套'!D18</f>
        <v xml:space="preserve"> 3-10-1018 </v>
      </c>
      <c r="D13" s="2937" t="s">
        <v>3027</v>
      </c>
      <c r="E13" s="16">
        <f>IF($C$3="是",ROUND($A$3*G13/$B$3,2),ROUND($A$3*(G13-AT13)/$B$3,2))</f>
        <v>440.82</v>
      </c>
      <c r="F13" s="32"/>
      <c r="G13" s="33">
        <f>H13+AC13+AT13</f>
        <v>151.33000000000001</v>
      </c>
      <c r="H13" s="20">
        <f>SUMIF(I$12:AB$12,"总值",I13:AB13)</f>
        <v>151.33000000000001</v>
      </c>
      <c r="I13" s="2934">
        <f>'一期-A5-15套'!I18</f>
        <v>151.33000000000001</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 xml:space="preserve"> 3-10-1018 </v>
      </c>
      <c r="AY13" s="1801">
        <f>ROUND($AY$6*AZ13/$AZ$5,2)</f>
        <v>440.82</v>
      </c>
      <c r="AZ13" s="16">
        <f>BA13+BL13</f>
        <v>151.33000000000001</v>
      </c>
      <c r="BA13" s="16">
        <f>SUM(BB13:BK13)</f>
        <v>151.33000000000001</v>
      </c>
      <c r="BB13" s="16">
        <f>IF($D13="是",I13-J13,0)</f>
        <v>151.33000000000001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t="str">
        <f>'一期-A5-15套'!D19</f>
        <v xml:space="preserve">  3-11-1018  </v>
      </c>
      <c r="D14" s="2937" t="s">
        <v>3027</v>
      </c>
      <c r="E14" s="16">
        <f>IF($C$3="是",ROUND($A$3*G14/$B$3,2),ROUND($A$3*(G14-AT14)/$B$3,2))</f>
        <v>440.82</v>
      </c>
      <c r="F14" s="32"/>
      <c r="G14" s="33">
        <f>H14+AC14+AT14</f>
        <v>151.33000000000001</v>
      </c>
      <c r="H14" s="20">
        <f>SUMIF(I$12:AB$12,"总值",I14:AB14)</f>
        <v>151.33000000000001</v>
      </c>
      <c r="I14" s="2934">
        <f>'一期-A5-15套'!I19</f>
        <v>151.33000000000001</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 xml:space="preserve">  3-11-1018  </v>
      </c>
      <c r="AY14" s="1801">
        <f>ROUND($AY$6*AZ14/$AZ$5,2)</f>
        <v>440.82</v>
      </c>
      <c r="AZ14" s="16">
        <f>BA14+BL14</f>
        <v>151.33000000000001</v>
      </c>
      <c r="BA14" s="16">
        <f>SUM(BB14:BK14)</f>
        <v>151.33000000000001</v>
      </c>
      <c r="BB14" s="16">
        <f>IF($D14="是",I14-J14,0)</f>
        <v>151.33000000000001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t="str">
        <f>'一期-A5-15套'!D20</f>
        <v xml:space="preserve">  3-20-1018 </v>
      </c>
      <c r="D15" s="2937" t="s">
        <v>3027</v>
      </c>
      <c r="E15" s="16">
        <f>IF($C$3="是",ROUND($A$3*G15/$B$3,2),ROUND($A$3*(G15-AT15)/$B$3,2))</f>
        <v>440.82</v>
      </c>
      <c r="F15" s="32"/>
      <c r="G15" s="33">
        <f>H15+AC15+AT15</f>
        <v>151.33000000000001</v>
      </c>
      <c r="H15" s="20">
        <f>SUMIF(I$12:AB$12,"总值",I15:AB15)</f>
        <v>151.33000000000001</v>
      </c>
      <c r="I15" s="2934">
        <f>'一期-A5-15套'!I20</f>
        <v>151.33000000000001</v>
      </c>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 xml:space="preserve">  3-20-1018 </v>
      </c>
      <c r="AY15" s="1801">
        <f>ROUND($AY$6*AZ15/$AZ$5,2)</f>
        <v>440.82</v>
      </c>
      <c r="AZ15" s="16">
        <f>BA15+BL15</f>
        <v>151.33000000000001</v>
      </c>
      <c r="BA15" s="16">
        <f>SUM(BB15:BK15)</f>
        <v>151.33000000000001</v>
      </c>
      <c r="BB15" s="16">
        <f>IF($D15="是",I15-J15,0)</f>
        <v>151.33000000000001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t="str">
        <f>'一期-A5-15套'!D21</f>
        <v xml:space="preserve">  5-1-1018 </v>
      </c>
      <c r="D16" s="2937" t="s">
        <v>3027</v>
      </c>
      <c r="E16" s="16">
        <f>IF($C$3="是",ROUND($A$3*G16/$B$3,2),ROUND($A$3*(G16-AT16)/$B$3,2))</f>
        <v>993.43</v>
      </c>
      <c r="F16" s="32"/>
      <c r="G16" s="33">
        <f>H16+AC16+AT16</f>
        <v>341.04</v>
      </c>
      <c r="H16" s="20">
        <f>SUMIF(I$12:AB$12,"总值",I16:AB16)</f>
        <v>341.04</v>
      </c>
      <c r="I16" s="2934">
        <f>'一期-A5-15套'!I21</f>
        <v>341.04</v>
      </c>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 xml:space="preserve">  5-1-1018 </v>
      </c>
      <c r="AY16" s="1801">
        <f>ROUND($AY$6*AZ16/$AZ$5,2)</f>
        <v>993.43</v>
      </c>
      <c r="AZ16" s="16">
        <f>BA16+BL16</f>
        <v>341.04</v>
      </c>
      <c r="BA16" s="16">
        <f>SUM(BB16:BK16)</f>
        <v>341.04</v>
      </c>
      <c r="BB16" s="16">
        <f>IF($D16="是",I16-J16,0)</f>
        <v>341.04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t="str">
        <f>'一期-A5-15套'!D22</f>
        <v xml:space="preserve"> 6-1-1018  </v>
      </c>
      <c r="D17" s="2937" t="s">
        <v>3027</v>
      </c>
      <c r="E17" s="16">
        <f>IF($C$3="是",ROUND($A$3*G17/$B$3,2),ROUND($A$3*(G17-AT17)/$B$3,2))</f>
        <v>2273.9</v>
      </c>
      <c r="F17" s="32"/>
      <c r="G17" s="33">
        <f>H17+AC17+AT17</f>
        <v>780.62</v>
      </c>
      <c r="H17" s="20">
        <f>SUMIF(I$12:AB$12,"总值",I17:AB17)</f>
        <v>780.62</v>
      </c>
      <c r="I17" s="2934">
        <f>'一期-A5-15套'!I22</f>
        <v>780.62</v>
      </c>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t="str">
        <f t="shared" si="6"/>
        <v xml:space="preserve"> 6-1-1018  </v>
      </c>
      <c r="AY17" s="1801">
        <f>ROUND($AY$6*AZ17/$AZ$5,2)</f>
        <v>2273.9</v>
      </c>
      <c r="AZ17" s="16">
        <f>BA17+BL17</f>
        <v>780.62</v>
      </c>
      <c r="BA17" s="16">
        <f>SUM(BB17:BK17)</f>
        <v>780.62</v>
      </c>
      <c r="BB17" s="16">
        <f>IF($D17="是",I17-J17,0)</f>
        <v>780.62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f>'一期-A5-15套'!D23</f>
        <v>10101</v>
      </c>
      <c r="D18" s="2937" t="s">
        <v>3027</v>
      </c>
      <c r="E18" s="35">
        <f t="shared" ref="E18:E112" si="7">IF($C$3="是",ROUND($A$3*G18/$B$3,2),ROUND($A$3*(G18-AT18)/$B$3,2))</f>
        <v>371.25</v>
      </c>
      <c r="F18" s="36"/>
      <c r="G18" s="37">
        <f t="shared" ref="G18:G109" si="8">H18+AC18+AT18</f>
        <v>127.45</v>
      </c>
      <c r="H18" s="38">
        <f t="shared" ref="H18:H109" si="9">SUMIF(I$12:AB$12,"总值",I18:AB18)</f>
        <v>127.45</v>
      </c>
      <c r="I18" s="2934"/>
      <c r="J18" s="39"/>
      <c r="K18" s="39"/>
      <c r="L18" s="39"/>
      <c r="M18" s="39"/>
      <c r="N18" s="39"/>
      <c r="O18" s="39">
        <f>'一期-A5-15套'!I23</f>
        <v>127.45</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10101</v>
      </c>
      <c r="AY18" s="42">
        <f t="shared" ref="AY18:AY109" si="14">ROUND($AY$6*AZ18/$AZ$5,2)</f>
        <v>371.25</v>
      </c>
      <c r="AZ18" s="35">
        <f t="shared" ref="AZ18:AZ109" si="15">BA18+BL18</f>
        <v>127.45</v>
      </c>
      <c r="BA18" s="35">
        <f t="shared" ref="BA18:BA109" si="16">SUM(BB18:BK18)</f>
        <v>127.45</v>
      </c>
      <c r="BB18" s="35">
        <f t="shared" ref="BB18:BB109" si="17">IF($D18="是",I18-J18,0)</f>
        <v>0</v>
      </c>
      <c r="BC18" s="35">
        <f t="shared" ref="BC18:BC109" si="18">IF($D18="是",K18-L18,0)</f>
        <v>0</v>
      </c>
      <c r="BD18" s="35">
        <f t="shared" ref="BD18:BD109" si="19">IF($D18="是",M18-N18,0)</f>
        <v>0</v>
      </c>
      <c r="BE18" s="35">
        <f t="shared" ref="BE18:BE109" si="20">IF($D18="是",O18-P18,0)</f>
        <v>127.45</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f>'一期-A5-15套'!D24</f>
        <v>10102</v>
      </c>
      <c r="D19" s="2937" t="s">
        <v>3027</v>
      </c>
      <c r="E19" s="35">
        <f t="shared" si="7"/>
        <v>384.51</v>
      </c>
      <c r="F19" s="36"/>
      <c r="G19" s="37">
        <f t="shared" si="8"/>
        <v>132</v>
      </c>
      <c r="H19" s="38">
        <f t="shared" si="9"/>
        <v>132</v>
      </c>
      <c r="I19" s="2934"/>
      <c r="J19" s="39"/>
      <c r="K19" s="39"/>
      <c r="L19" s="39"/>
      <c r="M19" s="39"/>
      <c r="N19" s="39"/>
      <c r="O19" s="39">
        <f>'一期-A5-15套'!I24</f>
        <v>132</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10102</v>
      </c>
      <c r="AY19" s="42">
        <f t="shared" si="14"/>
        <v>384.51</v>
      </c>
      <c r="AZ19" s="35">
        <f t="shared" si="15"/>
        <v>132</v>
      </c>
      <c r="BA19" s="35">
        <f t="shared" si="16"/>
        <v>132</v>
      </c>
      <c r="BB19" s="35">
        <f t="shared" si="17"/>
        <v>0</v>
      </c>
      <c r="BC19" s="35">
        <f t="shared" si="18"/>
        <v>0</v>
      </c>
      <c r="BD19" s="35">
        <f t="shared" si="19"/>
        <v>0</v>
      </c>
      <c r="BE19" s="35">
        <f t="shared" si="20"/>
        <v>132</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f>'一期-A5-15套'!D25</f>
        <v>10302</v>
      </c>
      <c r="D20" s="2937" t="s">
        <v>3027</v>
      </c>
      <c r="E20" s="35">
        <f t="shared" si="7"/>
        <v>360.13</v>
      </c>
      <c r="F20" s="36"/>
      <c r="G20" s="37">
        <f t="shared" si="8"/>
        <v>123.63</v>
      </c>
      <c r="H20" s="38">
        <f t="shared" si="9"/>
        <v>123.63</v>
      </c>
      <c r="I20" s="2934"/>
      <c r="J20" s="39"/>
      <c r="K20" s="39"/>
      <c r="L20" s="39"/>
      <c r="M20" s="39"/>
      <c r="N20" s="39"/>
      <c r="O20" s="39">
        <f>'一期-A5-15套'!I25</f>
        <v>123.63</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10302</v>
      </c>
      <c r="AY20" s="42">
        <f t="shared" si="14"/>
        <v>360.13</v>
      </c>
      <c r="AZ20" s="35">
        <f t="shared" si="15"/>
        <v>123.63</v>
      </c>
      <c r="BA20" s="35">
        <f t="shared" si="16"/>
        <v>123.63</v>
      </c>
      <c r="BB20" s="35">
        <f t="shared" si="17"/>
        <v>0</v>
      </c>
      <c r="BC20" s="35">
        <f t="shared" si="18"/>
        <v>0</v>
      </c>
      <c r="BD20" s="35">
        <f t="shared" si="19"/>
        <v>0</v>
      </c>
      <c r="BE20" s="35">
        <f t="shared" si="20"/>
        <v>123.63</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f>'一期-A5-15套'!D26</f>
        <v>10302</v>
      </c>
      <c r="D21" s="2937" t="s">
        <v>3027</v>
      </c>
      <c r="E21" s="35">
        <f t="shared" si="7"/>
        <v>360.13</v>
      </c>
      <c r="F21" s="36"/>
      <c r="G21" s="37">
        <f t="shared" si="8"/>
        <v>123.63</v>
      </c>
      <c r="H21" s="38">
        <f t="shared" si="9"/>
        <v>123.63</v>
      </c>
      <c r="I21" s="2934"/>
      <c r="J21" s="39"/>
      <c r="K21" s="39"/>
      <c r="L21" s="39"/>
      <c r="M21" s="39"/>
      <c r="N21" s="39"/>
      <c r="O21" s="39">
        <f>'一期-A5-15套'!I26</f>
        <v>123.63</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10302</v>
      </c>
      <c r="AY21" s="42">
        <f t="shared" si="14"/>
        <v>360.13</v>
      </c>
      <c r="AZ21" s="35">
        <f t="shared" si="15"/>
        <v>123.63</v>
      </c>
      <c r="BA21" s="35">
        <f t="shared" si="16"/>
        <v>123.63</v>
      </c>
      <c r="BB21" s="35">
        <f t="shared" si="17"/>
        <v>0</v>
      </c>
      <c r="BC21" s="35">
        <f t="shared" si="18"/>
        <v>0</v>
      </c>
      <c r="BD21" s="35">
        <f t="shared" si="19"/>
        <v>0</v>
      </c>
      <c r="BE21" s="35">
        <f t="shared" si="20"/>
        <v>123.63</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f>'一期-A5-15套'!D27</f>
        <v>10202</v>
      </c>
      <c r="D22" s="2937" t="s">
        <v>3027</v>
      </c>
      <c r="E22" s="35">
        <f t="shared" si="7"/>
        <v>384.51</v>
      </c>
      <c r="F22" s="36"/>
      <c r="G22" s="37">
        <f t="shared" si="8"/>
        <v>132</v>
      </c>
      <c r="H22" s="38">
        <f t="shared" si="9"/>
        <v>132</v>
      </c>
      <c r="I22" s="2934"/>
      <c r="J22" s="39"/>
      <c r="K22" s="39"/>
      <c r="L22" s="39"/>
      <c r="M22" s="39"/>
      <c r="N22" s="39"/>
      <c r="O22" s="39">
        <f>'一期-A5-15套'!I27</f>
        <v>132</v>
      </c>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10202</v>
      </c>
      <c r="AY22" s="42">
        <f t="shared" si="14"/>
        <v>384.51</v>
      </c>
      <c r="AZ22" s="35">
        <f t="shared" si="15"/>
        <v>132</v>
      </c>
      <c r="BA22" s="35">
        <f t="shared" si="16"/>
        <v>132</v>
      </c>
      <c r="BB22" s="35">
        <f t="shared" si="17"/>
        <v>0</v>
      </c>
      <c r="BC22" s="35">
        <f t="shared" si="18"/>
        <v>0</v>
      </c>
      <c r="BD22" s="35">
        <f t="shared" si="19"/>
        <v>0</v>
      </c>
      <c r="BE22" s="35">
        <f t="shared" si="20"/>
        <v>132</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f>'一期-A5-15套'!D28</f>
        <v>10302</v>
      </c>
      <c r="D23" s="2937" t="s">
        <v>3027</v>
      </c>
      <c r="E23" s="35">
        <f t="shared" si="7"/>
        <v>360.13</v>
      </c>
      <c r="F23" s="36"/>
      <c r="G23" s="37">
        <f t="shared" si="8"/>
        <v>123.63</v>
      </c>
      <c r="H23" s="38">
        <f t="shared" si="9"/>
        <v>123.63</v>
      </c>
      <c r="I23" s="2934"/>
      <c r="J23" s="39"/>
      <c r="K23" s="39"/>
      <c r="L23" s="39"/>
      <c r="M23" s="39"/>
      <c r="N23" s="39"/>
      <c r="O23" s="39">
        <f>'一期-A5-15套'!I28</f>
        <v>123.63</v>
      </c>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10302</v>
      </c>
      <c r="AY23" s="42">
        <f t="shared" si="14"/>
        <v>360.13</v>
      </c>
      <c r="AZ23" s="35">
        <f t="shared" si="15"/>
        <v>123.63</v>
      </c>
      <c r="BA23" s="35">
        <f t="shared" si="16"/>
        <v>123.63</v>
      </c>
      <c r="BB23" s="35">
        <f t="shared" si="17"/>
        <v>0</v>
      </c>
      <c r="BC23" s="35">
        <f t="shared" si="18"/>
        <v>0</v>
      </c>
      <c r="BD23" s="35">
        <f t="shared" si="19"/>
        <v>0</v>
      </c>
      <c r="BE23" s="35">
        <f t="shared" si="20"/>
        <v>123.63</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t="str">
        <f>'一期-A5-15套'!D29</f>
        <v xml:space="preserve">  3-47-1018 </v>
      </c>
      <c r="D24" s="2937" t="s">
        <v>3027</v>
      </c>
      <c r="E24" s="35">
        <f t="shared" si="7"/>
        <v>434.41</v>
      </c>
      <c r="F24" s="36"/>
      <c r="G24" s="37">
        <f t="shared" si="8"/>
        <v>149.13</v>
      </c>
      <c r="H24" s="38">
        <f t="shared" si="9"/>
        <v>149.13</v>
      </c>
      <c r="I24" s="2934"/>
      <c r="J24" s="39"/>
      <c r="K24" s="39"/>
      <c r="L24" s="39"/>
      <c r="M24" s="39">
        <f>'一期-A5-15套'!I29</f>
        <v>149.13</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t="str">
        <f t="shared" si="13"/>
        <v xml:space="preserve">  3-47-1018 </v>
      </c>
      <c r="AY24" s="42">
        <f t="shared" si="14"/>
        <v>434.41</v>
      </c>
      <c r="AZ24" s="35">
        <f t="shared" si="15"/>
        <v>149.13</v>
      </c>
      <c r="BA24" s="35">
        <f t="shared" si="16"/>
        <v>149.13</v>
      </c>
      <c r="BB24" s="35">
        <f t="shared" si="17"/>
        <v>0</v>
      </c>
      <c r="BC24" s="35">
        <f t="shared" si="18"/>
        <v>0</v>
      </c>
      <c r="BD24" s="35">
        <f t="shared" si="19"/>
        <v>149.13</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t="str">
        <f>'一期-A5-15套'!D30</f>
        <v>3-46-1018</v>
      </c>
      <c r="D25" s="2937" t="s">
        <v>3027</v>
      </c>
      <c r="E25" s="35">
        <f t="shared" si="7"/>
        <v>440.82</v>
      </c>
      <c r="F25" s="36"/>
      <c r="G25" s="37">
        <f t="shared" si="8"/>
        <v>151.33000000000001</v>
      </c>
      <c r="H25" s="38">
        <f t="shared" si="9"/>
        <v>151.33000000000001</v>
      </c>
      <c r="I25" s="2934">
        <f>'一期-A5-15套'!I30</f>
        <v>151.33000000000001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t="str">
        <f t="shared" si="13"/>
        <v>3-46-1018</v>
      </c>
      <c r="AY25" s="42">
        <f t="shared" si="14"/>
        <v>440.82</v>
      </c>
      <c r="AZ25" s="35">
        <f t="shared" si="15"/>
        <v>151.33000000000001</v>
      </c>
      <c r="BA25" s="35">
        <f t="shared" si="16"/>
        <v>151.33000000000001</v>
      </c>
      <c r="BB25" s="35">
        <f t="shared" si="17"/>
        <v>151.33000000000001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t="str">
        <f>'一期-A5-15套'!D31</f>
        <v>2-31-1018</v>
      </c>
      <c r="D26" s="2937" t="s">
        <v>3027</v>
      </c>
      <c r="E26" s="35">
        <f t="shared" si="7"/>
        <v>440.82</v>
      </c>
      <c r="F26" s="36"/>
      <c r="G26" s="37">
        <f t="shared" si="8"/>
        <v>151.33000000000001</v>
      </c>
      <c r="H26" s="38">
        <f t="shared" si="9"/>
        <v>151.33000000000001</v>
      </c>
      <c r="I26" s="2934">
        <f>'一期-A5-15套'!I31</f>
        <v>151.33000000000001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t="str">
        <f t="shared" si="13"/>
        <v>2-31-1018</v>
      </c>
      <c r="AY26" s="42">
        <f t="shared" si="14"/>
        <v>440.82</v>
      </c>
      <c r="AZ26" s="35">
        <f t="shared" si="15"/>
        <v>151.33000000000001</v>
      </c>
      <c r="BA26" s="35">
        <f t="shared" si="16"/>
        <v>151.33000000000001</v>
      </c>
      <c r="BB26" s="35">
        <f t="shared" si="17"/>
        <v>151.33000000000001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t="str">
        <f>'一期-A5-15套'!D32</f>
        <v>6-3-1018</v>
      </c>
      <c r="D27" s="2937" t="s">
        <v>3027</v>
      </c>
      <c r="E27" s="35">
        <f t="shared" si="7"/>
        <v>993.43</v>
      </c>
      <c r="F27" s="36"/>
      <c r="G27" s="37">
        <f t="shared" si="8"/>
        <v>341.04</v>
      </c>
      <c r="H27" s="38">
        <f t="shared" si="9"/>
        <v>341.04</v>
      </c>
      <c r="I27" s="2934">
        <f>'一期-A5-15套'!I32</f>
        <v>341.04</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t="str">
        <f t="shared" si="13"/>
        <v>6-3-1018</v>
      </c>
      <c r="AY27" s="42">
        <f t="shared" si="14"/>
        <v>993.43</v>
      </c>
      <c r="AZ27" s="35">
        <f t="shared" si="15"/>
        <v>341.04</v>
      </c>
      <c r="BA27" s="35">
        <f t="shared" si="16"/>
        <v>341.04</v>
      </c>
      <c r="BB27" s="35">
        <f t="shared" si="17"/>
        <v>341.04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7"/>
      <c r="E30" s="35">
        <f t="shared" si="7"/>
        <v>0</v>
      </c>
      <c r="F30" s="36"/>
      <c r="G30" s="37">
        <f t="shared" si="8"/>
        <v>0</v>
      </c>
      <c r="H30" s="38">
        <f t="shared" si="9"/>
        <v>0</v>
      </c>
      <c r="I30" s="293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7"/>
      <c r="E31" s="35">
        <f t="shared" si="7"/>
        <v>0</v>
      </c>
      <c r="F31" s="36"/>
      <c r="G31" s="37">
        <f t="shared" si="8"/>
        <v>0</v>
      </c>
      <c r="H31" s="38">
        <f t="shared" si="9"/>
        <v>0</v>
      </c>
      <c r="I31" s="293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7"/>
      <c r="E32" s="35">
        <f t="shared" si="7"/>
        <v>0</v>
      </c>
      <c r="F32" s="36"/>
      <c r="G32" s="37">
        <f t="shared" si="8"/>
        <v>0</v>
      </c>
      <c r="H32" s="38">
        <f t="shared" si="9"/>
        <v>0</v>
      </c>
      <c r="I32" s="293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5"/>
      <c r="D33" s="2937"/>
      <c r="E33" s="35">
        <f t="shared" si="7"/>
        <v>0</v>
      </c>
      <c r="F33" s="36"/>
      <c r="G33" s="37">
        <f t="shared" si="8"/>
        <v>0</v>
      </c>
      <c r="H33" s="38">
        <f t="shared" si="9"/>
        <v>0</v>
      </c>
      <c r="I33" s="293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7"/>
    <pageSetUpPr fitToPage="1"/>
  </sheetPr>
  <dimension ref="A1:IR80"/>
  <sheetViews>
    <sheetView topLeftCell="B1" zoomScaleSheetLayoutView="100" workbookViewId="0">
      <selection activeCell="E29" sqref="E29"/>
    </sheetView>
  </sheetViews>
  <sheetFormatPr defaultColWidth="9" defaultRowHeight="12" customHeight="1"/>
  <cols>
    <col min="1" max="1" width="5.625" style="2950" hidden="1" customWidth="1"/>
    <col min="2" max="2" width="5.625" style="2950" customWidth="1"/>
    <col min="3" max="3" width="10.375" style="2950" customWidth="1"/>
    <col min="4" max="4" width="12.5" style="2950" customWidth="1"/>
    <col min="5" max="5" width="29.125" style="2981" customWidth="1"/>
    <col min="6" max="6" width="29.5" style="2981" customWidth="1"/>
    <col min="7" max="7" width="6.75" style="2981" customWidth="1"/>
    <col min="8" max="8" width="7.25" style="2950" customWidth="1"/>
    <col min="9" max="9" width="7.75" style="2950" customWidth="1"/>
    <col min="10" max="10" width="9.25" style="2950" customWidth="1"/>
    <col min="11" max="252" width="9" style="2950" customWidth="1"/>
    <col min="253" max="256" width="9" style="2960"/>
    <col min="257" max="257" width="0" style="2960" hidden="1" customWidth="1"/>
    <col min="258" max="258" width="5.625" style="2960" customWidth="1"/>
    <col min="259" max="259" width="10.375" style="2960" customWidth="1"/>
    <col min="260" max="260" width="12.5" style="2960" customWidth="1"/>
    <col min="261" max="261" width="29.125" style="2960" customWidth="1"/>
    <col min="262" max="262" width="29.5" style="2960" customWidth="1"/>
    <col min="263" max="263" width="6.75" style="2960" customWidth="1"/>
    <col min="264" max="264" width="7.25" style="2960" customWidth="1"/>
    <col min="265" max="265" width="7.75" style="2960" customWidth="1"/>
    <col min="266" max="266" width="9.25" style="2960" customWidth="1"/>
    <col min="267" max="508" width="9" style="2960" customWidth="1"/>
    <col min="509" max="512" width="9" style="2960"/>
    <col min="513" max="513" width="0" style="2960" hidden="1" customWidth="1"/>
    <col min="514" max="514" width="5.625" style="2960" customWidth="1"/>
    <col min="515" max="515" width="10.375" style="2960" customWidth="1"/>
    <col min="516" max="516" width="12.5" style="2960" customWidth="1"/>
    <col min="517" max="517" width="29.125" style="2960" customWidth="1"/>
    <col min="518" max="518" width="29.5" style="2960" customWidth="1"/>
    <col min="519" max="519" width="6.75" style="2960" customWidth="1"/>
    <col min="520" max="520" width="7.25" style="2960" customWidth="1"/>
    <col min="521" max="521" width="7.75" style="2960" customWidth="1"/>
    <col min="522" max="522" width="9.25" style="2960" customWidth="1"/>
    <col min="523" max="764" width="9" style="2960" customWidth="1"/>
    <col min="765" max="768" width="9" style="2960"/>
    <col min="769" max="769" width="0" style="2960" hidden="1" customWidth="1"/>
    <col min="770" max="770" width="5.625" style="2960" customWidth="1"/>
    <col min="771" max="771" width="10.375" style="2960" customWidth="1"/>
    <col min="772" max="772" width="12.5" style="2960" customWidth="1"/>
    <col min="773" max="773" width="29.125" style="2960" customWidth="1"/>
    <col min="774" max="774" width="29.5" style="2960" customWidth="1"/>
    <col min="775" max="775" width="6.75" style="2960" customWidth="1"/>
    <col min="776" max="776" width="7.25" style="2960" customWidth="1"/>
    <col min="777" max="777" width="7.75" style="2960" customWidth="1"/>
    <col min="778" max="778" width="9.25" style="2960" customWidth="1"/>
    <col min="779" max="1020" width="9" style="2960" customWidth="1"/>
    <col min="1021" max="1024" width="9" style="2960"/>
    <col min="1025" max="1025" width="0" style="2960" hidden="1" customWidth="1"/>
    <col min="1026" max="1026" width="5.625" style="2960" customWidth="1"/>
    <col min="1027" max="1027" width="10.375" style="2960" customWidth="1"/>
    <col min="1028" max="1028" width="12.5" style="2960" customWidth="1"/>
    <col min="1029" max="1029" width="29.125" style="2960" customWidth="1"/>
    <col min="1030" max="1030" width="29.5" style="2960" customWidth="1"/>
    <col min="1031" max="1031" width="6.75" style="2960" customWidth="1"/>
    <col min="1032" max="1032" width="7.25" style="2960" customWidth="1"/>
    <col min="1033" max="1033" width="7.75" style="2960" customWidth="1"/>
    <col min="1034" max="1034" width="9.25" style="2960" customWidth="1"/>
    <col min="1035" max="1276" width="9" style="2960" customWidth="1"/>
    <col min="1277" max="1280" width="9" style="2960"/>
    <col min="1281" max="1281" width="0" style="2960" hidden="1" customWidth="1"/>
    <col min="1282" max="1282" width="5.625" style="2960" customWidth="1"/>
    <col min="1283" max="1283" width="10.375" style="2960" customWidth="1"/>
    <col min="1284" max="1284" width="12.5" style="2960" customWidth="1"/>
    <col min="1285" max="1285" width="29.125" style="2960" customWidth="1"/>
    <col min="1286" max="1286" width="29.5" style="2960" customWidth="1"/>
    <col min="1287" max="1287" width="6.75" style="2960" customWidth="1"/>
    <col min="1288" max="1288" width="7.25" style="2960" customWidth="1"/>
    <col min="1289" max="1289" width="7.75" style="2960" customWidth="1"/>
    <col min="1290" max="1290" width="9.25" style="2960" customWidth="1"/>
    <col min="1291" max="1532" width="9" style="2960" customWidth="1"/>
    <col min="1533" max="1536" width="9" style="2960"/>
    <col min="1537" max="1537" width="0" style="2960" hidden="1" customWidth="1"/>
    <col min="1538" max="1538" width="5.625" style="2960" customWidth="1"/>
    <col min="1539" max="1539" width="10.375" style="2960" customWidth="1"/>
    <col min="1540" max="1540" width="12.5" style="2960" customWidth="1"/>
    <col min="1541" max="1541" width="29.125" style="2960" customWidth="1"/>
    <col min="1542" max="1542" width="29.5" style="2960" customWidth="1"/>
    <col min="1543" max="1543" width="6.75" style="2960" customWidth="1"/>
    <col min="1544" max="1544" width="7.25" style="2960" customWidth="1"/>
    <col min="1545" max="1545" width="7.75" style="2960" customWidth="1"/>
    <col min="1546" max="1546" width="9.25" style="2960" customWidth="1"/>
    <col min="1547" max="1788" width="9" style="2960" customWidth="1"/>
    <col min="1789" max="1792" width="9" style="2960"/>
    <col min="1793" max="1793" width="0" style="2960" hidden="1" customWidth="1"/>
    <col min="1794" max="1794" width="5.625" style="2960" customWidth="1"/>
    <col min="1795" max="1795" width="10.375" style="2960" customWidth="1"/>
    <col min="1796" max="1796" width="12.5" style="2960" customWidth="1"/>
    <col min="1797" max="1797" width="29.125" style="2960" customWidth="1"/>
    <col min="1798" max="1798" width="29.5" style="2960" customWidth="1"/>
    <col min="1799" max="1799" width="6.75" style="2960" customWidth="1"/>
    <col min="1800" max="1800" width="7.25" style="2960" customWidth="1"/>
    <col min="1801" max="1801" width="7.75" style="2960" customWidth="1"/>
    <col min="1802" max="1802" width="9.25" style="2960" customWidth="1"/>
    <col min="1803" max="2044" width="9" style="2960" customWidth="1"/>
    <col min="2045" max="2048" width="9" style="2960"/>
    <col min="2049" max="2049" width="0" style="2960" hidden="1" customWidth="1"/>
    <col min="2050" max="2050" width="5.625" style="2960" customWidth="1"/>
    <col min="2051" max="2051" width="10.375" style="2960" customWidth="1"/>
    <col min="2052" max="2052" width="12.5" style="2960" customWidth="1"/>
    <col min="2053" max="2053" width="29.125" style="2960" customWidth="1"/>
    <col min="2054" max="2054" width="29.5" style="2960" customWidth="1"/>
    <col min="2055" max="2055" width="6.75" style="2960" customWidth="1"/>
    <col min="2056" max="2056" width="7.25" style="2960" customWidth="1"/>
    <col min="2057" max="2057" width="7.75" style="2960" customWidth="1"/>
    <col min="2058" max="2058" width="9.25" style="2960" customWidth="1"/>
    <col min="2059" max="2300" width="9" style="2960" customWidth="1"/>
    <col min="2301" max="2304" width="9" style="2960"/>
    <col min="2305" max="2305" width="0" style="2960" hidden="1" customWidth="1"/>
    <col min="2306" max="2306" width="5.625" style="2960" customWidth="1"/>
    <col min="2307" max="2307" width="10.375" style="2960" customWidth="1"/>
    <col min="2308" max="2308" width="12.5" style="2960" customWidth="1"/>
    <col min="2309" max="2309" width="29.125" style="2960" customWidth="1"/>
    <col min="2310" max="2310" width="29.5" style="2960" customWidth="1"/>
    <col min="2311" max="2311" width="6.75" style="2960" customWidth="1"/>
    <col min="2312" max="2312" width="7.25" style="2960" customWidth="1"/>
    <col min="2313" max="2313" width="7.75" style="2960" customWidth="1"/>
    <col min="2314" max="2314" width="9.25" style="2960" customWidth="1"/>
    <col min="2315" max="2556" width="9" style="2960" customWidth="1"/>
    <col min="2557" max="2560" width="9" style="2960"/>
    <col min="2561" max="2561" width="0" style="2960" hidden="1" customWidth="1"/>
    <col min="2562" max="2562" width="5.625" style="2960" customWidth="1"/>
    <col min="2563" max="2563" width="10.375" style="2960" customWidth="1"/>
    <col min="2564" max="2564" width="12.5" style="2960" customWidth="1"/>
    <col min="2565" max="2565" width="29.125" style="2960" customWidth="1"/>
    <col min="2566" max="2566" width="29.5" style="2960" customWidth="1"/>
    <col min="2567" max="2567" width="6.75" style="2960" customWidth="1"/>
    <col min="2568" max="2568" width="7.25" style="2960" customWidth="1"/>
    <col min="2569" max="2569" width="7.75" style="2960" customWidth="1"/>
    <col min="2570" max="2570" width="9.25" style="2960" customWidth="1"/>
    <col min="2571" max="2812" width="9" style="2960" customWidth="1"/>
    <col min="2813" max="2816" width="9" style="2960"/>
    <col min="2817" max="2817" width="0" style="2960" hidden="1" customWidth="1"/>
    <col min="2818" max="2818" width="5.625" style="2960" customWidth="1"/>
    <col min="2819" max="2819" width="10.375" style="2960" customWidth="1"/>
    <col min="2820" max="2820" width="12.5" style="2960" customWidth="1"/>
    <col min="2821" max="2821" width="29.125" style="2960" customWidth="1"/>
    <col min="2822" max="2822" width="29.5" style="2960" customWidth="1"/>
    <col min="2823" max="2823" width="6.75" style="2960" customWidth="1"/>
    <col min="2824" max="2824" width="7.25" style="2960" customWidth="1"/>
    <col min="2825" max="2825" width="7.75" style="2960" customWidth="1"/>
    <col min="2826" max="2826" width="9.25" style="2960" customWidth="1"/>
    <col min="2827" max="3068" width="9" style="2960" customWidth="1"/>
    <col min="3069" max="3072" width="9" style="2960"/>
    <col min="3073" max="3073" width="0" style="2960" hidden="1" customWidth="1"/>
    <col min="3074" max="3074" width="5.625" style="2960" customWidth="1"/>
    <col min="3075" max="3075" width="10.375" style="2960" customWidth="1"/>
    <col min="3076" max="3076" width="12.5" style="2960" customWidth="1"/>
    <col min="3077" max="3077" width="29.125" style="2960" customWidth="1"/>
    <col min="3078" max="3078" width="29.5" style="2960" customWidth="1"/>
    <col min="3079" max="3079" width="6.75" style="2960" customWidth="1"/>
    <col min="3080" max="3080" width="7.25" style="2960" customWidth="1"/>
    <col min="3081" max="3081" width="7.75" style="2960" customWidth="1"/>
    <col min="3082" max="3082" width="9.25" style="2960" customWidth="1"/>
    <col min="3083" max="3324" width="9" style="2960" customWidth="1"/>
    <col min="3325" max="3328" width="9" style="2960"/>
    <col min="3329" max="3329" width="0" style="2960" hidden="1" customWidth="1"/>
    <col min="3330" max="3330" width="5.625" style="2960" customWidth="1"/>
    <col min="3331" max="3331" width="10.375" style="2960" customWidth="1"/>
    <col min="3332" max="3332" width="12.5" style="2960" customWidth="1"/>
    <col min="3333" max="3333" width="29.125" style="2960" customWidth="1"/>
    <col min="3334" max="3334" width="29.5" style="2960" customWidth="1"/>
    <col min="3335" max="3335" width="6.75" style="2960" customWidth="1"/>
    <col min="3336" max="3336" width="7.25" style="2960" customWidth="1"/>
    <col min="3337" max="3337" width="7.75" style="2960" customWidth="1"/>
    <col min="3338" max="3338" width="9.25" style="2960" customWidth="1"/>
    <col min="3339" max="3580" width="9" style="2960" customWidth="1"/>
    <col min="3581" max="3584" width="9" style="2960"/>
    <col min="3585" max="3585" width="0" style="2960" hidden="1" customWidth="1"/>
    <col min="3586" max="3586" width="5.625" style="2960" customWidth="1"/>
    <col min="3587" max="3587" width="10.375" style="2960" customWidth="1"/>
    <col min="3588" max="3588" width="12.5" style="2960" customWidth="1"/>
    <col min="3589" max="3589" width="29.125" style="2960" customWidth="1"/>
    <col min="3590" max="3590" width="29.5" style="2960" customWidth="1"/>
    <col min="3591" max="3591" width="6.75" style="2960" customWidth="1"/>
    <col min="3592" max="3592" width="7.25" style="2960" customWidth="1"/>
    <col min="3593" max="3593" width="7.75" style="2960" customWidth="1"/>
    <col min="3594" max="3594" width="9.25" style="2960" customWidth="1"/>
    <col min="3595" max="3836" width="9" style="2960" customWidth="1"/>
    <col min="3837" max="3840" width="9" style="2960"/>
    <col min="3841" max="3841" width="0" style="2960" hidden="1" customWidth="1"/>
    <col min="3842" max="3842" width="5.625" style="2960" customWidth="1"/>
    <col min="3843" max="3843" width="10.375" style="2960" customWidth="1"/>
    <col min="3844" max="3844" width="12.5" style="2960" customWidth="1"/>
    <col min="3845" max="3845" width="29.125" style="2960" customWidth="1"/>
    <col min="3846" max="3846" width="29.5" style="2960" customWidth="1"/>
    <col min="3847" max="3847" width="6.75" style="2960" customWidth="1"/>
    <col min="3848" max="3848" width="7.25" style="2960" customWidth="1"/>
    <col min="3849" max="3849" width="7.75" style="2960" customWidth="1"/>
    <col min="3850" max="3850" width="9.25" style="2960" customWidth="1"/>
    <col min="3851" max="4092" width="9" style="2960" customWidth="1"/>
    <col min="4093" max="4096" width="9" style="2960"/>
    <col min="4097" max="4097" width="0" style="2960" hidden="1" customWidth="1"/>
    <col min="4098" max="4098" width="5.625" style="2960" customWidth="1"/>
    <col min="4099" max="4099" width="10.375" style="2960" customWidth="1"/>
    <col min="4100" max="4100" width="12.5" style="2960" customWidth="1"/>
    <col min="4101" max="4101" width="29.125" style="2960" customWidth="1"/>
    <col min="4102" max="4102" width="29.5" style="2960" customWidth="1"/>
    <col min="4103" max="4103" width="6.75" style="2960" customWidth="1"/>
    <col min="4104" max="4104" width="7.25" style="2960" customWidth="1"/>
    <col min="4105" max="4105" width="7.75" style="2960" customWidth="1"/>
    <col min="4106" max="4106" width="9.25" style="2960" customWidth="1"/>
    <col min="4107" max="4348" width="9" style="2960" customWidth="1"/>
    <col min="4349" max="4352" width="9" style="2960"/>
    <col min="4353" max="4353" width="0" style="2960" hidden="1" customWidth="1"/>
    <col min="4354" max="4354" width="5.625" style="2960" customWidth="1"/>
    <col min="4355" max="4355" width="10.375" style="2960" customWidth="1"/>
    <col min="4356" max="4356" width="12.5" style="2960" customWidth="1"/>
    <col min="4357" max="4357" width="29.125" style="2960" customWidth="1"/>
    <col min="4358" max="4358" width="29.5" style="2960" customWidth="1"/>
    <col min="4359" max="4359" width="6.75" style="2960" customWidth="1"/>
    <col min="4360" max="4360" width="7.25" style="2960" customWidth="1"/>
    <col min="4361" max="4361" width="7.75" style="2960" customWidth="1"/>
    <col min="4362" max="4362" width="9.25" style="2960" customWidth="1"/>
    <col min="4363" max="4604" width="9" style="2960" customWidth="1"/>
    <col min="4605" max="4608" width="9" style="2960"/>
    <col min="4609" max="4609" width="0" style="2960" hidden="1" customWidth="1"/>
    <col min="4610" max="4610" width="5.625" style="2960" customWidth="1"/>
    <col min="4611" max="4611" width="10.375" style="2960" customWidth="1"/>
    <col min="4612" max="4612" width="12.5" style="2960" customWidth="1"/>
    <col min="4613" max="4613" width="29.125" style="2960" customWidth="1"/>
    <col min="4614" max="4614" width="29.5" style="2960" customWidth="1"/>
    <col min="4615" max="4615" width="6.75" style="2960" customWidth="1"/>
    <col min="4616" max="4616" width="7.25" style="2960" customWidth="1"/>
    <col min="4617" max="4617" width="7.75" style="2960" customWidth="1"/>
    <col min="4618" max="4618" width="9.25" style="2960" customWidth="1"/>
    <col min="4619" max="4860" width="9" style="2960" customWidth="1"/>
    <col min="4861" max="4864" width="9" style="2960"/>
    <col min="4865" max="4865" width="0" style="2960" hidden="1" customWidth="1"/>
    <col min="4866" max="4866" width="5.625" style="2960" customWidth="1"/>
    <col min="4867" max="4867" width="10.375" style="2960" customWidth="1"/>
    <col min="4868" max="4868" width="12.5" style="2960" customWidth="1"/>
    <col min="4869" max="4869" width="29.125" style="2960" customWidth="1"/>
    <col min="4870" max="4870" width="29.5" style="2960" customWidth="1"/>
    <col min="4871" max="4871" width="6.75" style="2960" customWidth="1"/>
    <col min="4872" max="4872" width="7.25" style="2960" customWidth="1"/>
    <col min="4873" max="4873" width="7.75" style="2960" customWidth="1"/>
    <col min="4874" max="4874" width="9.25" style="2960" customWidth="1"/>
    <col min="4875" max="5116" width="9" style="2960" customWidth="1"/>
    <col min="5117" max="5120" width="9" style="2960"/>
    <col min="5121" max="5121" width="0" style="2960" hidden="1" customWidth="1"/>
    <col min="5122" max="5122" width="5.625" style="2960" customWidth="1"/>
    <col min="5123" max="5123" width="10.375" style="2960" customWidth="1"/>
    <col min="5124" max="5124" width="12.5" style="2960" customWidth="1"/>
    <col min="5125" max="5125" width="29.125" style="2960" customWidth="1"/>
    <col min="5126" max="5126" width="29.5" style="2960" customWidth="1"/>
    <col min="5127" max="5127" width="6.75" style="2960" customWidth="1"/>
    <col min="5128" max="5128" width="7.25" style="2960" customWidth="1"/>
    <col min="5129" max="5129" width="7.75" style="2960" customWidth="1"/>
    <col min="5130" max="5130" width="9.25" style="2960" customWidth="1"/>
    <col min="5131" max="5372" width="9" style="2960" customWidth="1"/>
    <col min="5373" max="5376" width="9" style="2960"/>
    <col min="5377" max="5377" width="0" style="2960" hidden="1" customWidth="1"/>
    <col min="5378" max="5378" width="5.625" style="2960" customWidth="1"/>
    <col min="5379" max="5379" width="10.375" style="2960" customWidth="1"/>
    <col min="5380" max="5380" width="12.5" style="2960" customWidth="1"/>
    <col min="5381" max="5381" width="29.125" style="2960" customWidth="1"/>
    <col min="5382" max="5382" width="29.5" style="2960" customWidth="1"/>
    <col min="5383" max="5383" width="6.75" style="2960" customWidth="1"/>
    <col min="5384" max="5384" width="7.25" style="2960" customWidth="1"/>
    <col min="5385" max="5385" width="7.75" style="2960" customWidth="1"/>
    <col min="5386" max="5386" width="9.25" style="2960" customWidth="1"/>
    <col min="5387" max="5628" width="9" style="2960" customWidth="1"/>
    <col min="5629" max="5632" width="9" style="2960"/>
    <col min="5633" max="5633" width="0" style="2960" hidden="1" customWidth="1"/>
    <col min="5634" max="5634" width="5.625" style="2960" customWidth="1"/>
    <col min="5635" max="5635" width="10.375" style="2960" customWidth="1"/>
    <col min="5636" max="5636" width="12.5" style="2960" customWidth="1"/>
    <col min="5637" max="5637" width="29.125" style="2960" customWidth="1"/>
    <col min="5638" max="5638" width="29.5" style="2960" customWidth="1"/>
    <col min="5639" max="5639" width="6.75" style="2960" customWidth="1"/>
    <col min="5640" max="5640" width="7.25" style="2960" customWidth="1"/>
    <col min="5641" max="5641" width="7.75" style="2960" customWidth="1"/>
    <col min="5642" max="5642" width="9.25" style="2960" customWidth="1"/>
    <col min="5643" max="5884" width="9" style="2960" customWidth="1"/>
    <col min="5885" max="5888" width="9" style="2960"/>
    <col min="5889" max="5889" width="0" style="2960" hidden="1" customWidth="1"/>
    <col min="5890" max="5890" width="5.625" style="2960" customWidth="1"/>
    <col min="5891" max="5891" width="10.375" style="2960" customWidth="1"/>
    <col min="5892" max="5892" width="12.5" style="2960" customWidth="1"/>
    <col min="5893" max="5893" width="29.125" style="2960" customWidth="1"/>
    <col min="5894" max="5894" width="29.5" style="2960" customWidth="1"/>
    <col min="5895" max="5895" width="6.75" style="2960" customWidth="1"/>
    <col min="5896" max="5896" width="7.25" style="2960" customWidth="1"/>
    <col min="5897" max="5897" width="7.75" style="2960" customWidth="1"/>
    <col min="5898" max="5898" width="9.25" style="2960" customWidth="1"/>
    <col min="5899" max="6140" width="9" style="2960" customWidth="1"/>
    <col min="6141" max="6144" width="9" style="2960"/>
    <col min="6145" max="6145" width="0" style="2960" hidden="1" customWidth="1"/>
    <col min="6146" max="6146" width="5.625" style="2960" customWidth="1"/>
    <col min="6147" max="6147" width="10.375" style="2960" customWidth="1"/>
    <col min="6148" max="6148" width="12.5" style="2960" customWidth="1"/>
    <col min="6149" max="6149" width="29.125" style="2960" customWidth="1"/>
    <col min="6150" max="6150" width="29.5" style="2960" customWidth="1"/>
    <col min="6151" max="6151" width="6.75" style="2960" customWidth="1"/>
    <col min="6152" max="6152" width="7.25" style="2960" customWidth="1"/>
    <col min="6153" max="6153" width="7.75" style="2960" customWidth="1"/>
    <col min="6154" max="6154" width="9.25" style="2960" customWidth="1"/>
    <col min="6155" max="6396" width="9" style="2960" customWidth="1"/>
    <col min="6397" max="6400" width="9" style="2960"/>
    <col min="6401" max="6401" width="0" style="2960" hidden="1" customWidth="1"/>
    <col min="6402" max="6402" width="5.625" style="2960" customWidth="1"/>
    <col min="6403" max="6403" width="10.375" style="2960" customWidth="1"/>
    <col min="6404" max="6404" width="12.5" style="2960" customWidth="1"/>
    <col min="6405" max="6405" width="29.125" style="2960" customWidth="1"/>
    <col min="6406" max="6406" width="29.5" style="2960" customWidth="1"/>
    <col min="6407" max="6407" width="6.75" style="2960" customWidth="1"/>
    <col min="6408" max="6408" width="7.25" style="2960" customWidth="1"/>
    <col min="6409" max="6409" width="7.75" style="2960" customWidth="1"/>
    <col min="6410" max="6410" width="9.25" style="2960" customWidth="1"/>
    <col min="6411" max="6652" width="9" style="2960" customWidth="1"/>
    <col min="6653" max="6656" width="9" style="2960"/>
    <col min="6657" max="6657" width="0" style="2960" hidden="1" customWidth="1"/>
    <col min="6658" max="6658" width="5.625" style="2960" customWidth="1"/>
    <col min="6659" max="6659" width="10.375" style="2960" customWidth="1"/>
    <col min="6660" max="6660" width="12.5" style="2960" customWidth="1"/>
    <col min="6661" max="6661" width="29.125" style="2960" customWidth="1"/>
    <col min="6662" max="6662" width="29.5" style="2960" customWidth="1"/>
    <col min="6663" max="6663" width="6.75" style="2960" customWidth="1"/>
    <col min="6664" max="6664" width="7.25" style="2960" customWidth="1"/>
    <col min="6665" max="6665" width="7.75" style="2960" customWidth="1"/>
    <col min="6666" max="6666" width="9.25" style="2960" customWidth="1"/>
    <col min="6667" max="6908" width="9" style="2960" customWidth="1"/>
    <col min="6909" max="6912" width="9" style="2960"/>
    <col min="6913" max="6913" width="0" style="2960" hidden="1" customWidth="1"/>
    <col min="6914" max="6914" width="5.625" style="2960" customWidth="1"/>
    <col min="6915" max="6915" width="10.375" style="2960" customWidth="1"/>
    <col min="6916" max="6916" width="12.5" style="2960" customWidth="1"/>
    <col min="6917" max="6917" width="29.125" style="2960" customWidth="1"/>
    <col min="6918" max="6918" width="29.5" style="2960" customWidth="1"/>
    <col min="6919" max="6919" width="6.75" style="2960" customWidth="1"/>
    <col min="6920" max="6920" width="7.25" style="2960" customWidth="1"/>
    <col min="6921" max="6921" width="7.75" style="2960" customWidth="1"/>
    <col min="6922" max="6922" width="9.25" style="2960" customWidth="1"/>
    <col min="6923" max="7164" width="9" style="2960" customWidth="1"/>
    <col min="7165" max="7168" width="9" style="2960"/>
    <col min="7169" max="7169" width="0" style="2960" hidden="1" customWidth="1"/>
    <col min="7170" max="7170" width="5.625" style="2960" customWidth="1"/>
    <col min="7171" max="7171" width="10.375" style="2960" customWidth="1"/>
    <col min="7172" max="7172" width="12.5" style="2960" customWidth="1"/>
    <col min="7173" max="7173" width="29.125" style="2960" customWidth="1"/>
    <col min="7174" max="7174" width="29.5" style="2960" customWidth="1"/>
    <col min="7175" max="7175" width="6.75" style="2960" customWidth="1"/>
    <col min="7176" max="7176" width="7.25" style="2960" customWidth="1"/>
    <col min="7177" max="7177" width="7.75" style="2960" customWidth="1"/>
    <col min="7178" max="7178" width="9.25" style="2960" customWidth="1"/>
    <col min="7179" max="7420" width="9" style="2960" customWidth="1"/>
    <col min="7421" max="7424" width="9" style="2960"/>
    <col min="7425" max="7425" width="0" style="2960" hidden="1" customWidth="1"/>
    <col min="7426" max="7426" width="5.625" style="2960" customWidth="1"/>
    <col min="7427" max="7427" width="10.375" style="2960" customWidth="1"/>
    <col min="7428" max="7428" width="12.5" style="2960" customWidth="1"/>
    <col min="7429" max="7429" width="29.125" style="2960" customWidth="1"/>
    <col min="7430" max="7430" width="29.5" style="2960" customWidth="1"/>
    <col min="7431" max="7431" width="6.75" style="2960" customWidth="1"/>
    <col min="7432" max="7432" width="7.25" style="2960" customWidth="1"/>
    <col min="7433" max="7433" width="7.75" style="2960" customWidth="1"/>
    <col min="7434" max="7434" width="9.25" style="2960" customWidth="1"/>
    <col min="7435" max="7676" width="9" style="2960" customWidth="1"/>
    <col min="7677" max="7680" width="9" style="2960"/>
    <col min="7681" max="7681" width="0" style="2960" hidden="1" customWidth="1"/>
    <col min="7682" max="7682" width="5.625" style="2960" customWidth="1"/>
    <col min="7683" max="7683" width="10.375" style="2960" customWidth="1"/>
    <col min="7684" max="7684" width="12.5" style="2960" customWidth="1"/>
    <col min="7685" max="7685" width="29.125" style="2960" customWidth="1"/>
    <col min="7686" max="7686" width="29.5" style="2960" customWidth="1"/>
    <col min="7687" max="7687" width="6.75" style="2960" customWidth="1"/>
    <col min="7688" max="7688" width="7.25" style="2960" customWidth="1"/>
    <col min="7689" max="7689" width="7.75" style="2960" customWidth="1"/>
    <col min="7690" max="7690" width="9.25" style="2960" customWidth="1"/>
    <col min="7691" max="7932" width="9" style="2960" customWidth="1"/>
    <col min="7933" max="7936" width="9" style="2960"/>
    <col min="7937" max="7937" width="0" style="2960" hidden="1" customWidth="1"/>
    <col min="7938" max="7938" width="5.625" style="2960" customWidth="1"/>
    <col min="7939" max="7939" width="10.375" style="2960" customWidth="1"/>
    <col min="7940" max="7940" width="12.5" style="2960" customWidth="1"/>
    <col min="7941" max="7941" width="29.125" style="2960" customWidth="1"/>
    <col min="7942" max="7942" width="29.5" style="2960" customWidth="1"/>
    <col min="7943" max="7943" width="6.75" style="2960" customWidth="1"/>
    <col min="7944" max="7944" width="7.25" style="2960" customWidth="1"/>
    <col min="7945" max="7945" width="7.75" style="2960" customWidth="1"/>
    <col min="7946" max="7946" width="9.25" style="2960" customWidth="1"/>
    <col min="7947" max="8188" width="9" style="2960" customWidth="1"/>
    <col min="8189" max="8192" width="9" style="2960"/>
    <col min="8193" max="8193" width="0" style="2960" hidden="1" customWidth="1"/>
    <col min="8194" max="8194" width="5.625" style="2960" customWidth="1"/>
    <col min="8195" max="8195" width="10.375" style="2960" customWidth="1"/>
    <col min="8196" max="8196" width="12.5" style="2960" customWidth="1"/>
    <col min="8197" max="8197" width="29.125" style="2960" customWidth="1"/>
    <col min="8198" max="8198" width="29.5" style="2960" customWidth="1"/>
    <col min="8199" max="8199" width="6.75" style="2960" customWidth="1"/>
    <col min="8200" max="8200" width="7.25" style="2960" customWidth="1"/>
    <col min="8201" max="8201" width="7.75" style="2960" customWidth="1"/>
    <col min="8202" max="8202" width="9.25" style="2960" customWidth="1"/>
    <col min="8203" max="8444" width="9" style="2960" customWidth="1"/>
    <col min="8445" max="8448" width="9" style="2960"/>
    <col min="8449" max="8449" width="0" style="2960" hidden="1" customWidth="1"/>
    <col min="8450" max="8450" width="5.625" style="2960" customWidth="1"/>
    <col min="8451" max="8451" width="10.375" style="2960" customWidth="1"/>
    <col min="8452" max="8452" width="12.5" style="2960" customWidth="1"/>
    <col min="8453" max="8453" width="29.125" style="2960" customWidth="1"/>
    <col min="8454" max="8454" width="29.5" style="2960" customWidth="1"/>
    <col min="8455" max="8455" width="6.75" style="2960" customWidth="1"/>
    <col min="8456" max="8456" width="7.25" style="2960" customWidth="1"/>
    <col min="8457" max="8457" width="7.75" style="2960" customWidth="1"/>
    <col min="8458" max="8458" width="9.25" style="2960" customWidth="1"/>
    <col min="8459" max="8700" width="9" style="2960" customWidth="1"/>
    <col min="8701" max="8704" width="9" style="2960"/>
    <col min="8705" max="8705" width="0" style="2960" hidden="1" customWidth="1"/>
    <col min="8706" max="8706" width="5.625" style="2960" customWidth="1"/>
    <col min="8707" max="8707" width="10.375" style="2960" customWidth="1"/>
    <col min="8708" max="8708" width="12.5" style="2960" customWidth="1"/>
    <col min="8709" max="8709" width="29.125" style="2960" customWidth="1"/>
    <col min="8710" max="8710" width="29.5" style="2960" customWidth="1"/>
    <col min="8711" max="8711" width="6.75" style="2960" customWidth="1"/>
    <col min="8712" max="8712" width="7.25" style="2960" customWidth="1"/>
    <col min="8713" max="8713" width="7.75" style="2960" customWidth="1"/>
    <col min="8714" max="8714" width="9.25" style="2960" customWidth="1"/>
    <col min="8715" max="8956" width="9" style="2960" customWidth="1"/>
    <col min="8957" max="8960" width="9" style="2960"/>
    <col min="8961" max="8961" width="0" style="2960" hidden="1" customWidth="1"/>
    <col min="8962" max="8962" width="5.625" style="2960" customWidth="1"/>
    <col min="8963" max="8963" width="10.375" style="2960" customWidth="1"/>
    <col min="8964" max="8964" width="12.5" style="2960" customWidth="1"/>
    <col min="8965" max="8965" width="29.125" style="2960" customWidth="1"/>
    <col min="8966" max="8966" width="29.5" style="2960" customWidth="1"/>
    <col min="8967" max="8967" width="6.75" style="2960" customWidth="1"/>
    <col min="8968" max="8968" width="7.25" style="2960" customWidth="1"/>
    <col min="8969" max="8969" width="7.75" style="2960" customWidth="1"/>
    <col min="8970" max="8970" width="9.25" style="2960" customWidth="1"/>
    <col min="8971" max="9212" width="9" style="2960" customWidth="1"/>
    <col min="9213" max="9216" width="9" style="2960"/>
    <col min="9217" max="9217" width="0" style="2960" hidden="1" customWidth="1"/>
    <col min="9218" max="9218" width="5.625" style="2960" customWidth="1"/>
    <col min="9219" max="9219" width="10.375" style="2960" customWidth="1"/>
    <col min="9220" max="9220" width="12.5" style="2960" customWidth="1"/>
    <col min="9221" max="9221" width="29.125" style="2960" customWidth="1"/>
    <col min="9222" max="9222" width="29.5" style="2960" customWidth="1"/>
    <col min="9223" max="9223" width="6.75" style="2960" customWidth="1"/>
    <col min="9224" max="9224" width="7.25" style="2960" customWidth="1"/>
    <col min="9225" max="9225" width="7.75" style="2960" customWidth="1"/>
    <col min="9226" max="9226" width="9.25" style="2960" customWidth="1"/>
    <col min="9227" max="9468" width="9" style="2960" customWidth="1"/>
    <col min="9469" max="9472" width="9" style="2960"/>
    <col min="9473" max="9473" width="0" style="2960" hidden="1" customWidth="1"/>
    <col min="9474" max="9474" width="5.625" style="2960" customWidth="1"/>
    <col min="9475" max="9475" width="10.375" style="2960" customWidth="1"/>
    <col min="9476" max="9476" width="12.5" style="2960" customWidth="1"/>
    <col min="9477" max="9477" width="29.125" style="2960" customWidth="1"/>
    <col min="9478" max="9478" width="29.5" style="2960" customWidth="1"/>
    <col min="9479" max="9479" width="6.75" style="2960" customWidth="1"/>
    <col min="9480" max="9480" width="7.25" style="2960" customWidth="1"/>
    <col min="9481" max="9481" width="7.75" style="2960" customWidth="1"/>
    <col min="9482" max="9482" width="9.25" style="2960" customWidth="1"/>
    <col min="9483" max="9724" width="9" style="2960" customWidth="1"/>
    <col min="9725" max="9728" width="9" style="2960"/>
    <col min="9729" max="9729" width="0" style="2960" hidden="1" customWidth="1"/>
    <col min="9730" max="9730" width="5.625" style="2960" customWidth="1"/>
    <col min="9731" max="9731" width="10.375" style="2960" customWidth="1"/>
    <col min="9732" max="9732" width="12.5" style="2960" customWidth="1"/>
    <col min="9733" max="9733" width="29.125" style="2960" customWidth="1"/>
    <col min="9734" max="9734" width="29.5" style="2960" customWidth="1"/>
    <col min="9735" max="9735" width="6.75" style="2960" customWidth="1"/>
    <col min="9736" max="9736" width="7.25" style="2960" customWidth="1"/>
    <col min="9737" max="9737" width="7.75" style="2960" customWidth="1"/>
    <col min="9738" max="9738" width="9.25" style="2960" customWidth="1"/>
    <col min="9739" max="9980" width="9" style="2960" customWidth="1"/>
    <col min="9981" max="9984" width="9" style="2960"/>
    <col min="9985" max="9985" width="0" style="2960" hidden="1" customWidth="1"/>
    <col min="9986" max="9986" width="5.625" style="2960" customWidth="1"/>
    <col min="9987" max="9987" width="10.375" style="2960" customWidth="1"/>
    <col min="9988" max="9988" width="12.5" style="2960" customWidth="1"/>
    <col min="9989" max="9989" width="29.125" style="2960" customWidth="1"/>
    <col min="9990" max="9990" width="29.5" style="2960" customWidth="1"/>
    <col min="9991" max="9991" width="6.75" style="2960" customWidth="1"/>
    <col min="9992" max="9992" width="7.25" style="2960" customWidth="1"/>
    <col min="9993" max="9993" width="7.75" style="2960" customWidth="1"/>
    <col min="9994" max="9994" width="9.25" style="2960" customWidth="1"/>
    <col min="9995" max="10236" width="9" style="2960" customWidth="1"/>
    <col min="10237" max="10240" width="9" style="2960"/>
    <col min="10241" max="10241" width="0" style="2960" hidden="1" customWidth="1"/>
    <col min="10242" max="10242" width="5.625" style="2960" customWidth="1"/>
    <col min="10243" max="10243" width="10.375" style="2960" customWidth="1"/>
    <col min="10244" max="10244" width="12.5" style="2960" customWidth="1"/>
    <col min="10245" max="10245" width="29.125" style="2960" customWidth="1"/>
    <col min="10246" max="10246" width="29.5" style="2960" customWidth="1"/>
    <col min="10247" max="10247" width="6.75" style="2960" customWidth="1"/>
    <col min="10248" max="10248" width="7.25" style="2960" customWidth="1"/>
    <col min="10249" max="10249" width="7.75" style="2960" customWidth="1"/>
    <col min="10250" max="10250" width="9.25" style="2960" customWidth="1"/>
    <col min="10251" max="10492" width="9" style="2960" customWidth="1"/>
    <col min="10493" max="10496" width="9" style="2960"/>
    <col min="10497" max="10497" width="0" style="2960" hidden="1" customWidth="1"/>
    <col min="10498" max="10498" width="5.625" style="2960" customWidth="1"/>
    <col min="10499" max="10499" width="10.375" style="2960" customWidth="1"/>
    <col min="10500" max="10500" width="12.5" style="2960" customWidth="1"/>
    <col min="10501" max="10501" width="29.125" style="2960" customWidth="1"/>
    <col min="10502" max="10502" width="29.5" style="2960" customWidth="1"/>
    <col min="10503" max="10503" width="6.75" style="2960" customWidth="1"/>
    <col min="10504" max="10504" width="7.25" style="2960" customWidth="1"/>
    <col min="10505" max="10505" width="7.75" style="2960" customWidth="1"/>
    <col min="10506" max="10506" width="9.25" style="2960" customWidth="1"/>
    <col min="10507" max="10748" width="9" style="2960" customWidth="1"/>
    <col min="10749" max="10752" width="9" style="2960"/>
    <col min="10753" max="10753" width="0" style="2960" hidden="1" customWidth="1"/>
    <col min="10754" max="10754" width="5.625" style="2960" customWidth="1"/>
    <col min="10755" max="10755" width="10.375" style="2960" customWidth="1"/>
    <col min="10756" max="10756" width="12.5" style="2960" customWidth="1"/>
    <col min="10757" max="10757" width="29.125" style="2960" customWidth="1"/>
    <col min="10758" max="10758" width="29.5" style="2960" customWidth="1"/>
    <col min="10759" max="10759" width="6.75" style="2960" customWidth="1"/>
    <col min="10760" max="10760" width="7.25" style="2960" customWidth="1"/>
    <col min="10761" max="10761" width="7.75" style="2960" customWidth="1"/>
    <col min="10762" max="10762" width="9.25" style="2960" customWidth="1"/>
    <col min="10763" max="11004" width="9" style="2960" customWidth="1"/>
    <col min="11005" max="11008" width="9" style="2960"/>
    <col min="11009" max="11009" width="0" style="2960" hidden="1" customWidth="1"/>
    <col min="11010" max="11010" width="5.625" style="2960" customWidth="1"/>
    <col min="11011" max="11011" width="10.375" style="2960" customWidth="1"/>
    <col min="11012" max="11012" width="12.5" style="2960" customWidth="1"/>
    <col min="11013" max="11013" width="29.125" style="2960" customWidth="1"/>
    <col min="11014" max="11014" width="29.5" style="2960" customWidth="1"/>
    <col min="11015" max="11015" width="6.75" style="2960" customWidth="1"/>
    <col min="11016" max="11016" width="7.25" style="2960" customWidth="1"/>
    <col min="11017" max="11017" width="7.75" style="2960" customWidth="1"/>
    <col min="11018" max="11018" width="9.25" style="2960" customWidth="1"/>
    <col min="11019" max="11260" width="9" style="2960" customWidth="1"/>
    <col min="11261" max="11264" width="9" style="2960"/>
    <col min="11265" max="11265" width="0" style="2960" hidden="1" customWidth="1"/>
    <col min="11266" max="11266" width="5.625" style="2960" customWidth="1"/>
    <col min="11267" max="11267" width="10.375" style="2960" customWidth="1"/>
    <col min="11268" max="11268" width="12.5" style="2960" customWidth="1"/>
    <col min="11269" max="11269" width="29.125" style="2960" customWidth="1"/>
    <col min="11270" max="11270" width="29.5" style="2960" customWidth="1"/>
    <col min="11271" max="11271" width="6.75" style="2960" customWidth="1"/>
    <col min="11272" max="11272" width="7.25" style="2960" customWidth="1"/>
    <col min="11273" max="11273" width="7.75" style="2960" customWidth="1"/>
    <col min="11274" max="11274" width="9.25" style="2960" customWidth="1"/>
    <col min="11275" max="11516" width="9" style="2960" customWidth="1"/>
    <col min="11517" max="11520" width="9" style="2960"/>
    <col min="11521" max="11521" width="0" style="2960" hidden="1" customWidth="1"/>
    <col min="11522" max="11522" width="5.625" style="2960" customWidth="1"/>
    <col min="11523" max="11523" width="10.375" style="2960" customWidth="1"/>
    <col min="11524" max="11524" width="12.5" style="2960" customWidth="1"/>
    <col min="11525" max="11525" width="29.125" style="2960" customWidth="1"/>
    <col min="11526" max="11526" width="29.5" style="2960" customWidth="1"/>
    <col min="11527" max="11527" width="6.75" style="2960" customWidth="1"/>
    <col min="11528" max="11528" width="7.25" style="2960" customWidth="1"/>
    <col min="11529" max="11529" width="7.75" style="2960" customWidth="1"/>
    <col min="11530" max="11530" width="9.25" style="2960" customWidth="1"/>
    <col min="11531" max="11772" width="9" style="2960" customWidth="1"/>
    <col min="11773" max="11776" width="9" style="2960"/>
    <col min="11777" max="11777" width="0" style="2960" hidden="1" customWidth="1"/>
    <col min="11778" max="11778" width="5.625" style="2960" customWidth="1"/>
    <col min="11779" max="11779" width="10.375" style="2960" customWidth="1"/>
    <col min="11780" max="11780" width="12.5" style="2960" customWidth="1"/>
    <col min="11781" max="11781" width="29.125" style="2960" customWidth="1"/>
    <col min="11782" max="11782" width="29.5" style="2960" customWidth="1"/>
    <col min="11783" max="11783" width="6.75" style="2960" customWidth="1"/>
    <col min="11784" max="11784" width="7.25" style="2960" customWidth="1"/>
    <col min="11785" max="11785" width="7.75" style="2960" customWidth="1"/>
    <col min="11786" max="11786" width="9.25" style="2960" customWidth="1"/>
    <col min="11787" max="12028" width="9" style="2960" customWidth="1"/>
    <col min="12029" max="12032" width="9" style="2960"/>
    <col min="12033" max="12033" width="0" style="2960" hidden="1" customWidth="1"/>
    <col min="12034" max="12034" width="5.625" style="2960" customWidth="1"/>
    <col min="12035" max="12035" width="10.375" style="2960" customWidth="1"/>
    <col min="12036" max="12036" width="12.5" style="2960" customWidth="1"/>
    <col min="12037" max="12037" width="29.125" style="2960" customWidth="1"/>
    <col min="12038" max="12038" width="29.5" style="2960" customWidth="1"/>
    <col min="12039" max="12039" width="6.75" style="2960" customWidth="1"/>
    <col min="12040" max="12040" width="7.25" style="2960" customWidth="1"/>
    <col min="12041" max="12041" width="7.75" style="2960" customWidth="1"/>
    <col min="12042" max="12042" width="9.25" style="2960" customWidth="1"/>
    <col min="12043" max="12284" width="9" style="2960" customWidth="1"/>
    <col min="12285" max="12288" width="9" style="2960"/>
    <col min="12289" max="12289" width="0" style="2960" hidden="1" customWidth="1"/>
    <col min="12290" max="12290" width="5.625" style="2960" customWidth="1"/>
    <col min="12291" max="12291" width="10.375" style="2960" customWidth="1"/>
    <col min="12292" max="12292" width="12.5" style="2960" customWidth="1"/>
    <col min="12293" max="12293" width="29.125" style="2960" customWidth="1"/>
    <col min="12294" max="12294" width="29.5" style="2960" customWidth="1"/>
    <col min="12295" max="12295" width="6.75" style="2960" customWidth="1"/>
    <col min="12296" max="12296" width="7.25" style="2960" customWidth="1"/>
    <col min="12297" max="12297" width="7.75" style="2960" customWidth="1"/>
    <col min="12298" max="12298" width="9.25" style="2960" customWidth="1"/>
    <col min="12299" max="12540" width="9" style="2960" customWidth="1"/>
    <col min="12541" max="12544" width="9" style="2960"/>
    <col min="12545" max="12545" width="0" style="2960" hidden="1" customWidth="1"/>
    <col min="12546" max="12546" width="5.625" style="2960" customWidth="1"/>
    <col min="12547" max="12547" width="10.375" style="2960" customWidth="1"/>
    <col min="12548" max="12548" width="12.5" style="2960" customWidth="1"/>
    <col min="12549" max="12549" width="29.125" style="2960" customWidth="1"/>
    <col min="12550" max="12550" width="29.5" style="2960" customWidth="1"/>
    <col min="12551" max="12551" width="6.75" style="2960" customWidth="1"/>
    <col min="12552" max="12552" width="7.25" style="2960" customWidth="1"/>
    <col min="12553" max="12553" width="7.75" style="2960" customWidth="1"/>
    <col min="12554" max="12554" width="9.25" style="2960" customWidth="1"/>
    <col min="12555" max="12796" width="9" style="2960" customWidth="1"/>
    <col min="12797" max="12800" width="9" style="2960"/>
    <col min="12801" max="12801" width="0" style="2960" hidden="1" customWidth="1"/>
    <col min="12802" max="12802" width="5.625" style="2960" customWidth="1"/>
    <col min="12803" max="12803" width="10.375" style="2960" customWidth="1"/>
    <col min="12804" max="12804" width="12.5" style="2960" customWidth="1"/>
    <col min="12805" max="12805" width="29.125" style="2960" customWidth="1"/>
    <col min="12806" max="12806" width="29.5" style="2960" customWidth="1"/>
    <col min="12807" max="12807" width="6.75" style="2960" customWidth="1"/>
    <col min="12808" max="12808" width="7.25" style="2960" customWidth="1"/>
    <col min="12809" max="12809" width="7.75" style="2960" customWidth="1"/>
    <col min="12810" max="12810" width="9.25" style="2960" customWidth="1"/>
    <col min="12811" max="13052" width="9" style="2960" customWidth="1"/>
    <col min="13053" max="13056" width="9" style="2960"/>
    <col min="13057" max="13057" width="0" style="2960" hidden="1" customWidth="1"/>
    <col min="13058" max="13058" width="5.625" style="2960" customWidth="1"/>
    <col min="13059" max="13059" width="10.375" style="2960" customWidth="1"/>
    <col min="13060" max="13060" width="12.5" style="2960" customWidth="1"/>
    <col min="13061" max="13061" width="29.125" style="2960" customWidth="1"/>
    <col min="13062" max="13062" width="29.5" style="2960" customWidth="1"/>
    <col min="13063" max="13063" width="6.75" style="2960" customWidth="1"/>
    <col min="13064" max="13064" width="7.25" style="2960" customWidth="1"/>
    <col min="13065" max="13065" width="7.75" style="2960" customWidth="1"/>
    <col min="13066" max="13066" width="9.25" style="2960" customWidth="1"/>
    <col min="13067" max="13308" width="9" style="2960" customWidth="1"/>
    <col min="13309" max="13312" width="9" style="2960"/>
    <col min="13313" max="13313" width="0" style="2960" hidden="1" customWidth="1"/>
    <col min="13314" max="13314" width="5.625" style="2960" customWidth="1"/>
    <col min="13315" max="13315" width="10.375" style="2960" customWidth="1"/>
    <col min="13316" max="13316" width="12.5" style="2960" customWidth="1"/>
    <col min="13317" max="13317" width="29.125" style="2960" customWidth="1"/>
    <col min="13318" max="13318" width="29.5" style="2960" customWidth="1"/>
    <col min="13319" max="13319" width="6.75" style="2960" customWidth="1"/>
    <col min="13320" max="13320" width="7.25" style="2960" customWidth="1"/>
    <col min="13321" max="13321" width="7.75" style="2960" customWidth="1"/>
    <col min="13322" max="13322" width="9.25" style="2960" customWidth="1"/>
    <col min="13323" max="13564" width="9" style="2960" customWidth="1"/>
    <col min="13565" max="13568" width="9" style="2960"/>
    <col min="13569" max="13569" width="0" style="2960" hidden="1" customWidth="1"/>
    <col min="13570" max="13570" width="5.625" style="2960" customWidth="1"/>
    <col min="13571" max="13571" width="10.375" style="2960" customWidth="1"/>
    <col min="13572" max="13572" width="12.5" style="2960" customWidth="1"/>
    <col min="13573" max="13573" width="29.125" style="2960" customWidth="1"/>
    <col min="13574" max="13574" width="29.5" style="2960" customWidth="1"/>
    <col min="13575" max="13575" width="6.75" style="2960" customWidth="1"/>
    <col min="13576" max="13576" width="7.25" style="2960" customWidth="1"/>
    <col min="13577" max="13577" width="7.75" style="2960" customWidth="1"/>
    <col min="13578" max="13578" width="9.25" style="2960" customWidth="1"/>
    <col min="13579" max="13820" width="9" style="2960" customWidth="1"/>
    <col min="13821" max="13824" width="9" style="2960"/>
    <col min="13825" max="13825" width="0" style="2960" hidden="1" customWidth="1"/>
    <col min="13826" max="13826" width="5.625" style="2960" customWidth="1"/>
    <col min="13827" max="13827" width="10.375" style="2960" customWidth="1"/>
    <col min="13828" max="13828" width="12.5" style="2960" customWidth="1"/>
    <col min="13829" max="13829" width="29.125" style="2960" customWidth="1"/>
    <col min="13830" max="13830" width="29.5" style="2960" customWidth="1"/>
    <col min="13831" max="13831" width="6.75" style="2960" customWidth="1"/>
    <col min="13832" max="13832" width="7.25" style="2960" customWidth="1"/>
    <col min="13833" max="13833" width="7.75" style="2960" customWidth="1"/>
    <col min="13834" max="13834" width="9.25" style="2960" customWidth="1"/>
    <col min="13835" max="14076" width="9" style="2960" customWidth="1"/>
    <col min="14077" max="14080" width="9" style="2960"/>
    <col min="14081" max="14081" width="0" style="2960" hidden="1" customWidth="1"/>
    <col min="14082" max="14082" width="5.625" style="2960" customWidth="1"/>
    <col min="14083" max="14083" width="10.375" style="2960" customWidth="1"/>
    <col min="14084" max="14084" width="12.5" style="2960" customWidth="1"/>
    <col min="14085" max="14085" width="29.125" style="2960" customWidth="1"/>
    <col min="14086" max="14086" width="29.5" style="2960" customWidth="1"/>
    <col min="14087" max="14087" width="6.75" style="2960" customWidth="1"/>
    <col min="14088" max="14088" width="7.25" style="2960" customWidth="1"/>
    <col min="14089" max="14089" width="7.75" style="2960" customWidth="1"/>
    <col min="14090" max="14090" width="9.25" style="2960" customWidth="1"/>
    <col min="14091" max="14332" width="9" style="2960" customWidth="1"/>
    <col min="14333" max="14336" width="9" style="2960"/>
    <col min="14337" max="14337" width="0" style="2960" hidden="1" customWidth="1"/>
    <col min="14338" max="14338" width="5.625" style="2960" customWidth="1"/>
    <col min="14339" max="14339" width="10.375" style="2960" customWidth="1"/>
    <col min="14340" max="14340" width="12.5" style="2960" customWidth="1"/>
    <col min="14341" max="14341" width="29.125" style="2960" customWidth="1"/>
    <col min="14342" max="14342" width="29.5" style="2960" customWidth="1"/>
    <col min="14343" max="14343" width="6.75" style="2960" customWidth="1"/>
    <col min="14344" max="14344" width="7.25" style="2960" customWidth="1"/>
    <col min="14345" max="14345" width="7.75" style="2960" customWidth="1"/>
    <col min="14346" max="14346" width="9.25" style="2960" customWidth="1"/>
    <col min="14347" max="14588" width="9" style="2960" customWidth="1"/>
    <col min="14589" max="14592" width="9" style="2960"/>
    <col min="14593" max="14593" width="0" style="2960" hidden="1" customWidth="1"/>
    <col min="14594" max="14594" width="5.625" style="2960" customWidth="1"/>
    <col min="14595" max="14595" width="10.375" style="2960" customWidth="1"/>
    <col min="14596" max="14596" width="12.5" style="2960" customWidth="1"/>
    <col min="14597" max="14597" width="29.125" style="2960" customWidth="1"/>
    <col min="14598" max="14598" width="29.5" style="2960" customWidth="1"/>
    <col min="14599" max="14599" width="6.75" style="2960" customWidth="1"/>
    <col min="14600" max="14600" width="7.25" style="2960" customWidth="1"/>
    <col min="14601" max="14601" width="7.75" style="2960" customWidth="1"/>
    <col min="14602" max="14602" width="9.25" style="2960" customWidth="1"/>
    <col min="14603" max="14844" width="9" style="2960" customWidth="1"/>
    <col min="14845" max="14848" width="9" style="2960"/>
    <col min="14849" max="14849" width="0" style="2960" hidden="1" customWidth="1"/>
    <col min="14850" max="14850" width="5.625" style="2960" customWidth="1"/>
    <col min="14851" max="14851" width="10.375" style="2960" customWidth="1"/>
    <col min="14852" max="14852" width="12.5" style="2960" customWidth="1"/>
    <col min="14853" max="14853" width="29.125" style="2960" customWidth="1"/>
    <col min="14854" max="14854" width="29.5" style="2960" customWidth="1"/>
    <col min="14855" max="14855" width="6.75" style="2960" customWidth="1"/>
    <col min="14856" max="14856" width="7.25" style="2960" customWidth="1"/>
    <col min="14857" max="14857" width="7.75" style="2960" customWidth="1"/>
    <col min="14858" max="14858" width="9.25" style="2960" customWidth="1"/>
    <col min="14859" max="15100" width="9" style="2960" customWidth="1"/>
    <col min="15101" max="15104" width="9" style="2960"/>
    <col min="15105" max="15105" width="0" style="2960" hidden="1" customWidth="1"/>
    <col min="15106" max="15106" width="5.625" style="2960" customWidth="1"/>
    <col min="15107" max="15107" width="10.375" style="2960" customWidth="1"/>
    <col min="15108" max="15108" width="12.5" style="2960" customWidth="1"/>
    <col min="15109" max="15109" width="29.125" style="2960" customWidth="1"/>
    <col min="15110" max="15110" width="29.5" style="2960" customWidth="1"/>
    <col min="15111" max="15111" width="6.75" style="2960" customWidth="1"/>
    <col min="15112" max="15112" width="7.25" style="2960" customWidth="1"/>
    <col min="15113" max="15113" width="7.75" style="2960" customWidth="1"/>
    <col min="15114" max="15114" width="9.25" style="2960" customWidth="1"/>
    <col min="15115" max="15356" width="9" style="2960" customWidth="1"/>
    <col min="15357" max="15360" width="9" style="2960"/>
    <col min="15361" max="15361" width="0" style="2960" hidden="1" customWidth="1"/>
    <col min="15362" max="15362" width="5.625" style="2960" customWidth="1"/>
    <col min="15363" max="15363" width="10.375" style="2960" customWidth="1"/>
    <col min="15364" max="15364" width="12.5" style="2960" customWidth="1"/>
    <col min="15365" max="15365" width="29.125" style="2960" customWidth="1"/>
    <col min="15366" max="15366" width="29.5" style="2960" customWidth="1"/>
    <col min="15367" max="15367" width="6.75" style="2960" customWidth="1"/>
    <col min="15368" max="15368" width="7.25" style="2960" customWidth="1"/>
    <col min="15369" max="15369" width="7.75" style="2960" customWidth="1"/>
    <col min="15370" max="15370" width="9.25" style="2960" customWidth="1"/>
    <col min="15371" max="15612" width="9" style="2960" customWidth="1"/>
    <col min="15613" max="15616" width="9" style="2960"/>
    <col min="15617" max="15617" width="0" style="2960" hidden="1" customWidth="1"/>
    <col min="15618" max="15618" width="5.625" style="2960" customWidth="1"/>
    <col min="15619" max="15619" width="10.375" style="2960" customWidth="1"/>
    <col min="15620" max="15620" width="12.5" style="2960" customWidth="1"/>
    <col min="15621" max="15621" width="29.125" style="2960" customWidth="1"/>
    <col min="15622" max="15622" width="29.5" style="2960" customWidth="1"/>
    <col min="15623" max="15623" width="6.75" style="2960" customWidth="1"/>
    <col min="15624" max="15624" width="7.25" style="2960" customWidth="1"/>
    <col min="15625" max="15625" width="7.75" style="2960" customWidth="1"/>
    <col min="15626" max="15626" width="9.25" style="2960" customWidth="1"/>
    <col min="15627" max="15868" width="9" style="2960" customWidth="1"/>
    <col min="15869" max="15872" width="9" style="2960"/>
    <col min="15873" max="15873" width="0" style="2960" hidden="1" customWidth="1"/>
    <col min="15874" max="15874" width="5.625" style="2960" customWidth="1"/>
    <col min="15875" max="15875" width="10.375" style="2960" customWidth="1"/>
    <col min="15876" max="15876" width="12.5" style="2960" customWidth="1"/>
    <col min="15877" max="15877" width="29.125" style="2960" customWidth="1"/>
    <col min="15878" max="15878" width="29.5" style="2960" customWidth="1"/>
    <col min="15879" max="15879" width="6.75" style="2960" customWidth="1"/>
    <col min="15880" max="15880" width="7.25" style="2960" customWidth="1"/>
    <col min="15881" max="15881" width="7.75" style="2960" customWidth="1"/>
    <col min="15882" max="15882" width="9.25" style="2960" customWidth="1"/>
    <col min="15883" max="16124" width="9" style="2960" customWidth="1"/>
    <col min="16125" max="16128" width="9" style="2960"/>
    <col min="16129" max="16129" width="0" style="2960" hidden="1" customWidth="1"/>
    <col min="16130" max="16130" width="5.625" style="2960" customWidth="1"/>
    <col min="16131" max="16131" width="10.375" style="2960" customWidth="1"/>
    <col min="16132" max="16132" width="12.5" style="2960" customWidth="1"/>
    <col min="16133" max="16133" width="29.125" style="2960" customWidth="1"/>
    <col min="16134" max="16134" width="29.5" style="2960" customWidth="1"/>
    <col min="16135" max="16135" width="6.75" style="2960" customWidth="1"/>
    <col min="16136" max="16136" width="7.25" style="2960" customWidth="1"/>
    <col min="16137" max="16137" width="7.75" style="2960" customWidth="1"/>
    <col min="16138" max="16138" width="9.25" style="2960" customWidth="1"/>
    <col min="16139" max="16380" width="9" style="2960" customWidth="1"/>
    <col min="16381" max="16384" width="9" style="2960"/>
  </cols>
  <sheetData>
    <row r="1" spans="1:10" ht="33.75" customHeight="1">
      <c r="A1" s="2949" t="s">
        <v>3064</v>
      </c>
      <c r="B1" s="3090" t="s">
        <v>3065</v>
      </c>
      <c r="C1" s="3090"/>
      <c r="D1" s="3090"/>
      <c r="E1" s="3090"/>
      <c r="F1" s="3090"/>
      <c r="G1" s="3090"/>
      <c r="H1" s="3090"/>
      <c r="I1" s="3090"/>
    </row>
    <row r="2" spans="1:10" ht="24">
      <c r="A2" s="2951" t="s">
        <v>3066</v>
      </c>
      <c r="B2" s="2951" t="s">
        <v>3067</v>
      </c>
      <c r="C2" s="2951" t="s">
        <v>3068</v>
      </c>
      <c r="D2" s="2951" t="s">
        <v>3069</v>
      </c>
      <c r="E2" s="2952" t="s">
        <v>3070</v>
      </c>
      <c r="F2" s="2951" t="s">
        <v>3071</v>
      </c>
      <c r="G2" s="2953" t="s">
        <v>3072</v>
      </c>
      <c r="H2" s="2951" t="s">
        <v>3073</v>
      </c>
      <c r="I2" s="2951" t="s">
        <v>3074</v>
      </c>
    </row>
    <row r="3" spans="1:10" ht="24" hidden="1">
      <c r="A3" s="2954">
        <v>3</v>
      </c>
      <c r="B3" s="2954"/>
      <c r="C3" s="2954" t="s">
        <v>3075</v>
      </c>
      <c r="D3" s="2954" t="s">
        <v>3076</v>
      </c>
      <c r="E3" s="2955" t="s">
        <v>3077</v>
      </c>
      <c r="F3" s="2956" t="s">
        <v>3078</v>
      </c>
      <c r="G3" s="2957">
        <v>2</v>
      </c>
      <c r="H3" s="2954" t="s">
        <v>3043</v>
      </c>
      <c r="I3" s="2954">
        <v>151.33000000000001</v>
      </c>
      <c r="J3" s="2958"/>
    </row>
    <row r="4" spans="1:10" ht="24" hidden="1">
      <c r="A4" s="2954">
        <v>4</v>
      </c>
      <c r="B4" s="2954"/>
      <c r="C4" s="2954" t="s">
        <v>3079</v>
      </c>
      <c r="D4" s="2954" t="s">
        <v>3080</v>
      </c>
      <c r="E4" s="2955" t="s">
        <v>3081</v>
      </c>
      <c r="F4" s="2956" t="s">
        <v>3078</v>
      </c>
      <c r="G4" s="2957">
        <v>2</v>
      </c>
      <c r="H4" s="2954" t="s">
        <v>3043</v>
      </c>
      <c r="I4" s="2954">
        <v>151.33000000000001</v>
      </c>
      <c r="J4" s="2958"/>
    </row>
    <row r="5" spans="1:10" ht="24" hidden="1">
      <c r="A5" s="2954">
        <v>5</v>
      </c>
      <c r="B5" s="2954"/>
      <c r="C5" s="2954" t="s">
        <v>3082</v>
      </c>
      <c r="D5" s="2954" t="s">
        <v>3083</v>
      </c>
      <c r="E5" s="2955" t="s">
        <v>3084</v>
      </c>
      <c r="F5" s="2956" t="s">
        <v>3078</v>
      </c>
      <c r="G5" s="2957">
        <v>2</v>
      </c>
      <c r="H5" s="2954" t="s">
        <v>3043</v>
      </c>
      <c r="I5" s="2954">
        <v>151.33000000000001</v>
      </c>
      <c r="J5" s="2958"/>
    </row>
    <row r="6" spans="1:10" ht="24" hidden="1">
      <c r="A6" s="2954">
        <v>6</v>
      </c>
      <c r="B6" s="2954"/>
      <c r="C6" s="2954" t="s">
        <v>3085</v>
      </c>
      <c r="D6" s="2954" t="s">
        <v>3086</v>
      </c>
      <c r="E6" s="2955" t="s">
        <v>3087</v>
      </c>
      <c r="F6" s="2956" t="s">
        <v>3078</v>
      </c>
      <c r="G6" s="2957">
        <v>2</v>
      </c>
      <c r="H6" s="2954" t="s">
        <v>3046</v>
      </c>
      <c r="I6" s="2954">
        <v>149.97</v>
      </c>
      <c r="J6" s="2958"/>
    </row>
    <row r="7" spans="1:10" ht="24" hidden="1">
      <c r="A7" s="2954">
        <v>7</v>
      </c>
      <c r="B7" s="2954"/>
      <c r="C7" s="2954" t="s">
        <v>3088</v>
      </c>
      <c r="D7" s="2954" t="s">
        <v>3089</v>
      </c>
      <c r="E7" s="2955" t="s">
        <v>3090</v>
      </c>
      <c r="F7" s="2956" t="s">
        <v>3078</v>
      </c>
      <c r="G7" s="2957">
        <v>2</v>
      </c>
      <c r="H7" s="2954" t="s">
        <v>3043</v>
      </c>
      <c r="I7" s="2954">
        <v>151.33000000000001</v>
      </c>
      <c r="J7" s="2958"/>
    </row>
    <row r="8" spans="1:10" ht="24" hidden="1">
      <c r="A8" s="2954">
        <v>8</v>
      </c>
      <c r="B8" s="2954"/>
      <c r="C8" s="2954" t="s">
        <v>3091</v>
      </c>
      <c r="D8" s="2954" t="s">
        <v>3092</v>
      </c>
      <c r="E8" s="2955" t="s">
        <v>3093</v>
      </c>
      <c r="F8" s="2956" t="s">
        <v>3078</v>
      </c>
      <c r="G8" s="2957">
        <v>2</v>
      </c>
      <c r="H8" s="2954" t="s">
        <v>3043</v>
      </c>
      <c r="I8" s="2954">
        <v>151.33000000000001</v>
      </c>
      <c r="J8" s="2958"/>
    </row>
    <row r="9" spans="1:10" ht="24" hidden="1">
      <c r="A9" s="2954">
        <v>11</v>
      </c>
      <c r="B9" s="2954"/>
      <c r="C9" s="2954" t="s">
        <v>3094</v>
      </c>
      <c r="D9" s="2954" t="s">
        <v>3095</v>
      </c>
      <c r="E9" s="2955" t="s">
        <v>3096</v>
      </c>
      <c r="F9" s="2956" t="s">
        <v>3078</v>
      </c>
      <c r="G9" s="2957">
        <v>2</v>
      </c>
      <c r="H9" s="2954" t="s">
        <v>3043</v>
      </c>
      <c r="I9" s="2954">
        <v>151.33000000000001</v>
      </c>
      <c r="J9" s="2958"/>
    </row>
    <row r="10" spans="1:10" ht="24" hidden="1">
      <c r="A10" s="2954">
        <v>19</v>
      </c>
      <c r="B10" s="2954"/>
      <c r="C10" s="2954" t="s">
        <v>3097</v>
      </c>
      <c r="D10" s="2954" t="s">
        <v>3098</v>
      </c>
      <c r="E10" s="2955" t="s">
        <v>3099</v>
      </c>
      <c r="F10" s="2956" t="s">
        <v>3078</v>
      </c>
      <c r="G10" s="2957">
        <v>2</v>
      </c>
      <c r="H10" s="2954" t="s">
        <v>3046</v>
      </c>
      <c r="I10" s="2954">
        <v>156.63</v>
      </c>
      <c r="J10" s="2958"/>
    </row>
    <row r="11" spans="1:10" ht="24" hidden="1">
      <c r="A11" s="2954">
        <v>28</v>
      </c>
      <c r="B11" s="2954"/>
      <c r="C11" s="2954" t="s">
        <v>3100</v>
      </c>
      <c r="D11" s="2954" t="s">
        <v>3101</v>
      </c>
      <c r="E11" s="2955" t="s">
        <v>3102</v>
      </c>
      <c r="F11" s="2956" t="s">
        <v>3078</v>
      </c>
      <c r="G11" s="2957">
        <v>2</v>
      </c>
      <c r="H11" s="2954" t="s">
        <v>3043</v>
      </c>
      <c r="I11" s="2954">
        <v>151.33000000000001</v>
      </c>
      <c r="J11" s="2958"/>
    </row>
    <row r="12" spans="1:10" ht="24" hidden="1">
      <c r="A12" s="2954">
        <v>35</v>
      </c>
      <c r="B12" s="2954"/>
      <c r="C12" s="2954" t="s">
        <v>3103</v>
      </c>
      <c r="D12" s="2954" t="s">
        <v>3104</v>
      </c>
      <c r="E12" s="2955" t="s">
        <v>3105</v>
      </c>
      <c r="F12" s="2956" t="s">
        <v>3078</v>
      </c>
      <c r="G12" s="2957">
        <v>2</v>
      </c>
      <c r="H12" s="2954" t="s">
        <v>3043</v>
      </c>
      <c r="I12" s="2954">
        <v>151.33000000000001</v>
      </c>
      <c r="J12" s="2958"/>
    </row>
    <row r="13" spans="1:10" ht="24" hidden="1">
      <c r="A13" s="2954">
        <v>39</v>
      </c>
      <c r="B13" s="2954"/>
      <c r="C13" s="2954" t="s">
        <v>3106</v>
      </c>
      <c r="D13" s="2954" t="s">
        <v>3107</v>
      </c>
      <c r="E13" s="2955" t="s">
        <v>3108</v>
      </c>
      <c r="F13" s="2956" t="s">
        <v>3078</v>
      </c>
      <c r="G13" s="2957">
        <v>2</v>
      </c>
      <c r="H13" s="2954" t="s">
        <v>3043</v>
      </c>
      <c r="I13" s="2954">
        <v>151.33000000000001</v>
      </c>
      <c r="J13" s="2958"/>
    </row>
    <row r="14" spans="1:10" ht="24" hidden="1">
      <c r="A14" s="2954">
        <v>40</v>
      </c>
      <c r="B14" s="2954"/>
      <c r="C14" s="2954" t="s">
        <v>3109</v>
      </c>
      <c r="D14" s="2954" t="s">
        <v>3110</v>
      </c>
      <c r="E14" s="2955" t="s">
        <v>3111</v>
      </c>
      <c r="F14" s="2956" t="s">
        <v>3078</v>
      </c>
      <c r="G14" s="2957">
        <v>2</v>
      </c>
      <c r="H14" s="2954" t="s">
        <v>3043</v>
      </c>
      <c r="I14" s="2954">
        <v>151.33000000000001</v>
      </c>
      <c r="J14" s="2958"/>
    </row>
    <row r="15" spans="1:10" ht="24" hidden="1">
      <c r="A15" s="2954">
        <v>41</v>
      </c>
      <c r="B15" s="2954"/>
      <c r="C15" s="2954" t="s">
        <v>3112</v>
      </c>
      <c r="D15" s="2954" t="s">
        <v>3113</v>
      </c>
      <c r="E15" s="2955" t="s">
        <v>3114</v>
      </c>
      <c r="F15" s="2956" t="s">
        <v>3078</v>
      </c>
      <c r="G15" s="2957">
        <v>2</v>
      </c>
      <c r="H15" s="2954" t="s">
        <v>3043</v>
      </c>
      <c r="I15" s="2954">
        <v>151.33000000000001</v>
      </c>
      <c r="J15" s="2958"/>
    </row>
    <row r="16" spans="1:10" ht="24" hidden="1">
      <c r="A16" s="2954">
        <v>42</v>
      </c>
      <c r="B16" s="2954"/>
      <c r="C16" s="2954" t="s">
        <v>3115</v>
      </c>
      <c r="D16" s="2954" t="s">
        <v>3116</v>
      </c>
      <c r="E16" s="2955" t="s">
        <v>3117</v>
      </c>
      <c r="F16" s="2956" t="s">
        <v>3078</v>
      </c>
      <c r="G16" s="2957">
        <v>2</v>
      </c>
      <c r="H16" s="2954" t="s">
        <v>3043</v>
      </c>
      <c r="I16" s="2954">
        <v>151.33000000000001</v>
      </c>
      <c r="J16" s="2958"/>
    </row>
    <row r="17" spans="1:252" ht="24" hidden="1">
      <c r="A17" s="2954">
        <v>59</v>
      </c>
      <c r="B17" s="2954"/>
      <c r="C17" s="2954" t="s">
        <v>3118</v>
      </c>
      <c r="D17" s="2954">
        <v>10301</v>
      </c>
      <c r="E17" s="2955" t="s">
        <v>3119</v>
      </c>
      <c r="F17" s="2959" t="s">
        <v>3120</v>
      </c>
      <c r="G17" s="2957">
        <v>4</v>
      </c>
      <c r="H17" s="2954" t="s">
        <v>3047</v>
      </c>
      <c r="I17" s="2954">
        <v>121.01</v>
      </c>
      <c r="J17" s="2958"/>
    </row>
    <row r="18" spans="1:252" ht="24">
      <c r="A18" s="2961">
        <v>26</v>
      </c>
      <c r="B18" s="2961">
        <v>1</v>
      </c>
      <c r="C18" s="2962" t="s">
        <v>3121</v>
      </c>
      <c r="D18" s="2962" t="s">
        <v>3122</v>
      </c>
      <c r="E18" s="2963" t="s">
        <v>3123</v>
      </c>
      <c r="F18" s="2964" t="s">
        <v>3078</v>
      </c>
      <c r="G18" s="2953">
        <v>2</v>
      </c>
      <c r="H18" s="2961" t="s">
        <v>3043</v>
      </c>
      <c r="I18" s="2961">
        <v>151.33000000000001</v>
      </c>
      <c r="IP18" s="2960"/>
      <c r="IQ18" s="2960"/>
      <c r="IR18" s="2960"/>
    </row>
    <row r="19" spans="1:252" ht="24">
      <c r="A19" s="2961">
        <v>27</v>
      </c>
      <c r="B19" s="2961">
        <v>2</v>
      </c>
      <c r="C19" s="2962" t="s">
        <v>3124</v>
      </c>
      <c r="D19" s="2962" t="s">
        <v>3125</v>
      </c>
      <c r="E19" s="2963" t="s">
        <v>3126</v>
      </c>
      <c r="F19" s="2951" t="s">
        <v>3078</v>
      </c>
      <c r="G19" s="2953">
        <v>2</v>
      </c>
      <c r="H19" s="2961" t="s">
        <v>3043</v>
      </c>
      <c r="I19" s="2961">
        <v>151.33000000000001</v>
      </c>
      <c r="IP19" s="2960"/>
      <c r="IQ19" s="2960"/>
      <c r="IR19" s="2960"/>
    </row>
    <row r="20" spans="1:252" ht="24">
      <c r="A20" s="2961">
        <v>29</v>
      </c>
      <c r="B20" s="2961">
        <v>3</v>
      </c>
      <c r="C20" s="2962" t="s">
        <v>3127</v>
      </c>
      <c r="D20" s="2962" t="s">
        <v>3128</v>
      </c>
      <c r="E20" s="2963" t="s">
        <v>3129</v>
      </c>
      <c r="F20" s="2951" t="s">
        <v>3078</v>
      </c>
      <c r="G20" s="2953">
        <v>2</v>
      </c>
      <c r="H20" s="2961" t="s">
        <v>3043</v>
      </c>
      <c r="I20" s="2961">
        <v>151.33000000000001</v>
      </c>
      <c r="IP20" s="2960"/>
      <c r="IQ20" s="2960"/>
      <c r="IR20" s="2960"/>
    </row>
    <row r="21" spans="1:252" ht="24">
      <c r="A21" s="2961">
        <v>43</v>
      </c>
      <c r="B21" s="2961">
        <v>4</v>
      </c>
      <c r="C21" s="2962" t="s">
        <v>3130</v>
      </c>
      <c r="D21" s="2962" t="s">
        <v>3131</v>
      </c>
      <c r="E21" s="2963" t="s">
        <v>3132</v>
      </c>
      <c r="F21" s="2951" t="s">
        <v>3078</v>
      </c>
      <c r="G21" s="2953">
        <v>2</v>
      </c>
      <c r="H21" s="2961" t="s">
        <v>3043</v>
      </c>
      <c r="I21" s="2961">
        <v>341.04</v>
      </c>
    </row>
    <row r="22" spans="1:252" ht="24">
      <c r="A22" s="2961">
        <v>49</v>
      </c>
      <c r="B22" s="2961">
        <v>5</v>
      </c>
      <c r="C22" s="2962" t="s">
        <v>3133</v>
      </c>
      <c r="D22" s="2962" t="s">
        <v>3134</v>
      </c>
      <c r="E22" s="2963" t="s">
        <v>3135</v>
      </c>
      <c r="F22" s="2951" t="s">
        <v>3078</v>
      </c>
      <c r="G22" s="2953">
        <v>2</v>
      </c>
      <c r="H22" s="2961" t="s">
        <v>3136</v>
      </c>
      <c r="I22" s="2961">
        <v>780.62</v>
      </c>
    </row>
    <row r="23" spans="1:252" ht="24">
      <c r="A23" s="2961">
        <v>51</v>
      </c>
      <c r="B23" s="2961">
        <v>6</v>
      </c>
      <c r="C23" s="2962" t="s">
        <v>3137</v>
      </c>
      <c r="D23" s="2962">
        <v>10101</v>
      </c>
      <c r="E23" s="2963" t="s">
        <v>3138</v>
      </c>
      <c r="F23" s="2964" t="s">
        <v>3139</v>
      </c>
      <c r="G23" s="2953">
        <v>4</v>
      </c>
      <c r="H23" s="2961" t="s">
        <v>3047</v>
      </c>
      <c r="I23" s="2961">
        <v>127.45</v>
      </c>
    </row>
    <row r="24" spans="1:252" ht="24">
      <c r="A24" s="2961">
        <v>52</v>
      </c>
      <c r="B24" s="2961">
        <v>7</v>
      </c>
      <c r="C24" s="2962" t="s">
        <v>3137</v>
      </c>
      <c r="D24" s="2962">
        <v>10102</v>
      </c>
      <c r="E24" s="2963" t="s">
        <v>3140</v>
      </c>
      <c r="F24" s="2964" t="s">
        <v>3141</v>
      </c>
      <c r="G24" s="2953">
        <v>4</v>
      </c>
      <c r="H24" s="2961" t="s">
        <v>3047</v>
      </c>
      <c r="I24" s="2961">
        <v>132</v>
      </c>
    </row>
    <row r="25" spans="1:252" ht="24">
      <c r="A25" s="2961">
        <v>53</v>
      </c>
      <c r="B25" s="2961">
        <v>8</v>
      </c>
      <c r="C25" s="2962" t="s">
        <v>3137</v>
      </c>
      <c r="D25" s="2962">
        <v>10302</v>
      </c>
      <c r="E25" s="2963" t="s">
        <v>3142</v>
      </c>
      <c r="F25" s="2964" t="s">
        <v>3143</v>
      </c>
      <c r="G25" s="2953">
        <v>4</v>
      </c>
      <c r="H25" s="2961" t="s">
        <v>3047</v>
      </c>
      <c r="I25" s="2961">
        <v>123.63</v>
      </c>
    </row>
    <row r="26" spans="1:252" ht="24">
      <c r="A26" s="2961">
        <v>63</v>
      </c>
      <c r="B26" s="2961">
        <v>9</v>
      </c>
      <c r="C26" s="2962" t="s">
        <v>3144</v>
      </c>
      <c r="D26" s="2962">
        <v>10302</v>
      </c>
      <c r="E26" s="2963" t="s">
        <v>3145</v>
      </c>
      <c r="F26" s="2964" t="s">
        <v>3143</v>
      </c>
      <c r="G26" s="2953">
        <v>4</v>
      </c>
      <c r="H26" s="2961" t="s">
        <v>3047</v>
      </c>
      <c r="I26" s="2961">
        <v>123.63</v>
      </c>
    </row>
    <row r="27" spans="1:252" ht="24">
      <c r="A27" s="2961">
        <v>65</v>
      </c>
      <c r="B27" s="2961">
        <v>10</v>
      </c>
      <c r="C27" s="2962" t="s">
        <v>3146</v>
      </c>
      <c r="D27" s="2962">
        <v>10202</v>
      </c>
      <c r="E27" s="2963" t="s">
        <v>3147</v>
      </c>
      <c r="F27" s="2964" t="s">
        <v>3148</v>
      </c>
      <c r="G27" s="2953">
        <v>4</v>
      </c>
      <c r="H27" s="2961" t="s">
        <v>3047</v>
      </c>
      <c r="I27" s="2961">
        <v>132</v>
      </c>
    </row>
    <row r="28" spans="1:252" ht="24">
      <c r="A28" s="2961">
        <v>66</v>
      </c>
      <c r="B28" s="2961">
        <v>11</v>
      </c>
      <c r="C28" s="2962" t="s">
        <v>3146</v>
      </c>
      <c r="D28" s="2962">
        <v>10302</v>
      </c>
      <c r="E28" s="2963" t="s">
        <v>3149</v>
      </c>
      <c r="F28" s="2964" t="s">
        <v>3143</v>
      </c>
      <c r="G28" s="2953">
        <v>4</v>
      </c>
      <c r="H28" s="2961" t="s">
        <v>3047</v>
      </c>
      <c r="I28" s="2961">
        <v>123.63</v>
      </c>
    </row>
    <row r="29" spans="1:252" s="2968" customFormat="1" ht="27.75" customHeight="1">
      <c r="A29" s="2965">
        <v>37</v>
      </c>
      <c r="B29" s="2961">
        <v>12</v>
      </c>
      <c r="C29" s="2962" t="s">
        <v>3150</v>
      </c>
      <c r="D29" s="2962" t="s">
        <v>3151</v>
      </c>
      <c r="E29" s="2963" t="s">
        <v>3152</v>
      </c>
      <c r="F29" s="2966" t="s">
        <v>3078</v>
      </c>
      <c r="G29" s="2967">
        <v>2</v>
      </c>
      <c r="H29" s="2965" t="s">
        <v>3046</v>
      </c>
      <c r="I29" s="2965">
        <v>149.13</v>
      </c>
      <c r="J29" s="2950"/>
    </row>
    <row r="30" spans="1:252" ht="24" customHeight="1">
      <c r="A30" s="2961"/>
      <c r="B30" s="2969">
        <v>13</v>
      </c>
      <c r="C30" s="2962" t="s">
        <v>3153</v>
      </c>
      <c r="D30" s="2970" t="s">
        <v>3154</v>
      </c>
      <c r="E30" s="2971" t="s">
        <v>3155</v>
      </c>
      <c r="F30" s="2972" t="s">
        <v>3078</v>
      </c>
      <c r="G30" s="2973">
        <v>2</v>
      </c>
      <c r="H30" s="2961" t="s">
        <v>3043</v>
      </c>
      <c r="I30" s="2969">
        <v>151.33000000000001</v>
      </c>
    </row>
    <row r="31" spans="1:252" ht="24" customHeight="1">
      <c r="A31" s="2961"/>
      <c r="B31" s="2969">
        <v>14</v>
      </c>
      <c r="C31" s="2962" t="s">
        <v>3156</v>
      </c>
      <c r="D31" s="2970" t="s">
        <v>3157</v>
      </c>
      <c r="E31" s="2971" t="s">
        <v>3158</v>
      </c>
      <c r="F31" s="2972" t="s">
        <v>3078</v>
      </c>
      <c r="G31" s="2973">
        <v>2</v>
      </c>
      <c r="H31" s="2961" t="s">
        <v>3043</v>
      </c>
      <c r="I31" s="2969">
        <v>151.33000000000001</v>
      </c>
    </row>
    <row r="32" spans="1:252" ht="24" customHeight="1">
      <c r="A32" s="2961"/>
      <c r="B32" s="2969">
        <v>15</v>
      </c>
      <c r="C32" s="2962" t="s">
        <v>3159</v>
      </c>
      <c r="D32" s="2970" t="s">
        <v>3160</v>
      </c>
      <c r="E32" s="2971" t="s">
        <v>3161</v>
      </c>
      <c r="F32" s="2972" t="s">
        <v>3078</v>
      </c>
      <c r="G32" s="2973">
        <v>2</v>
      </c>
      <c r="H32" s="2961" t="s">
        <v>3043</v>
      </c>
      <c r="I32" s="2969">
        <v>341.04</v>
      </c>
    </row>
    <row r="33" spans="1:9" ht="24" customHeight="1">
      <c r="A33" s="2961"/>
      <c r="B33" s="3091" t="s">
        <v>3162</v>
      </c>
      <c r="C33" s="3092"/>
      <c r="D33" s="3092"/>
      <c r="E33" s="3092"/>
      <c r="F33" s="3093"/>
      <c r="G33" s="2973"/>
      <c r="H33" s="2961"/>
      <c r="I33" s="2969">
        <f>SUM(I18:I32)</f>
        <v>3130.82</v>
      </c>
    </row>
    <row r="34" spans="1:9" s="2958" customFormat="1" ht="24">
      <c r="A34" s="2954">
        <v>64</v>
      </c>
      <c r="B34" s="2954">
        <v>16</v>
      </c>
      <c r="C34" s="2954" t="s">
        <v>3146</v>
      </c>
      <c r="D34" s="2954">
        <v>10102</v>
      </c>
      <c r="E34" s="2955" t="s">
        <v>3163</v>
      </c>
      <c r="F34" s="2959" t="s">
        <v>3141</v>
      </c>
      <c r="G34" s="2957">
        <v>4</v>
      </c>
      <c r="H34" s="2954" t="s">
        <v>3047</v>
      </c>
      <c r="I34" s="2954">
        <v>132</v>
      </c>
    </row>
    <row r="35" spans="1:9" s="2958" customFormat="1" ht="24">
      <c r="A35" s="2954">
        <v>54</v>
      </c>
      <c r="B35" s="2954">
        <v>17</v>
      </c>
      <c r="C35" s="2954" t="s">
        <v>3137</v>
      </c>
      <c r="D35" s="2954">
        <v>10401</v>
      </c>
      <c r="E35" s="2955" t="s">
        <v>3164</v>
      </c>
      <c r="F35" s="2959" t="s">
        <v>3165</v>
      </c>
      <c r="G35" s="2957">
        <v>4</v>
      </c>
      <c r="H35" s="2954" t="s">
        <v>3047</v>
      </c>
      <c r="I35" s="2954">
        <v>83.96</v>
      </c>
    </row>
    <row r="36" spans="1:9" s="2958" customFormat="1" ht="24">
      <c r="A36" s="2954">
        <v>55</v>
      </c>
      <c r="B36" s="2954">
        <v>18</v>
      </c>
      <c r="C36" s="2954" t="s">
        <v>3137</v>
      </c>
      <c r="D36" s="2954">
        <v>10402</v>
      </c>
      <c r="E36" s="2955" t="s">
        <v>3166</v>
      </c>
      <c r="F36" s="2959" t="s">
        <v>3167</v>
      </c>
      <c r="G36" s="2957">
        <v>4</v>
      </c>
      <c r="H36" s="2954" t="s">
        <v>3047</v>
      </c>
      <c r="I36" s="2954">
        <v>74.16</v>
      </c>
    </row>
    <row r="37" spans="1:9" s="2958" customFormat="1" ht="24">
      <c r="A37" s="2954">
        <v>50</v>
      </c>
      <c r="B37" s="2954">
        <v>19</v>
      </c>
      <c r="C37" s="2954" t="s">
        <v>3168</v>
      </c>
      <c r="D37" s="2954" t="s">
        <v>3169</v>
      </c>
      <c r="E37" s="2955" t="s">
        <v>3170</v>
      </c>
      <c r="F37" s="2956" t="s">
        <v>3078</v>
      </c>
      <c r="G37" s="2957">
        <v>2</v>
      </c>
      <c r="H37" s="2954" t="s">
        <v>3043</v>
      </c>
      <c r="I37" s="2954">
        <v>341.04</v>
      </c>
    </row>
    <row r="38" spans="1:9" s="2958" customFormat="1" ht="24">
      <c r="A38" s="2954">
        <v>46</v>
      </c>
      <c r="B38" s="2954">
        <v>20</v>
      </c>
      <c r="C38" s="2954" t="s">
        <v>3171</v>
      </c>
      <c r="D38" s="2954" t="s">
        <v>3172</v>
      </c>
      <c r="E38" s="2955" t="s">
        <v>3173</v>
      </c>
      <c r="F38" s="2956" t="s">
        <v>3078</v>
      </c>
      <c r="G38" s="2957">
        <v>2</v>
      </c>
      <c r="H38" s="2954" t="s">
        <v>3043</v>
      </c>
      <c r="I38" s="2954">
        <v>214.92</v>
      </c>
    </row>
    <row r="39" spans="1:9" s="2958" customFormat="1" ht="24">
      <c r="A39" s="2954">
        <v>38</v>
      </c>
      <c r="B39" s="2954">
        <v>21</v>
      </c>
      <c r="C39" s="2954" t="s">
        <v>3174</v>
      </c>
      <c r="D39" s="2954" t="s">
        <v>3175</v>
      </c>
      <c r="E39" s="2955" t="s">
        <v>3176</v>
      </c>
      <c r="F39" s="2956" t="s">
        <v>3078</v>
      </c>
      <c r="G39" s="2957">
        <v>2</v>
      </c>
      <c r="H39" s="2954" t="s">
        <v>3043</v>
      </c>
      <c r="I39" s="2954">
        <v>151.33000000000001</v>
      </c>
    </row>
    <row r="40" spans="1:9" s="2958" customFormat="1" ht="24">
      <c r="A40" s="2954">
        <v>21</v>
      </c>
      <c r="B40" s="2954">
        <v>22</v>
      </c>
      <c r="C40" s="2954" t="s">
        <v>3097</v>
      </c>
      <c r="D40" s="2954" t="s">
        <v>3177</v>
      </c>
      <c r="E40" s="2955" t="s">
        <v>3178</v>
      </c>
      <c r="F40" s="2956" t="s">
        <v>3078</v>
      </c>
      <c r="G40" s="2957">
        <v>2</v>
      </c>
      <c r="H40" s="2954" t="s">
        <v>3046</v>
      </c>
      <c r="I40" s="2954">
        <v>149.13</v>
      </c>
    </row>
    <row r="41" spans="1:9" s="2958" customFormat="1" ht="24">
      <c r="A41" s="2954">
        <v>1</v>
      </c>
      <c r="B41" s="2954">
        <v>23</v>
      </c>
      <c r="C41" s="2954" t="s">
        <v>3179</v>
      </c>
      <c r="D41" s="2954" t="s">
        <v>3180</v>
      </c>
      <c r="E41" s="2955" t="s">
        <v>3181</v>
      </c>
      <c r="F41" s="2956" t="s">
        <v>3078</v>
      </c>
      <c r="G41" s="2957">
        <v>2</v>
      </c>
      <c r="H41" s="2954" t="s">
        <v>3043</v>
      </c>
      <c r="I41" s="2954">
        <v>151.33000000000001</v>
      </c>
    </row>
    <row r="42" spans="1:9" s="2958" customFormat="1" ht="24">
      <c r="A42" s="2954">
        <v>2</v>
      </c>
      <c r="B42" s="2954">
        <v>24</v>
      </c>
      <c r="C42" s="2954" t="s">
        <v>3182</v>
      </c>
      <c r="D42" s="2954" t="s">
        <v>3183</v>
      </c>
      <c r="E42" s="2955" t="s">
        <v>3184</v>
      </c>
      <c r="F42" s="2956" t="s">
        <v>3078</v>
      </c>
      <c r="G42" s="2957">
        <v>2</v>
      </c>
      <c r="H42" s="2954" t="s">
        <v>3043</v>
      </c>
      <c r="I42" s="2954">
        <v>151.33000000000001</v>
      </c>
    </row>
    <row r="43" spans="1:9" s="2958" customFormat="1" ht="24">
      <c r="A43" s="2954">
        <v>9</v>
      </c>
      <c r="B43" s="2954">
        <v>25</v>
      </c>
      <c r="C43" s="2954" t="s">
        <v>3185</v>
      </c>
      <c r="D43" s="2954" t="s">
        <v>3186</v>
      </c>
      <c r="E43" s="2955" t="s">
        <v>3187</v>
      </c>
      <c r="F43" s="2956" t="s">
        <v>3078</v>
      </c>
      <c r="G43" s="2957">
        <v>2</v>
      </c>
      <c r="H43" s="2954" t="s">
        <v>3043</v>
      </c>
      <c r="I43" s="2954">
        <v>151.33000000000001</v>
      </c>
    </row>
    <row r="44" spans="1:9" s="2958" customFormat="1" ht="24">
      <c r="A44" s="2954">
        <v>10</v>
      </c>
      <c r="B44" s="2954">
        <v>26</v>
      </c>
      <c r="C44" s="2954" t="s">
        <v>3188</v>
      </c>
      <c r="D44" s="2954" t="s">
        <v>3189</v>
      </c>
      <c r="E44" s="2955" t="s">
        <v>3190</v>
      </c>
      <c r="F44" s="2956" t="s">
        <v>3078</v>
      </c>
      <c r="G44" s="2957">
        <v>2</v>
      </c>
      <c r="H44" s="2954" t="s">
        <v>3043</v>
      </c>
      <c r="I44" s="2954">
        <v>151.33000000000001</v>
      </c>
    </row>
    <row r="45" spans="1:9" s="2958" customFormat="1" ht="24">
      <c r="A45" s="2954">
        <v>12</v>
      </c>
      <c r="B45" s="2954">
        <v>27</v>
      </c>
      <c r="C45" s="2954" t="s">
        <v>3191</v>
      </c>
      <c r="D45" s="2954" t="s">
        <v>3192</v>
      </c>
      <c r="E45" s="2955" t="s">
        <v>3193</v>
      </c>
      <c r="F45" s="2956" t="s">
        <v>3078</v>
      </c>
      <c r="G45" s="2957">
        <v>2</v>
      </c>
      <c r="H45" s="2954" t="s">
        <v>3043</v>
      </c>
      <c r="I45" s="2954">
        <v>151.33000000000001</v>
      </c>
    </row>
    <row r="46" spans="1:9" s="2958" customFormat="1" ht="24">
      <c r="A46" s="2954">
        <v>13</v>
      </c>
      <c r="B46" s="2954">
        <v>28</v>
      </c>
      <c r="C46" s="2954" t="s">
        <v>3194</v>
      </c>
      <c r="D46" s="2954" t="s">
        <v>3195</v>
      </c>
      <c r="E46" s="2955" t="s">
        <v>3196</v>
      </c>
      <c r="F46" s="2956" t="s">
        <v>3078</v>
      </c>
      <c r="G46" s="2957">
        <v>2</v>
      </c>
      <c r="H46" s="2954" t="s">
        <v>3043</v>
      </c>
      <c r="I46" s="2954">
        <v>151.33000000000001</v>
      </c>
    </row>
    <row r="47" spans="1:9" s="2958" customFormat="1" ht="24">
      <c r="A47" s="2954">
        <v>14</v>
      </c>
      <c r="B47" s="2954">
        <v>29</v>
      </c>
      <c r="C47" s="2954" t="s">
        <v>3197</v>
      </c>
      <c r="D47" s="2954" t="s">
        <v>3198</v>
      </c>
      <c r="E47" s="2955" t="s">
        <v>3199</v>
      </c>
      <c r="F47" s="2956" t="s">
        <v>3078</v>
      </c>
      <c r="G47" s="2957">
        <v>2</v>
      </c>
      <c r="H47" s="2954" t="s">
        <v>3043</v>
      </c>
      <c r="I47" s="2954">
        <v>151.33000000000001</v>
      </c>
    </row>
    <row r="48" spans="1:9" s="2958" customFormat="1" ht="24">
      <c r="A48" s="2954">
        <v>15</v>
      </c>
      <c r="B48" s="2954">
        <v>30</v>
      </c>
      <c r="C48" s="2954" t="s">
        <v>3200</v>
      </c>
      <c r="D48" s="2954" t="s">
        <v>3201</v>
      </c>
      <c r="E48" s="2955" t="s">
        <v>3202</v>
      </c>
      <c r="F48" s="2956" t="s">
        <v>3078</v>
      </c>
      <c r="G48" s="2957">
        <v>2</v>
      </c>
      <c r="H48" s="2954" t="s">
        <v>3043</v>
      </c>
      <c r="I48" s="2954">
        <v>151.33000000000001</v>
      </c>
    </row>
    <row r="49" spans="1:9" s="2958" customFormat="1" ht="24">
      <c r="A49" s="2954">
        <v>16</v>
      </c>
      <c r="B49" s="2954">
        <v>31</v>
      </c>
      <c r="C49" s="2954" t="s">
        <v>3203</v>
      </c>
      <c r="D49" s="2954" t="s">
        <v>3204</v>
      </c>
      <c r="E49" s="2955" t="s">
        <v>3205</v>
      </c>
      <c r="F49" s="2956" t="s">
        <v>3078</v>
      </c>
      <c r="G49" s="2957">
        <v>2</v>
      </c>
      <c r="H49" s="2954" t="s">
        <v>3043</v>
      </c>
      <c r="I49" s="2954">
        <v>151.33000000000001</v>
      </c>
    </row>
    <row r="50" spans="1:9" s="2958" customFormat="1" ht="24">
      <c r="A50" s="2954">
        <v>17</v>
      </c>
      <c r="B50" s="2954">
        <v>32</v>
      </c>
      <c r="C50" s="2954" t="s">
        <v>3206</v>
      </c>
      <c r="D50" s="2954" t="s">
        <v>3207</v>
      </c>
      <c r="E50" s="2955" t="s">
        <v>3208</v>
      </c>
      <c r="F50" s="2956" t="s">
        <v>3078</v>
      </c>
      <c r="G50" s="2957">
        <v>2</v>
      </c>
      <c r="H50" s="2954" t="s">
        <v>3043</v>
      </c>
      <c r="I50" s="2954">
        <v>151.33000000000001</v>
      </c>
    </row>
    <row r="51" spans="1:9" s="2958" customFormat="1" ht="24">
      <c r="A51" s="2954">
        <v>18</v>
      </c>
      <c r="B51" s="2954">
        <v>33</v>
      </c>
      <c r="C51" s="2954" t="s">
        <v>3209</v>
      </c>
      <c r="D51" s="2954" t="s">
        <v>3210</v>
      </c>
      <c r="E51" s="2955" t="s">
        <v>3211</v>
      </c>
      <c r="F51" s="2956" t="s">
        <v>3078</v>
      </c>
      <c r="G51" s="2957">
        <v>2</v>
      </c>
      <c r="H51" s="2954" t="s">
        <v>3043</v>
      </c>
      <c r="I51" s="2954">
        <v>151.33000000000001</v>
      </c>
    </row>
    <row r="52" spans="1:9" s="2958" customFormat="1" ht="24">
      <c r="A52" s="2954">
        <v>20</v>
      </c>
      <c r="B52" s="2954">
        <v>34</v>
      </c>
      <c r="C52" s="2954" t="s">
        <v>3097</v>
      </c>
      <c r="D52" s="2954" t="s">
        <v>3212</v>
      </c>
      <c r="E52" s="2955" t="s">
        <v>3213</v>
      </c>
      <c r="F52" s="2956" t="s">
        <v>3078</v>
      </c>
      <c r="G52" s="2957">
        <v>2</v>
      </c>
      <c r="H52" s="2954" t="s">
        <v>3046</v>
      </c>
      <c r="I52" s="2954">
        <v>156.63</v>
      </c>
    </row>
    <row r="53" spans="1:9" s="2958" customFormat="1" ht="24">
      <c r="A53" s="2954">
        <v>22</v>
      </c>
      <c r="B53" s="2954">
        <v>35</v>
      </c>
      <c r="C53" s="2954" t="s">
        <v>3214</v>
      </c>
      <c r="D53" s="2954" t="s">
        <v>3215</v>
      </c>
      <c r="E53" s="2955" t="s">
        <v>3216</v>
      </c>
      <c r="F53" s="2956" t="s">
        <v>3078</v>
      </c>
      <c r="G53" s="2957">
        <v>2</v>
      </c>
      <c r="H53" s="2954" t="s">
        <v>3043</v>
      </c>
      <c r="I53" s="2954">
        <v>151.33000000000001</v>
      </c>
    </row>
    <row r="54" spans="1:9" s="2958" customFormat="1" ht="24">
      <c r="A54" s="2954">
        <v>23</v>
      </c>
      <c r="B54" s="2954">
        <v>36</v>
      </c>
      <c r="C54" s="2954" t="s">
        <v>3217</v>
      </c>
      <c r="D54" s="2954" t="s">
        <v>3218</v>
      </c>
      <c r="E54" s="2955" t="s">
        <v>3219</v>
      </c>
      <c r="F54" s="2956" t="s">
        <v>3078</v>
      </c>
      <c r="G54" s="2957">
        <v>2</v>
      </c>
      <c r="H54" s="2954" t="s">
        <v>3043</v>
      </c>
      <c r="I54" s="2954">
        <v>151.33000000000001</v>
      </c>
    </row>
    <row r="55" spans="1:9" s="2958" customFormat="1" ht="24">
      <c r="A55" s="2954">
        <v>24</v>
      </c>
      <c r="B55" s="2954">
        <v>37</v>
      </c>
      <c r="C55" s="2954" t="s">
        <v>3220</v>
      </c>
      <c r="D55" s="2954" t="s">
        <v>3221</v>
      </c>
      <c r="E55" s="2955" t="s">
        <v>3222</v>
      </c>
      <c r="F55" s="2956" t="s">
        <v>3078</v>
      </c>
      <c r="G55" s="2957">
        <v>2</v>
      </c>
      <c r="H55" s="2954" t="s">
        <v>3043</v>
      </c>
      <c r="I55" s="2954">
        <v>151.33000000000001</v>
      </c>
    </row>
    <row r="56" spans="1:9" s="2958" customFormat="1" ht="24">
      <c r="A56" s="2954">
        <v>25</v>
      </c>
      <c r="B56" s="2954">
        <v>38</v>
      </c>
      <c r="C56" s="2954" t="s">
        <v>3223</v>
      </c>
      <c r="D56" s="2954" t="s">
        <v>3224</v>
      </c>
      <c r="E56" s="2955" t="s">
        <v>3225</v>
      </c>
      <c r="F56" s="2956" t="s">
        <v>3078</v>
      </c>
      <c r="G56" s="2957">
        <v>2</v>
      </c>
      <c r="H56" s="2954" t="s">
        <v>3043</v>
      </c>
      <c r="I56" s="2954">
        <v>151.33000000000001</v>
      </c>
    </row>
    <row r="57" spans="1:9" s="2958" customFormat="1" ht="24">
      <c r="A57" s="2954">
        <v>30</v>
      </c>
      <c r="B57" s="2954">
        <v>39</v>
      </c>
      <c r="C57" s="2954" t="s">
        <v>3226</v>
      </c>
      <c r="D57" s="2954" t="s">
        <v>3227</v>
      </c>
      <c r="E57" s="2955" t="s">
        <v>3228</v>
      </c>
      <c r="F57" s="2956" t="s">
        <v>3078</v>
      </c>
      <c r="G57" s="2957">
        <v>2</v>
      </c>
      <c r="H57" s="2954" t="s">
        <v>3043</v>
      </c>
      <c r="I57" s="2954">
        <v>151.33000000000001</v>
      </c>
    </row>
    <row r="58" spans="1:9" s="2958" customFormat="1" ht="24">
      <c r="A58" s="2954">
        <v>31</v>
      </c>
      <c r="B58" s="2954">
        <v>40</v>
      </c>
      <c r="C58" s="2954" t="s">
        <v>3229</v>
      </c>
      <c r="D58" s="2954" t="s">
        <v>3230</v>
      </c>
      <c r="E58" s="2955" t="s">
        <v>3231</v>
      </c>
      <c r="F58" s="2956" t="s">
        <v>3078</v>
      </c>
      <c r="G58" s="2957">
        <v>2</v>
      </c>
      <c r="H58" s="2954" t="s">
        <v>3043</v>
      </c>
      <c r="I58" s="2954">
        <v>151.33000000000001</v>
      </c>
    </row>
    <row r="59" spans="1:9" s="2958" customFormat="1" ht="24">
      <c r="A59" s="2954">
        <v>32</v>
      </c>
      <c r="B59" s="2954">
        <v>41</v>
      </c>
      <c r="C59" s="2954" t="s">
        <v>3232</v>
      </c>
      <c r="D59" s="2954" t="s">
        <v>3233</v>
      </c>
      <c r="E59" s="2955" t="s">
        <v>3234</v>
      </c>
      <c r="F59" s="2956" t="s">
        <v>3078</v>
      </c>
      <c r="G59" s="2957">
        <v>2</v>
      </c>
      <c r="H59" s="2954" t="s">
        <v>3043</v>
      </c>
      <c r="I59" s="2954">
        <v>151.33000000000001</v>
      </c>
    </row>
    <row r="60" spans="1:9" s="2958" customFormat="1" ht="24">
      <c r="A60" s="2954">
        <v>33</v>
      </c>
      <c r="B60" s="2954">
        <v>42</v>
      </c>
      <c r="C60" s="2954" t="s">
        <v>3235</v>
      </c>
      <c r="D60" s="2954" t="s">
        <v>3236</v>
      </c>
      <c r="E60" s="2955" t="s">
        <v>3237</v>
      </c>
      <c r="F60" s="2956" t="s">
        <v>3078</v>
      </c>
      <c r="G60" s="2957">
        <v>2</v>
      </c>
      <c r="H60" s="2954" t="s">
        <v>3046</v>
      </c>
      <c r="I60" s="2954">
        <v>149.13</v>
      </c>
    </row>
    <row r="61" spans="1:9" s="2958" customFormat="1" ht="24">
      <c r="A61" s="2954">
        <v>34</v>
      </c>
      <c r="B61" s="2954">
        <v>43</v>
      </c>
      <c r="C61" s="2954" t="s">
        <v>3238</v>
      </c>
      <c r="D61" s="2954" t="s">
        <v>3239</v>
      </c>
      <c r="E61" s="2955" t="s">
        <v>3240</v>
      </c>
      <c r="F61" s="2956" t="s">
        <v>3078</v>
      </c>
      <c r="G61" s="2957">
        <v>2</v>
      </c>
      <c r="H61" s="2954" t="s">
        <v>3043</v>
      </c>
      <c r="I61" s="2954">
        <v>151.33000000000001</v>
      </c>
    </row>
    <row r="62" spans="1:9" s="2958" customFormat="1" ht="24">
      <c r="A62" s="2954">
        <v>36</v>
      </c>
      <c r="B62" s="2954">
        <v>44</v>
      </c>
      <c r="C62" s="2954" t="s">
        <v>3241</v>
      </c>
      <c r="D62" s="2954" t="s">
        <v>3242</v>
      </c>
      <c r="E62" s="2955" t="s">
        <v>3243</v>
      </c>
      <c r="F62" s="2956" t="s">
        <v>3078</v>
      </c>
      <c r="G62" s="2957">
        <v>2</v>
      </c>
      <c r="H62" s="2954" t="s">
        <v>3043</v>
      </c>
      <c r="I62" s="2954">
        <v>151.33000000000001</v>
      </c>
    </row>
    <row r="63" spans="1:9" s="2958" customFormat="1" ht="24">
      <c r="A63" s="2954">
        <v>44</v>
      </c>
      <c r="B63" s="2954">
        <v>45</v>
      </c>
      <c r="C63" s="2954" t="s">
        <v>3244</v>
      </c>
      <c r="D63" s="2954" t="s">
        <v>3245</v>
      </c>
      <c r="E63" s="2955" t="s">
        <v>3246</v>
      </c>
      <c r="F63" s="2956" t="s">
        <v>3078</v>
      </c>
      <c r="G63" s="2957">
        <v>2</v>
      </c>
      <c r="H63" s="2954" t="s">
        <v>3043</v>
      </c>
      <c r="I63" s="2954">
        <v>341.04</v>
      </c>
    </row>
    <row r="64" spans="1:9" s="2958" customFormat="1" ht="24">
      <c r="A64" s="2954">
        <v>45</v>
      </c>
      <c r="B64" s="2954">
        <v>46</v>
      </c>
      <c r="C64" s="2974" t="s">
        <v>3247</v>
      </c>
      <c r="D64" s="2974" t="s">
        <v>3248</v>
      </c>
      <c r="E64" s="2975" t="s">
        <v>3249</v>
      </c>
      <c r="F64" s="2976" t="s">
        <v>3078</v>
      </c>
      <c r="G64" s="2977">
        <v>2</v>
      </c>
      <c r="H64" s="2974" t="s">
        <v>3043</v>
      </c>
      <c r="I64" s="2974"/>
    </row>
    <row r="65" spans="1:249" s="2958" customFormat="1" ht="24">
      <c r="A65" s="2954">
        <v>47</v>
      </c>
      <c r="B65" s="2954">
        <v>47</v>
      </c>
      <c r="C65" s="2954" t="s">
        <v>3250</v>
      </c>
      <c r="D65" s="2954" t="s">
        <v>3251</v>
      </c>
      <c r="E65" s="2955" t="s">
        <v>3252</v>
      </c>
      <c r="F65" s="2956" t="s">
        <v>3078</v>
      </c>
      <c r="G65" s="2957">
        <v>2</v>
      </c>
      <c r="H65" s="2954" t="s">
        <v>3043</v>
      </c>
      <c r="I65" s="2954">
        <v>214.92</v>
      </c>
    </row>
    <row r="66" spans="1:249" s="2958" customFormat="1" ht="24">
      <c r="A66" s="2954">
        <v>48</v>
      </c>
      <c r="B66" s="2954">
        <v>48</v>
      </c>
      <c r="C66" s="2954" t="s">
        <v>3253</v>
      </c>
      <c r="D66" s="2954" t="s">
        <v>3254</v>
      </c>
      <c r="E66" s="2955" t="s">
        <v>3255</v>
      </c>
      <c r="F66" s="2956" t="s">
        <v>3078</v>
      </c>
      <c r="G66" s="2957">
        <v>2</v>
      </c>
      <c r="H66" s="2954" t="s">
        <v>3043</v>
      </c>
      <c r="I66" s="2954">
        <v>214.92</v>
      </c>
    </row>
    <row r="67" spans="1:249" s="2958" customFormat="1" ht="24">
      <c r="A67" s="2954">
        <v>56</v>
      </c>
      <c r="B67" s="2954">
        <v>49</v>
      </c>
      <c r="C67" s="2954" t="s">
        <v>3256</v>
      </c>
      <c r="D67" s="2954">
        <v>10101</v>
      </c>
      <c r="E67" s="2955" t="s">
        <v>3257</v>
      </c>
      <c r="F67" s="2959" t="s">
        <v>3139</v>
      </c>
      <c r="G67" s="2957">
        <v>4</v>
      </c>
      <c r="H67" s="2954" t="s">
        <v>3047</v>
      </c>
      <c r="I67" s="2954">
        <v>127.45</v>
      </c>
    </row>
    <row r="68" spans="1:249" s="2979" customFormat="1" ht="24">
      <c r="A68" s="2974">
        <v>57</v>
      </c>
      <c r="B68" s="2954">
        <v>50</v>
      </c>
      <c r="C68" s="2974" t="s">
        <v>3256</v>
      </c>
      <c r="D68" s="2974">
        <v>10102</v>
      </c>
      <c r="E68" s="2975" t="s">
        <v>3258</v>
      </c>
      <c r="F68" s="2978" t="s">
        <v>3141</v>
      </c>
      <c r="G68" s="2977">
        <v>4</v>
      </c>
      <c r="H68" s="2974" t="s">
        <v>3047</v>
      </c>
      <c r="I68" s="2974"/>
    </row>
    <row r="69" spans="1:249" s="2958" customFormat="1" ht="24">
      <c r="A69" s="2954">
        <v>58</v>
      </c>
      <c r="B69" s="2954">
        <v>51</v>
      </c>
      <c r="C69" s="2954" t="s">
        <v>3118</v>
      </c>
      <c r="D69" s="2954">
        <v>10102</v>
      </c>
      <c r="E69" s="2955" t="s">
        <v>3259</v>
      </c>
      <c r="F69" s="2959" t="s">
        <v>3141</v>
      </c>
      <c r="G69" s="2957">
        <v>4</v>
      </c>
      <c r="H69" s="2954" t="s">
        <v>3047</v>
      </c>
      <c r="I69" s="2954">
        <v>132</v>
      </c>
    </row>
    <row r="70" spans="1:249" s="2979" customFormat="1" ht="24">
      <c r="A70" s="2974">
        <v>60</v>
      </c>
      <c r="B70" s="2954">
        <v>52</v>
      </c>
      <c r="C70" s="2974" t="s">
        <v>3118</v>
      </c>
      <c r="D70" s="2974">
        <v>10302</v>
      </c>
      <c r="E70" s="2975" t="s">
        <v>3260</v>
      </c>
      <c r="F70" s="2978" t="s">
        <v>3143</v>
      </c>
      <c r="G70" s="2977">
        <v>4</v>
      </c>
      <c r="H70" s="2974" t="s">
        <v>3047</v>
      </c>
      <c r="I70" s="2974"/>
    </row>
    <row r="71" spans="1:249" s="2958" customFormat="1" ht="24">
      <c r="A71" s="2954">
        <v>61</v>
      </c>
      <c r="B71" s="2954">
        <v>53</v>
      </c>
      <c r="C71" s="2954" t="s">
        <v>3144</v>
      </c>
      <c r="D71" s="2954">
        <v>10201</v>
      </c>
      <c r="E71" s="2955" t="s">
        <v>3261</v>
      </c>
      <c r="F71" s="2959" t="s">
        <v>3262</v>
      </c>
      <c r="G71" s="2957">
        <v>4</v>
      </c>
      <c r="H71" s="2954" t="s">
        <v>3047</v>
      </c>
      <c r="I71" s="2954">
        <v>127.45</v>
      </c>
    </row>
    <row r="72" spans="1:249" s="2958" customFormat="1" ht="24">
      <c r="A72" s="2954">
        <v>62</v>
      </c>
      <c r="B72" s="2954">
        <v>54</v>
      </c>
      <c r="C72" s="2954" t="s">
        <v>3144</v>
      </c>
      <c r="D72" s="2954">
        <v>10202</v>
      </c>
      <c r="E72" s="2955" t="s">
        <v>3263</v>
      </c>
      <c r="F72" s="2959" t="s">
        <v>3148</v>
      </c>
      <c r="G72" s="2957">
        <v>4</v>
      </c>
      <c r="H72" s="2954" t="s">
        <v>3047</v>
      </c>
      <c r="I72" s="2954">
        <v>132</v>
      </c>
    </row>
    <row r="73" spans="1:249" ht="13.5">
      <c r="A73" s="2961" t="s">
        <v>37</v>
      </c>
      <c r="B73" s="2961"/>
      <c r="C73" s="2961"/>
      <c r="D73" s="2961"/>
      <c r="E73" s="2980"/>
      <c r="F73" s="2980"/>
      <c r="G73" s="2980"/>
      <c r="H73" s="2961"/>
      <c r="I73" s="2961">
        <f>SUM(I18:I72)</f>
        <v>12030.32</v>
      </c>
    </row>
    <row r="74" spans="1:249" ht="13.5"/>
    <row r="75" spans="1:249" ht="13.5">
      <c r="E75" s="2950"/>
      <c r="F75" s="2950"/>
      <c r="G75" s="2950"/>
      <c r="IL75" s="2960"/>
      <c r="IM75" s="2960"/>
      <c r="IN75" s="2960"/>
      <c r="IO75" s="2960"/>
    </row>
    <row r="76" spans="1:249" ht="13.5">
      <c r="A76" s="2982"/>
      <c r="E76" s="2950"/>
      <c r="F76" s="2950"/>
      <c r="G76" s="2950"/>
      <c r="IL76" s="2960"/>
      <c r="IM76" s="2960"/>
      <c r="IN76" s="2960"/>
      <c r="IO76" s="2960"/>
    </row>
    <row r="77" spans="1:249" ht="13.5">
      <c r="A77" s="2982"/>
      <c r="E77" s="2950"/>
      <c r="F77" s="2950"/>
      <c r="G77" s="2950"/>
      <c r="IL77" s="2960"/>
      <c r="IM77" s="2960"/>
      <c r="IN77" s="2960"/>
      <c r="IO77" s="2960"/>
    </row>
    <row r="78" spans="1:249" ht="13.5">
      <c r="A78" s="2982"/>
      <c r="E78" s="2950"/>
      <c r="F78" s="2950"/>
      <c r="G78" s="2950"/>
      <c r="IL78" s="2960"/>
      <c r="IM78" s="2960"/>
      <c r="IN78" s="2960"/>
      <c r="IO78" s="2960"/>
    </row>
    <row r="79" spans="1:249" ht="13.5">
      <c r="A79" s="2982"/>
      <c r="B79" s="2982"/>
      <c r="E79" s="2950"/>
      <c r="F79" s="2950"/>
      <c r="G79" s="2950"/>
      <c r="IL79" s="2960"/>
      <c r="IM79" s="2960"/>
      <c r="IN79" s="2960"/>
      <c r="IO79" s="2960"/>
    </row>
    <row r="80" spans="1:249" ht="12" customHeight="1">
      <c r="E80" s="2950"/>
      <c r="F80" s="2950"/>
      <c r="G80" s="2950"/>
      <c r="IL80" s="2960"/>
      <c r="IM80" s="2960"/>
      <c r="IN80" s="2960"/>
      <c r="IO80" s="2960"/>
    </row>
  </sheetData>
  <mergeCells count="2">
    <mergeCell ref="B1:I1"/>
    <mergeCell ref="B33:F33"/>
  </mergeCells>
  <phoneticPr fontId="144" type="noConversion"/>
  <pageMargins left="0.69930555555555551" right="0.69930555555555551" top="0.75" bottom="0.75" header="0.3" footer="0.3"/>
  <pageSetup paperSize="9" firstPageNumber="4294963191"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103" t="s">
        <v>1922</v>
      </c>
      <c r="B2" s="3103"/>
      <c r="C2" s="3103"/>
      <c r="D2" s="962" t="s">
        <v>1898</v>
      </c>
      <c r="E2" s="2216" t="s">
        <v>1899</v>
      </c>
      <c r="F2" s="1387"/>
      <c r="G2" s="2217"/>
      <c r="H2" s="2218"/>
      <c r="I2" s="2219" t="s">
        <v>1923</v>
      </c>
      <c r="J2" s="1387"/>
      <c r="K2" s="1387"/>
      <c r="L2" s="1387"/>
      <c r="M2" s="1387"/>
      <c r="N2" s="1422"/>
      <c r="O2" s="1387"/>
      <c r="P2" s="1387"/>
    </row>
    <row r="3" spans="1:16" ht="15.75" thickBot="1">
      <c r="A3" s="3104" t="s">
        <v>1896</v>
      </c>
      <c r="B3" s="3104"/>
      <c r="C3" s="3104"/>
      <c r="D3" s="46">
        <f>'数据-基础表'!AY6</f>
        <v>9119.9</v>
      </c>
      <c r="E3" s="46">
        <f>'数据-基础表'!AZ5</f>
        <v>3130.82</v>
      </c>
      <c r="F3" s="1387"/>
      <c r="G3" s="1394"/>
      <c r="H3" s="1242" t="s">
        <v>1897</v>
      </c>
      <c r="I3" s="55">
        <f>ROUND('数据-基础表'!B3/'数据-基础表'!A3,2)</f>
        <v>0.34</v>
      </c>
      <c r="J3" s="1387"/>
      <c r="K3" s="1387"/>
      <c r="L3" s="1387"/>
      <c r="M3" s="1387"/>
      <c r="N3" s="1422"/>
      <c r="O3" s="1387"/>
      <c r="P3" s="1387"/>
    </row>
    <row r="4" spans="1:16" ht="15">
      <c r="A4" s="3105"/>
      <c r="B4" s="3106"/>
      <c r="C4" s="3107"/>
      <c r="D4" s="2220" t="s">
        <v>1898</v>
      </c>
      <c r="E4" s="2221" t="s">
        <v>1899</v>
      </c>
      <c r="F4" s="1387"/>
      <c r="G4" s="2222" t="s">
        <v>1924</v>
      </c>
      <c r="H4" s="1242" t="s">
        <v>1904</v>
      </c>
      <c r="I4" s="55">
        <f>ROUND(SUMIF('数据-基础表'!I9:AS9,"地上",'数据-基础表'!I5:AS5)/'数据-基础表'!A3,2)</f>
        <v>0.34</v>
      </c>
      <c r="J4" s="1387"/>
      <c r="K4" s="1387"/>
      <c r="L4" s="1387"/>
      <c r="M4" s="1387"/>
      <c r="N4" s="1422"/>
      <c r="O4" s="1387"/>
      <c r="P4" s="1387"/>
    </row>
    <row r="5" spans="1:16">
      <c r="A5" s="47" t="s">
        <v>1900</v>
      </c>
      <c r="B5" s="3108" t="s">
        <v>1901</v>
      </c>
      <c r="C5" s="3108"/>
      <c r="D5" s="48">
        <f>ROUND($D$3*E5/$E$3,2)</f>
        <v>0</v>
      </c>
      <c r="E5" s="49">
        <f>SUMIF('数据-基础表'!$11:$11,"住宅",'数据-基础表'!$5:$5)</f>
        <v>0</v>
      </c>
      <c r="F5" s="1387"/>
      <c r="G5" s="1394"/>
      <c r="H5" s="1242" t="s">
        <v>1897</v>
      </c>
      <c r="I5" s="55">
        <f>ROUND(E31/D31,2)</f>
        <v>0.34</v>
      </c>
      <c r="J5" s="1387"/>
      <c r="K5" s="1387"/>
      <c r="L5" s="1387"/>
      <c r="M5" s="1387"/>
      <c r="N5" s="1387"/>
      <c r="O5" s="1387"/>
      <c r="P5" s="1387"/>
    </row>
    <row r="6" spans="1:16" ht="15" thickBot="1">
      <c r="A6" s="2223"/>
      <c r="B6" s="3108" t="s">
        <v>1902</v>
      </c>
      <c r="C6" s="3108"/>
      <c r="D6" s="48">
        <f>ROUND($D$3*E6/$E$3,2)</f>
        <v>9119.9</v>
      </c>
      <c r="E6" s="49">
        <f>E3-E5</f>
        <v>3130.82</v>
      </c>
      <c r="F6" s="1387"/>
      <c r="G6" s="2224" t="s">
        <v>1903</v>
      </c>
      <c r="H6" s="1394" t="s">
        <v>1904</v>
      </c>
      <c r="I6" s="934">
        <f>ROUND(F31/D31,2)</f>
        <v>0.34</v>
      </c>
      <c r="J6" s="1387"/>
      <c r="K6" s="1387"/>
      <c r="L6" s="1387"/>
      <c r="M6" s="1387"/>
      <c r="N6" s="1387"/>
      <c r="O6" s="1387"/>
      <c r="P6" s="1387"/>
    </row>
    <row r="7" spans="1:16" ht="15">
      <c r="A7" s="3100"/>
      <c r="B7" s="3101"/>
      <c r="C7" s="3102"/>
      <c r="D7" s="2220" t="s">
        <v>1898</v>
      </c>
      <c r="E7" s="2225" t="s">
        <v>1905</v>
      </c>
      <c r="F7" s="1387"/>
      <c r="G7" s="2217" t="s">
        <v>1906</v>
      </c>
      <c r="H7" s="64"/>
      <c r="I7" s="417"/>
      <c r="J7" s="1387"/>
      <c r="K7" s="1387"/>
      <c r="L7" s="1387"/>
      <c r="M7" s="1387"/>
      <c r="N7" s="1387"/>
      <c r="O7" s="1387"/>
      <c r="P7" s="1387"/>
    </row>
    <row r="8" spans="1:16">
      <c r="A8" s="47" t="s">
        <v>1907</v>
      </c>
      <c r="B8" s="50" t="s">
        <v>1908</v>
      </c>
      <c r="C8" s="48" t="s">
        <v>1909</v>
      </c>
      <c r="D8" s="48">
        <f t="shared" ref="D8:D15" si="0">ROUND($D$3*E8/$E$3,2)</f>
        <v>9119.9</v>
      </c>
      <c r="E8" s="51">
        <f>SUMIF('数据-基础表'!BB10:BK10,"地上",'数据-基础表'!BB5:BK5)</f>
        <v>3130.82</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9119.9</v>
      </c>
      <c r="E16" s="53">
        <f>SUM(E8:E15)</f>
        <v>3130.82</v>
      </c>
      <c r="F16" s="1387"/>
      <c r="G16" s="2226"/>
      <c r="H16" s="2229" t="s">
        <v>1926</v>
      </c>
      <c r="I16" s="2230"/>
      <c r="J16" s="1387"/>
      <c r="K16" s="3097" t="s">
        <v>1926</v>
      </c>
      <c r="L16" s="3098"/>
      <c r="M16" s="3098"/>
      <c r="N16" s="3098"/>
      <c r="O16" s="3098"/>
      <c r="P16" s="3099"/>
    </row>
    <row r="17" spans="1:19" ht="15">
      <c r="A17" s="2231" t="s">
        <v>1927</v>
      </c>
      <c r="B17" s="2232" t="s">
        <v>1928</v>
      </c>
      <c r="C17" s="2233" t="s">
        <v>1929</v>
      </c>
      <c r="D17" s="2234" t="s">
        <v>1917</v>
      </c>
      <c r="E17" s="2235" t="s">
        <v>1918</v>
      </c>
      <c r="F17" s="2236"/>
      <c r="G17" s="2237"/>
      <c r="H17" s="2238" t="s">
        <v>1930</v>
      </c>
      <c r="I17" s="2239" t="s">
        <v>1915</v>
      </c>
      <c r="J17" s="1387"/>
      <c r="K17" s="3094" t="s">
        <v>1931</v>
      </c>
      <c r="L17" s="3095"/>
      <c r="M17" s="3096"/>
      <c r="N17" s="3094" t="s">
        <v>1932</v>
      </c>
      <c r="O17" s="3095"/>
      <c r="P17" s="3096"/>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6464.84</v>
      </c>
      <c r="E19" s="56">
        <f t="shared" ref="E19:E26" si="1">SUM(F19:G19)</f>
        <v>2219.35</v>
      </c>
      <c r="F19" s="57">
        <f>'数据-基础表'!I5</f>
        <v>2219.35</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6464.84</v>
      </c>
      <c r="S19" s="1243">
        <f t="shared" si="5"/>
        <v>2219.35</v>
      </c>
    </row>
    <row r="20" spans="1:19">
      <c r="A20" s="2251"/>
      <c r="B20" s="50" t="s">
        <v>1944</v>
      </c>
      <c r="C20" s="2936" t="str">
        <f>'数据-基础表'!K11</f>
        <v>小院</v>
      </c>
      <c r="D20" s="48">
        <f t="shared" ref="D20:D26" si="6">ROUND($D$3*E20/$E$3,2)</f>
        <v>0</v>
      </c>
      <c r="E20" s="56">
        <f t="shared" si="1"/>
        <v>0</v>
      </c>
      <c r="F20" s="57">
        <f>'数据-基础表'!K5</f>
        <v>0</v>
      </c>
      <c r="G20" s="58"/>
      <c r="H20" s="720">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434.41</v>
      </c>
      <c r="E21" s="56">
        <f t="shared" si="1"/>
        <v>149.13</v>
      </c>
      <c r="F21" s="57">
        <f>'数据-基础表'!M5</f>
        <v>149.13</v>
      </c>
      <c r="G21" s="58"/>
      <c r="H21" s="720">
        <f t="shared" si="7"/>
        <v>0</v>
      </c>
      <c r="I21" s="51">
        <f t="shared" si="2"/>
        <v>0</v>
      </c>
      <c r="J21" s="1387"/>
      <c r="K21" s="1386">
        <f t="shared" si="3"/>
        <v>0</v>
      </c>
      <c r="L21" s="1242">
        <f t="shared" si="4"/>
        <v>0</v>
      </c>
      <c r="M21" s="1398">
        <f t="shared" si="8"/>
        <v>0</v>
      </c>
      <c r="N21" s="2249"/>
      <c r="O21" s="2250"/>
      <c r="P21" s="1398">
        <f t="shared" si="9"/>
        <v>0</v>
      </c>
      <c r="R21" s="1242">
        <f t="shared" si="5"/>
        <v>434.41</v>
      </c>
      <c r="S21" s="1243">
        <f t="shared" si="5"/>
        <v>149.13</v>
      </c>
    </row>
    <row r="22" spans="1:19">
      <c r="A22" s="2251"/>
      <c r="B22" s="50" t="s">
        <v>1944</v>
      </c>
      <c r="C22" s="60" t="str">
        <f>'数据-基础表'!O11</f>
        <v>洋房</v>
      </c>
      <c r="D22" s="48">
        <f t="shared" si="6"/>
        <v>2220.65</v>
      </c>
      <c r="E22" s="56">
        <f t="shared" si="1"/>
        <v>762.34</v>
      </c>
      <c r="F22" s="61">
        <f>'数据-基础表'!O5</f>
        <v>762.34</v>
      </c>
      <c r="G22" s="62"/>
      <c r="H22" s="720">
        <f t="shared" si="7"/>
        <v>0</v>
      </c>
      <c r="I22" s="51">
        <f t="shared" si="2"/>
        <v>0</v>
      </c>
      <c r="J22" s="1387"/>
      <c r="K22" s="1386">
        <f t="shared" si="3"/>
        <v>0</v>
      </c>
      <c r="L22" s="1242">
        <f t="shared" si="4"/>
        <v>0</v>
      </c>
      <c r="M22" s="1398">
        <f t="shared" si="8"/>
        <v>0</v>
      </c>
      <c r="N22" s="2249"/>
      <c r="O22" s="2250"/>
      <c r="P22" s="1398">
        <f t="shared" si="9"/>
        <v>0</v>
      </c>
      <c r="R22" s="1242">
        <f t="shared" si="5"/>
        <v>2220.65</v>
      </c>
      <c r="S22" s="1243">
        <f t="shared" si="5"/>
        <v>762.34</v>
      </c>
    </row>
    <row r="23" spans="1:19">
      <c r="A23" s="2251"/>
      <c r="B23" s="50" t="s">
        <v>1944</v>
      </c>
      <c r="C23" s="60" t="str">
        <f>'数据-基础表'!Q11</f>
        <v>公寓</v>
      </c>
      <c r="D23" s="48">
        <f>ROUND($D$3*E23/$E$3,2)</f>
        <v>0</v>
      </c>
      <c r="E23" s="56">
        <f>SUM(F23:G23)</f>
        <v>0</v>
      </c>
      <c r="F23" s="61">
        <f>'数据-基础表'!Q5</f>
        <v>0</v>
      </c>
      <c r="G23" s="62"/>
      <c r="H23" s="720">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20">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9119.9</v>
      </c>
      <c r="E27" s="1389">
        <f>IF(SUM(E19:E26)='数据-基础表'!BA5,SUM(E19:E26),IF(F27="地上面积有误","面积有误","地下面积有误"))</f>
        <v>3130.82</v>
      </c>
      <c r="F27" s="1388">
        <f>IF(SUM(F19:F26)=E8,SUM(F19:F26),"地上面积有误")</f>
        <v>3130.82</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9119.9</v>
      </c>
      <c r="S27" s="1242">
        <f>IF(SUM(S19:S26)=$E$3,SUM(S19:S26),SUM(S19:S26)&amp;"误差"&amp;ROUND(SUM(S19:S26)-E3,2))</f>
        <v>3130.82</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6">
        <f>D27+D30</f>
        <v>9119.9</v>
      </c>
      <c r="E31" s="726">
        <f>E27+E30</f>
        <v>3130.82</v>
      </c>
      <c r="F31" s="727">
        <f>F27+F30</f>
        <v>3130.82</v>
      </c>
      <c r="G31" s="728">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C11" sqref="C11"/>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9"/>
      <c r="C1" s="1576"/>
      <c r="D1" s="2261"/>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43110</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56444</v>
      </c>
      <c r="F6" s="72">
        <f>SUMIF(项目基本情况!D$12:I$12,C6,项目基本情况!D$15:I$15)</f>
        <v>36.53</v>
      </c>
      <c r="G6" s="73">
        <f>IF(ISERROR(ROUND(POWER(1+H6,D6-F6)*(POWER(1+H6,F6)-1)/(POWER(1+H6,D6)-1),3)),0,ROUND(POWER(1+H6,D6-F6)*(POWER(1+H6,F6)-1)/(POWER(1+H6,D6)-1),3))</f>
        <v>0.96899999999999997</v>
      </c>
      <c r="H6" s="799">
        <v>0.05</v>
      </c>
      <c r="I6" s="799">
        <v>5.5E-2</v>
      </c>
      <c r="J6" s="74">
        <v>8.5000000000000006E-2</v>
      </c>
      <c r="K6" s="1246">
        <f>SUMIF('数据-汇总表'!C$19:C$33,A6,'数据-汇总表'!E$19:E$33)</f>
        <v>2219.35</v>
      </c>
      <c r="L6" s="800">
        <v>5500</v>
      </c>
      <c r="M6" s="75">
        <f t="shared" ref="M6:M14" si="0">ROUND(K6*L6/10000,0)</f>
        <v>1221</v>
      </c>
      <c r="N6" s="798">
        <f>1-(2018-2014)/60</f>
        <v>0.93333333333333335</v>
      </c>
      <c r="O6" s="75" t="str">
        <f>IF($N$5="成新度","——",ROUND(M6*N6,0))</f>
        <v>——</v>
      </c>
      <c r="P6" s="76" t="str">
        <f>IF($N$5="成新度","——",M6-O6)</f>
        <v>——</v>
      </c>
      <c r="Q6" s="801">
        <v>0.4</v>
      </c>
      <c r="R6" s="77">
        <f ca="1">SUMIF('数据-汇总表'!C$19:C$33,A6,'数据-汇总表'!R$19:R$27)</f>
        <v>6464.84</v>
      </c>
      <c r="S6" s="54">
        <f>IF('数据-汇总表'!$I$17="按面积比例",SUMIF('数据-汇总表'!C$19:C$33,A6,'数据-汇总表'!K$19:K$33),SUMIF('数据-汇总表'!C$19:C$33,A6,'数据-汇总表'!N$19:N$33))</f>
        <v>0</v>
      </c>
      <c r="T6" s="1438">
        <f>ROUND($L$14*S6/10000,0)</f>
        <v>0</v>
      </c>
      <c r="U6" s="3008">
        <v>12</v>
      </c>
      <c r="V6" s="79">
        <v>0.03</v>
      </c>
      <c r="W6" s="79">
        <v>0.5</v>
      </c>
      <c r="X6" s="1256"/>
      <c r="Y6" s="80">
        <f>N6</f>
        <v>0.93333333333333335</v>
      </c>
      <c r="Z6" s="81"/>
      <c r="AA6" s="74"/>
      <c r="AB6" s="74"/>
      <c r="AC6" s="1256"/>
      <c r="AD6" s="82"/>
      <c r="AE6" s="1257">
        <f ca="1">IF(AN6="",0,SUMIF(INDIRECT("'"&amp;AN6&amp;"'"&amp;"!E:E"),$AE$5,INDIRECT("'"&amp;AN6&amp;"'"&amp;"!F:F")))</f>
        <v>36.53</v>
      </c>
      <c r="AF6" s="1799"/>
      <c r="AG6" s="144">
        <f>IF(AF6="",0,AE6-AF6)</f>
        <v>0</v>
      </c>
      <c r="AH6" s="83"/>
      <c r="AI6" s="85">
        <v>365</v>
      </c>
      <c r="AJ6" s="86"/>
      <c r="AK6" s="87">
        <v>2.5000000000000001E-2</v>
      </c>
      <c r="AL6" s="88">
        <v>3.0000000000000001E-3</v>
      </c>
      <c r="AM6" s="89">
        <v>0.03</v>
      </c>
      <c r="AN6" s="2297" t="s">
        <v>3051</v>
      </c>
      <c r="AO6" s="55">
        <f ca="1">SUMIF(INDIRECT("'"&amp;AN6&amp;"'"&amp;"!A:A"),"总价",INDIRECT("'"&amp;AN6&amp;"'"&amp;"!B:B"))</f>
        <v>8357</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1">IF(A7=0,"","经营性")</f>
        <v>经营性</v>
      </c>
      <c r="C7" s="2296" t="s">
        <v>1378</v>
      </c>
      <c r="D7" s="1046">
        <f>SUMIF(项目基本情况!D$12:I$12,C7,项目基本情况!D$14:I$14)</f>
        <v>40</v>
      </c>
      <c r="E7" s="1043">
        <f>IF(B7="","",SUMIF(项目基本情况!D$12:I$12,C7,项目基本情况!D$13:I$13))</f>
        <v>56444</v>
      </c>
      <c r="F7" s="72">
        <f>SUMIF(项目基本情况!D$12:I$12,C7,项目基本情况!D$15:I$15)</f>
        <v>36.53</v>
      </c>
      <c r="G7" s="73">
        <f t="shared" ref="G7:G11" si="2">IF(ISERROR(ROUND(POWER(1+H7,D7-F7)*(POWER(1+H7,F7)-1)/(POWER(1+H7,D7)-1),3)),0,ROUND(POWER(1+H7,D7-F7)*(POWER(1+H7,F7)-1)/(POWER(1+H7,D7)-1),3))</f>
        <v>0.96899999999999997</v>
      </c>
      <c r="H7" s="799">
        <v>0.05</v>
      </c>
      <c r="I7" s="799">
        <v>5.5E-2</v>
      </c>
      <c r="J7" s="74">
        <v>8.5000000000000006E-2</v>
      </c>
      <c r="K7" s="1246">
        <f>SUMIF('数据-汇总表'!C$19:C$33,A7,'数据-汇总表'!E$19:E$33)</f>
        <v>0</v>
      </c>
      <c r="L7" s="800">
        <v>5500</v>
      </c>
      <c r="M7" s="75">
        <f t="shared" si="0"/>
        <v>0</v>
      </c>
      <c r="N7" s="798">
        <f t="shared" ref="N7:N11" si="3">1-(2018-2014)/60</f>
        <v>0.93333333333333335</v>
      </c>
      <c r="O7" s="75" t="str">
        <f t="shared" ref="O7:O14" si="4">IF($N$5="成新度","——",ROUND(M7*N7,0))</f>
        <v>——</v>
      </c>
      <c r="P7" s="76" t="str">
        <f t="shared" ref="P7:P14" si="5">IF($N$5="成新度","——",M7-O7)</f>
        <v>——</v>
      </c>
      <c r="Q7" s="801">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3008">
        <v>9</v>
      </c>
      <c r="V7" s="79">
        <v>0.03</v>
      </c>
      <c r="W7" s="79">
        <v>0.5</v>
      </c>
      <c r="X7" s="1256"/>
      <c r="Y7" s="80">
        <f t="shared" ref="Y7:Y10" si="7">N7</f>
        <v>0.93333333333333335</v>
      </c>
      <c r="Z7" s="81"/>
      <c r="AA7" s="74"/>
      <c r="AB7" s="74"/>
      <c r="AC7" s="1256"/>
      <c r="AD7" s="82"/>
      <c r="AE7" s="1257">
        <f t="shared" ref="AE7:AE13" ca="1" si="8">IF(AN7="",0,SUMIF(INDIRECT("'"&amp;AN7&amp;"'"&amp;"!E:E"),$AE$5,INDIRECT("'"&amp;AN7&amp;"'"&amp;"!F:F")))</f>
        <v>36.53</v>
      </c>
      <c r="AF7" s="1799"/>
      <c r="AG7" s="144">
        <f t="shared" ref="AG7:AG13" si="9">IF(AF7="",0,AE7-AF7)</f>
        <v>0</v>
      </c>
      <c r="AH7" s="83"/>
      <c r="AI7" s="85">
        <v>365</v>
      </c>
      <c r="AJ7" s="86"/>
      <c r="AK7" s="87">
        <v>2.5000000000000001E-2</v>
      </c>
      <c r="AL7" s="88">
        <v>3.0000000000000001E-3</v>
      </c>
      <c r="AM7" s="89">
        <v>0.03</v>
      </c>
      <c r="AN7" s="2297" t="s">
        <v>3052</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1"/>
        <v>经营性</v>
      </c>
      <c r="C8" s="2296" t="s">
        <v>1378</v>
      </c>
      <c r="D8" s="1046">
        <f>SUMIF(项目基本情况!D$12:I$12,C8,项目基本情况!D$14:I$14)</f>
        <v>40</v>
      </c>
      <c r="E8" s="1043">
        <f>IF(B8="","",SUMIF(项目基本情况!D$12:I$12,C8,项目基本情况!D$13:I$13))</f>
        <v>56444</v>
      </c>
      <c r="F8" s="72">
        <f>SUMIF(项目基本情况!D$12:I$12,C8,项目基本情况!D$15:I$15)</f>
        <v>36.53</v>
      </c>
      <c r="G8" s="73">
        <f t="shared" si="2"/>
        <v>0.96899999999999997</v>
      </c>
      <c r="H8" s="799">
        <v>0.05</v>
      </c>
      <c r="I8" s="799">
        <v>5.5E-2</v>
      </c>
      <c r="J8" s="74">
        <v>8.5000000000000006E-2</v>
      </c>
      <c r="K8" s="1246">
        <f>SUMIF('数据-汇总表'!C$19:C$33,A8,'数据-汇总表'!E$19:E$33)</f>
        <v>149.13</v>
      </c>
      <c r="L8" s="800">
        <v>5000</v>
      </c>
      <c r="M8" s="75">
        <f>ROUND(K8*L8/10000,0)</f>
        <v>75</v>
      </c>
      <c r="N8" s="798">
        <f t="shared" si="3"/>
        <v>0.93333333333333335</v>
      </c>
      <c r="O8" s="75" t="str">
        <f t="shared" si="4"/>
        <v>——</v>
      </c>
      <c r="P8" s="76" t="str">
        <f t="shared" si="5"/>
        <v>——</v>
      </c>
      <c r="Q8" s="801">
        <v>0.3</v>
      </c>
      <c r="R8" s="77">
        <f ca="1">SUMIF('数据-汇总表'!C$19:C$33,A8,'数据-汇总表'!R$19:R$27)</f>
        <v>434.41</v>
      </c>
      <c r="S8" s="54">
        <f>IF('数据-汇总表'!$I$17="按面积比例",SUMIF('数据-汇总表'!C$19:C$33,A8,'数据-汇总表'!K$19:K$33),SUMIF('数据-汇总表'!C$19:C$33,A8,'数据-汇总表'!N$19:N$33))</f>
        <v>0</v>
      </c>
      <c r="T8" s="1438">
        <f t="shared" si="6"/>
        <v>0</v>
      </c>
      <c r="U8" s="3009">
        <v>8.5</v>
      </c>
      <c r="V8" s="802">
        <v>0.03</v>
      </c>
      <c r="W8" s="802">
        <v>0.5</v>
      </c>
      <c r="X8" s="1256"/>
      <c r="Y8" s="80">
        <f t="shared" si="7"/>
        <v>0.93333333333333335</v>
      </c>
      <c r="Z8" s="81"/>
      <c r="AA8" s="74"/>
      <c r="AB8" s="74"/>
      <c r="AC8" s="1256"/>
      <c r="AD8" s="82"/>
      <c r="AE8" s="1257">
        <f t="shared" ca="1" si="8"/>
        <v>36.53</v>
      </c>
      <c r="AF8" s="1799"/>
      <c r="AG8" s="144">
        <f t="shared" si="9"/>
        <v>0</v>
      </c>
      <c r="AH8" s="803"/>
      <c r="AI8" s="85">
        <v>365</v>
      </c>
      <c r="AJ8" s="86"/>
      <c r="AK8" s="87">
        <v>2.5000000000000001E-2</v>
      </c>
      <c r="AL8" s="88">
        <v>3.0000000000000001E-3</v>
      </c>
      <c r="AM8" s="89">
        <v>0.03</v>
      </c>
      <c r="AN8" s="2297" t="s">
        <v>3053</v>
      </c>
      <c r="AO8" s="55">
        <f t="shared" ca="1" si="10"/>
        <v>373</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1"/>
        <v>经营性</v>
      </c>
      <c r="C9" s="2296" t="s">
        <v>1378</v>
      </c>
      <c r="D9" s="1046">
        <f>SUMIF(项目基本情况!D$12:I$12,C9,项目基本情况!D$14:I$14)</f>
        <v>40</v>
      </c>
      <c r="E9" s="1043">
        <f>IF(B9="","",SUMIF(项目基本情况!D$12:I$12,C9,项目基本情况!D$13:I$13))</f>
        <v>56444</v>
      </c>
      <c r="F9" s="72">
        <f>SUMIF(项目基本情况!D$12:I$12,C9,项目基本情况!D$15:I$15)</f>
        <v>36.53</v>
      </c>
      <c r="G9" s="73">
        <f t="shared" si="2"/>
        <v>0.96899999999999997</v>
      </c>
      <c r="H9" s="799">
        <v>0.05</v>
      </c>
      <c r="I9" s="799">
        <v>5.5E-2</v>
      </c>
      <c r="J9" s="74">
        <v>8.5000000000000006E-2</v>
      </c>
      <c r="K9" s="1246">
        <f>SUMIF('数据-汇总表'!C$19:C$33,A9,'数据-汇总表'!E$19:E$33)</f>
        <v>762.34</v>
      </c>
      <c r="L9" s="800">
        <v>5000</v>
      </c>
      <c r="M9" s="75">
        <f t="shared" si="0"/>
        <v>381</v>
      </c>
      <c r="N9" s="798">
        <f t="shared" si="3"/>
        <v>0.93333333333333335</v>
      </c>
      <c r="O9" s="75" t="str">
        <f t="shared" si="4"/>
        <v>——</v>
      </c>
      <c r="P9" s="76" t="str">
        <f t="shared" si="5"/>
        <v>——</v>
      </c>
      <c r="Q9" s="90">
        <v>0.25</v>
      </c>
      <c r="R9" s="77">
        <f ca="1">SUMIF('数据-汇总表'!C$19:C$33,A9,'数据-汇总表'!R$19:R$27)</f>
        <v>2220.65</v>
      </c>
      <c r="S9" s="54">
        <f>IF('数据-汇总表'!$I$17="按面积比例",SUMIF('数据-汇总表'!C$19:C$33,A9,'数据-汇总表'!K$19:K$33),SUMIF('数据-汇总表'!C$19:C$33,A9,'数据-汇总表'!N$19:N$33))</f>
        <v>0</v>
      </c>
      <c r="T9" s="1438">
        <f t="shared" si="6"/>
        <v>0</v>
      </c>
      <c r="U9" s="3008">
        <v>8</v>
      </c>
      <c r="V9" s="79">
        <v>0.03</v>
      </c>
      <c r="W9" s="79">
        <v>0.5</v>
      </c>
      <c r="X9" s="1256"/>
      <c r="Y9" s="80">
        <f t="shared" si="7"/>
        <v>0.93333333333333335</v>
      </c>
      <c r="Z9" s="81"/>
      <c r="AA9" s="74"/>
      <c r="AB9" s="74"/>
      <c r="AC9" s="1256"/>
      <c r="AD9" s="82"/>
      <c r="AE9" s="1257">
        <f t="shared" ca="1" si="8"/>
        <v>36.53</v>
      </c>
      <c r="AF9" s="1799"/>
      <c r="AG9" s="144">
        <f t="shared" si="9"/>
        <v>0</v>
      </c>
      <c r="AH9" s="83"/>
      <c r="AI9" s="85">
        <v>365</v>
      </c>
      <c r="AJ9" s="86"/>
      <c r="AK9" s="87">
        <v>2.5000000000000001E-2</v>
      </c>
      <c r="AL9" s="88">
        <v>3.0000000000000001E-3</v>
      </c>
      <c r="AM9" s="89">
        <v>0.03</v>
      </c>
      <c r="AN9" s="2297" t="s">
        <v>3054</v>
      </c>
      <c r="AO9" s="55">
        <f t="shared" ca="1" si="10"/>
        <v>1797</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1"/>
        <v>经营性</v>
      </c>
      <c r="C10" s="2296" t="s">
        <v>1378</v>
      </c>
      <c r="D10" s="1046">
        <f>SUMIF(项目基本情况!D$12:I$12,C10,项目基本情况!D$14:I$14)</f>
        <v>40</v>
      </c>
      <c r="E10" s="1043">
        <f>IF(B10="","",SUMIF(项目基本情况!D$12:I$12,C10,项目基本情况!D$13:I$13))</f>
        <v>56444</v>
      </c>
      <c r="F10" s="72">
        <f>SUMIF(项目基本情况!D$12:I$12,C10,项目基本情况!D$15:I$15)</f>
        <v>36.53</v>
      </c>
      <c r="G10" s="73">
        <f t="shared" si="2"/>
        <v>0.96899999999999997</v>
      </c>
      <c r="H10" s="799">
        <v>0.05</v>
      </c>
      <c r="I10" s="799">
        <v>5.5E-2</v>
      </c>
      <c r="J10" s="74">
        <v>8.5000000000000006E-2</v>
      </c>
      <c r="K10" s="1246">
        <f>SUMIF('数据-汇总表'!C$19:C$33,A10,'数据-汇总表'!E$19:E$33)</f>
        <v>0</v>
      </c>
      <c r="L10" s="800">
        <v>5000</v>
      </c>
      <c r="M10" s="75">
        <f t="shared" si="0"/>
        <v>0</v>
      </c>
      <c r="N10" s="798">
        <f t="shared" si="3"/>
        <v>0.93333333333333335</v>
      </c>
      <c r="O10" s="75" t="str">
        <f t="shared" si="4"/>
        <v>——</v>
      </c>
      <c r="P10" s="76" t="str">
        <f t="shared" si="5"/>
        <v>——</v>
      </c>
      <c r="Q10" s="90">
        <v>0.2</v>
      </c>
      <c r="R10" s="77">
        <f ca="1">SUMIF('数据-汇总表'!C$19:C$33,A10,'数据-汇总表'!R$19:R$27)</f>
        <v>0</v>
      </c>
      <c r="S10" s="54">
        <f>IF('数据-汇总表'!$I$17="按面积比例",SUMIF('数据-汇总表'!C$19:C$33,A10,'数据-汇总表'!K$19:K$33),SUMIF('数据-汇总表'!C$19:C$33,A10,'数据-汇总表'!N$19:N$33))</f>
        <v>0</v>
      </c>
      <c r="T10" s="1438">
        <f t="shared" si="6"/>
        <v>0</v>
      </c>
      <c r="U10" s="3008">
        <v>7</v>
      </c>
      <c r="V10" s="79">
        <v>0.03</v>
      </c>
      <c r="W10" s="79">
        <v>0.5</v>
      </c>
      <c r="X10" s="1256"/>
      <c r="Y10" s="80">
        <f t="shared" si="7"/>
        <v>0.93333333333333335</v>
      </c>
      <c r="Z10" s="81"/>
      <c r="AA10" s="74"/>
      <c r="AB10" s="74"/>
      <c r="AC10" s="1256"/>
      <c r="AD10" s="82"/>
      <c r="AE10" s="1257">
        <f t="shared" ca="1" si="8"/>
        <v>36.53</v>
      </c>
      <c r="AF10" s="1799"/>
      <c r="AG10" s="144">
        <f t="shared" si="9"/>
        <v>0</v>
      </c>
      <c r="AH10" s="83"/>
      <c r="AI10" s="85">
        <v>365</v>
      </c>
      <c r="AJ10" s="86"/>
      <c r="AK10" s="87">
        <v>2.5000000000000001E-2</v>
      </c>
      <c r="AL10" s="88">
        <v>3.0000000000000001E-3</v>
      </c>
      <c r="AM10" s="89">
        <v>0.03</v>
      </c>
      <c r="AN10" s="2297" t="s">
        <v>3055</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1"/>
        <v>经营性</v>
      </c>
      <c r="C11" s="2296" t="s">
        <v>1378</v>
      </c>
      <c r="D11" s="1046">
        <f>SUMIF(项目基本情况!D$12:I$12,C11,项目基本情况!D$14:I$14)</f>
        <v>40</v>
      </c>
      <c r="E11" s="1043">
        <f>IF(B11="","",SUMIF(项目基本情况!D$12:I$12,C11,项目基本情况!D$13:I$13))</f>
        <v>56444</v>
      </c>
      <c r="F11" s="72">
        <f>SUMIF(项目基本情况!D$12:I$12,C11,项目基本情况!D$15:I$15)</f>
        <v>36.53</v>
      </c>
      <c r="G11" s="73">
        <f t="shared" si="2"/>
        <v>0.96899999999999997</v>
      </c>
      <c r="H11" s="799">
        <v>0.05</v>
      </c>
      <c r="I11" s="799">
        <v>5.5E-2</v>
      </c>
      <c r="J11" s="74">
        <v>8.5000000000000006E-2</v>
      </c>
      <c r="K11" s="1246">
        <f>SUMIF('数据-汇总表'!C$19:C$33,A11,'数据-汇总表'!E$19:E$33)</f>
        <v>0</v>
      </c>
      <c r="L11" s="91">
        <v>4000</v>
      </c>
      <c r="M11" s="75">
        <f t="shared" si="0"/>
        <v>0</v>
      </c>
      <c r="N11" s="798">
        <f t="shared" si="3"/>
        <v>0.93333333333333335</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3008">
        <v>5</v>
      </c>
      <c r="V11" s="74">
        <v>2.5000000000000001E-2</v>
      </c>
      <c r="W11" s="74">
        <v>0.5</v>
      </c>
      <c r="X11" s="1256"/>
      <c r="Y11" s="80">
        <f>N11</f>
        <v>0.93333333333333335</v>
      </c>
      <c r="Z11" s="93"/>
      <c r="AA11" s="74"/>
      <c r="AB11" s="74"/>
      <c r="AC11" s="1256"/>
      <c r="AD11" s="82"/>
      <c r="AE11" s="1257">
        <f t="shared" ca="1" si="8"/>
        <v>36.53</v>
      </c>
      <c r="AF11" s="1799"/>
      <c r="AG11" s="144">
        <f t="shared" si="9"/>
        <v>0</v>
      </c>
      <c r="AH11" s="83"/>
      <c r="AI11" s="85">
        <v>365</v>
      </c>
      <c r="AJ11" s="86"/>
      <c r="AK11" s="87">
        <v>0.02</v>
      </c>
      <c r="AL11" s="88">
        <v>2E-3</v>
      </c>
      <c r="AM11" s="89">
        <v>0.02</v>
      </c>
      <c r="AN11" s="2297" t="s">
        <v>3056</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1"/>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0.05</v>
      </c>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4">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1"/>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0.05</v>
      </c>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4">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4"/>
      <c r="AH14" s="1257"/>
      <c r="AI14" s="1810"/>
      <c r="AJ14" s="770"/>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0"/>
      <c r="AJ15" s="770"/>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0.96899999999999997</v>
      </c>
      <c r="H16" s="96">
        <f>ROUND(SUMPRODUCT(H6:H13,K6:K13)/SUMPRODUCT((H6:H13&gt;0)*(K6:K13)),3)</f>
        <v>0.05</v>
      </c>
      <c r="I16" s="97"/>
      <c r="J16" s="97"/>
      <c r="K16" s="98">
        <f>SUM(K6:K15)</f>
        <v>3130.82</v>
      </c>
      <c r="L16" s="99">
        <f>ROUND(M16*10000/SUM(K6:K14),0)</f>
        <v>5356</v>
      </c>
      <c r="M16" s="99">
        <f>SUM(M6:M14)</f>
        <v>1677</v>
      </c>
      <c r="N16" s="100">
        <f>ROUND(SUMPRODUCT(M6:M14,N6:N14)/M16,3)</f>
        <v>0.93300000000000005</v>
      </c>
      <c r="O16" s="99">
        <f>SUM(O6:O14)</f>
        <v>0</v>
      </c>
      <c r="P16" s="99">
        <f>SUM(P6:P14)</f>
        <v>0</v>
      </c>
      <c r="Q16" s="101">
        <f>ROUND(SUMPRODUCT(Q6:Q13,K6:K13)/SUMPRODUCT((Q6:Q13&gt;0)*(K6:K13)),2)</f>
        <v>0.36</v>
      </c>
      <c r="R16" s="1250">
        <f ca="1">SUM(R6:R13)</f>
        <v>9119.9</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6"/>
      <c r="D17" s="2261"/>
      <c r="E17" s="2261"/>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110">
        <v>1.5</v>
      </c>
      <c r="C20" s="2265" t="s">
        <v>2005</v>
      </c>
      <c r="D20" s="2266"/>
      <c r="E20" s="2265"/>
      <c r="F20" s="2265"/>
      <c r="G20" s="2265"/>
      <c r="H20" s="2265"/>
      <c r="I20" s="2265"/>
      <c r="J20" s="2265"/>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110">
        <v>1.5</v>
      </c>
      <c r="C21" s="2265"/>
      <c r="D21" s="2266"/>
      <c r="E21" s="2265"/>
      <c r="F21" s="2265"/>
      <c r="G21" s="2265"/>
      <c r="H21" s="2265"/>
      <c r="I21" s="2265"/>
      <c r="J21" s="2265"/>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1">
        <f>B19+B20</f>
        <v>1.5</v>
      </c>
      <c r="C22" s="2265"/>
      <c r="D22" s="2266"/>
      <c r="E22" s="2265"/>
      <c r="F22" s="2265"/>
      <c r="G22" s="2265"/>
      <c r="H22" s="2265"/>
      <c r="I22" s="2265"/>
      <c r="J22" s="2265"/>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1">
        <f>B19+B21</f>
        <v>1.5</v>
      </c>
      <c r="C23" s="2265"/>
      <c r="D23" s="2266"/>
      <c r="E23" s="2265"/>
      <c r="F23" s="2265"/>
      <c r="G23" s="2265"/>
      <c r="H23" s="2265"/>
      <c r="I23" s="2265"/>
      <c r="J23" s="2265"/>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2">
        <f>B20-B21</f>
        <v>0</v>
      </c>
      <c r="C24" s="2265"/>
      <c r="D24" s="2266"/>
      <c r="E24" s="2265"/>
      <c r="F24" s="2265"/>
      <c r="G24" s="2265"/>
      <c r="H24" s="2265"/>
      <c r="I24" s="2265"/>
      <c r="J24" s="2265"/>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3">
        <v>148</v>
      </c>
      <c r="C27" s="2948" t="s">
        <v>3059</v>
      </c>
      <c r="D27" s="2311"/>
      <c r="E27" s="1422"/>
      <c r="F27" s="1422"/>
      <c r="G27" s="2265"/>
      <c r="H27" s="2265"/>
      <c r="I27" s="2265"/>
      <c r="J27" s="2265"/>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6">
        <v>97</v>
      </c>
      <c r="C28" s="2314"/>
      <c r="D28" s="2311"/>
      <c r="E28" s="1422"/>
      <c r="F28" s="1422"/>
      <c r="G28" s="2265"/>
      <c r="H28" s="2265"/>
      <c r="I28" s="2265"/>
      <c r="J28" s="2265"/>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8">
        <f ca="1">成本法!C10</f>
        <v>30</v>
      </c>
      <c r="C29" s="1759" t="s">
        <v>2016</v>
      </c>
      <c r="D29" s="2311"/>
      <c r="E29" s="1422"/>
      <c r="F29" s="1422"/>
      <c r="G29" s="2265"/>
      <c r="H29" s="2265"/>
      <c r="I29" s="2265"/>
      <c r="J29" s="2265"/>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1">
        <v>300</v>
      </c>
      <c r="C30" s="2314"/>
      <c r="D30" s="2311"/>
      <c r="E30" s="1422"/>
      <c r="F30" s="1422"/>
      <c r="G30" s="2265"/>
      <c r="H30" s="2265"/>
      <c r="I30" s="2265"/>
      <c r="J30" s="2265"/>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7">
        <f>B30-B32</f>
        <v>300</v>
      </c>
      <c r="C31" s="1759"/>
      <c r="D31" s="2311"/>
      <c r="E31" s="1422"/>
      <c r="F31" s="1422"/>
      <c r="G31" s="2265"/>
      <c r="H31" s="2265"/>
      <c r="I31" s="2265"/>
      <c r="J31" s="2265"/>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2">
        <v>0</v>
      </c>
      <c r="C32" s="2314"/>
      <c r="D32" s="2266"/>
      <c r="E32" s="2265"/>
      <c r="F32" s="2265"/>
      <c r="G32" s="2265"/>
      <c r="H32" s="2265"/>
      <c r="I32" s="2265"/>
      <c r="J32" s="2265"/>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3">
        <v>0.05</v>
      </c>
      <c r="C33" s="1758" t="s">
        <v>2021</v>
      </c>
      <c r="D33" s="2266"/>
      <c r="E33" s="2265"/>
      <c r="F33" s="2265"/>
      <c r="G33" s="2265"/>
      <c r="H33" s="2265"/>
      <c r="I33" s="2265"/>
      <c r="J33" s="2265"/>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9">
        <v>0</v>
      </c>
      <c r="C34" s="1758" t="s">
        <v>2023</v>
      </c>
      <c r="D34" s="2266" t="s">
        <v>2024</v>
      </c>
      <c r="E34" s="729"/>
      <c r="F34" s="2265"/>
      <c r="G34" s="2265"/>
      <c r="H34" s="2265"/>
      <c r="I34" s="2265"/>
      <c r="J34" s="2265"/>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6">
        <v>500</v>
      </c>
      <c r="C35" s="1758" t="s">
        <v>2026</v>
      </c>
      <c r="D35" s="2311"/>
      <c r="E35" s="1422"/>
      <c r="F35" s="1422"/>
      <c r="G35" s="2265"/>
      <c r="H35" s="2265"/>
      <c r="I35" s="2265"/>
      <c r="J35" s="2265"/>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20">
        <v>1.4999999999999999E-2</v>
      </c>
      <c r="C36" s="1758" t="s">
        <v>2028</v>
      </c>
      <c r="D36" s="2266"/>
      <c r="E36" s="2265"/>
      <c r="F36" s="2265"/>
      <c r="G36" s="2265"/>
      <c r="H36" s="2265"/>
      <c r="I36" s="2265"/>
      <c r="J36" s="2265"/>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1">
        <v>0.02</v>
      </c>
      <c r="C37" s="1758" t="s">
        <v>2030</v>
      </c>
      <c r="D37" s="2266"/>
      <c r="E37" s="2265"/>
      <c r="F37" s="2265"/>
      <c r="G37" s="2265"/>
      <c r="H37" s="2265"/>
      <c r="I37" s="2265"/>
      <c r="J37" s="2265"/>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9">
        <v>0.05</v>
      </c>
      <c r="C38" s="1758" t="s">
        <v>2030</v>
      </c>
      <c r="D38" s="2266"/>
      <c r="E38" s="2265"/>
      <c r="F38" s="2265"/>
      <c r="G38" s="2265"/>
      <c r="H38" s="2265"/>
      <c r="I38" s="2265"/>
      <c r="J38" s="2265"/>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9">
        <f ca="1">存贷款利率!I1</f>
        <v>1.4999999999999999E-2</v>
      </c>
      <c r="C39" s="1758"/>
      <c r="D39" s="2266"/>
      <c r="E39" s="2265"/>
      <c r="F39" s="2265"/>
      <c r="G39" s="2265"/>
      <c r="H39" s="2265"/>
      <c r="I39" s="2265"/>
      <c r="J39" s="2265"/>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4.7500000000000001E-2</v>
      </c>
      <c r="C40" s="1758" t="s">
        <v>2034</v>
      </c>
      <c r="D40" s="1576"/>
      <c r="E40" s="2266"/>
      <c r="F40" s="2265"/>
      <c r="G40" s="2265"/>
      <c r="H40" s="2265"/>
      <c r="I40" s="2265"/>
      <c r="J40" s="2265"/>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2">
        <f>B42+B43</f>
        <v>5.5000000000000007E-2</v>
      </c>
      <c r="C41" s="1759"/>
      <c r="D41" s="1576"/>
      <c r="E41" s="2266"/>
      <c r="F41" s="2265"/>
      <c r="G41" s="2265"/>
      <c r="H41" s="2265"/>
      <c r="I41" s="2265"/>
      <c r="J41" s="2265"/>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3">
        <v>0.05</v>
      </c>
      <c r="C42" s="2319">
        <f>IF(B2&lt;DATE(2016,5,1),0,B42)</f>
        <v>0.05</v>
      </c>
      <c r="D42" s="2266"/>
      <c r="E42" s="2265"/>
      <c r="F42" s="2265"/>
      <c r="G42" s="2265"/>
      <c r="H42" s="2265"/>
      <c r="I42" s="2265"/>
      <c r="J42" s="2265"/>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4">
        <f>B42*(B44+B45+B46)+B47</f>
        <v>5.000000000000001E-3</v>
      </c>
      <c r="C43" s="1759"/>
      <c r="D43" s="2266"/>
      <c r="E43" s="2265"/>
      <c r="F43" s="2265"/>
      <c r="G43" s="2265"/>
      <c r="H43" s="2265"/>
      <c r="I43" s="2265"/>
      <c r="J43" s="2265"/>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5">
        <v>0.05</v>
      </c>
      <c r="C44" s="1758" t="s">
        <v>2039</v>
      </c>
      <c r="D44" s="2266"/>
      <c r="E44" s="2265"/>
      <c r="F44" s="2265"/>
      <c r="G44" s="2265"/>
      <c r="H44" s="2265"/>
      <c r="I44" s="2265"/>
      <c r="J44" s="2265"/>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3">
        <v>0.03</v>
      </c>
      <c r="C45" s="1759" t="s">
        <v>2041</v>
      </c>
      <c r="D45" s="2266"/>
      <c r="E45" s="2265"/>
      <c r="F45" s="2265"/>
      <c r="G45" s="2265"/>
      <c r="H45" s="2265"/>
      <c r="I45" s="2265"/>
      <c r="J45" s="2265"/>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3">
        <v>0.02</v>
      </c>
      <c r="C46" s="1759" t="s">
        <v>2043</v>
      </c>
      <c r="D46" s="2266"/>
      <c r="E46" s="2265"/>
      <c r="F46" s="2265"/>
      <c r="G46" s="2265"/>
      <c r="H46" s="2265"/>
      <c r="I46" s="2265"/>
      <c r="J46" s="2265"/>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6">
        <v>0</v>
      </c>
      <c r="C47" s="1759" t="s">
        <v>2045</v>
      </c>
      <c r="D47" s="2266"/>
      <c r="E47" s="2265"/>
      <c r="F47" s="2265"/>
      <c r="G47" s="2265"/>
      <c r="H47" s="2265"/>
      <c r="I47" s="2265"/>
      <c r="J47" s="2265"/>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7">
        <v>0.04</v>
      </c>
      <c r="C48" s="1766" t="s">
        <v>2047</v>
      </c>
      <c r="D48" s="2266"/>
      <c r="E48" s="2265"/>
      <c r="F48" s="2265"/>
      <c r="G48" s="2265"/>
      <c r="H48" s="2265"/>
      <c r="I48" s="2265"/>
      <c r="J48" s="2265"/>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3">
        <v>5.0000000000000001E-4</v>
      </c>
      <c r="C49" s="1766" t="s">
        <v>2049</v>
      </c>
      <c r="D49" s="2266"/>
      <c r="E49" s="2265"/>
      <c r="F49" s="2265"/>
      <c r="G49" s="2265"/>
      <c r="H49" s="2265"/>
      <c r="I49" s="2265"/>
      <c r="J49" s="2265"/>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8">
        <v>1.2E-2</v>
      </c>
      <c r="C50" s="1422"/>
      <c r="D50" s="2266"/>
      <c r="E50" s="2265"/>
      <c r="F50" s="2265"/>
      <c r="G50" s="2265"/>
      <c r="H50" s="2265"/>
      <c r="I50" s="2265"/>
      <c r="J50" s="2265"/>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9">
        <v>0.12</v>
      </c>
      <c r="C51" s="1422"/>
      <c r="D51" s="2266"/>
      <c r="E51" s="2265"/>
      <c r="F51" s="2265"/>
      <c r="G51" s="2265"/>
      <c r="H51" s="2265"/>
      <c r="I51" s="2265"/>
      <c r="J51" s="2265"/>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30">
        <f>SUMIF(A54:A63,B53,B54:B63)</f>
        <v>4</v>
      </c>
      <c r="C52" s="1422"/>
      <c r="D52" s="2266"/>
      <c r="E52" s="2265"/>
      <c r="F52" s="2265"/>
      <c r="G52" s="2265"/>
      <c r="H52" s="2265"/>
      <c r="I52" s="2265"/>
      <c r="J52" s="2265"/>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1"/>
      <c r="C63" s="2265"/>
      <c r="D63" s="2266"/>
      <c r="E63" s="2265"/>
      <c r="F63" s="2265"/>
      <c r="G63" s="2265"/>
      <c r="H63" s="2265"/>
      <c r="I63" s="2265"/>
      <c r="J63" s="2265"/>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109" t="s">
        <v>2066</v>
      </c>
      <c r="B1" s="3110"/>
      <c r="C1" s="3110"/>
      <c r="D1" s="3110"/>
      <c r="E1" s="3110"/>
      <c r="F1" s="3110"/>
      <c r="G1" s="3110"/>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2" t="s">
        <v>2069</v>
      </c>
      <c r="B3" s="1263" t="s">
        <v>2070</v>
      </c>
      <c r="C3" s="2358" t="s">
        <v>2071</v>
      </c>
      <c r="D3" s="2359"/>
      <c r="E3" s="428" t="s">
        <v>2069</v>
      </c>
      <c r="F3" s="2360" t="s">
        <v>2072</v>
      </c>
      <c r="G3" s="2361" t="s">
        <v>2073</v>
      </c>
      <c r="H3" s="2356"/>
      <c r="I3" s="2356"/>
      <c r="J3" s="2356"/>
      <c r="K3" s="2356"/>
      <c r="L3" s="2356"/>
      <c r="M3" s="2356"/>
      <c r="N3" s="2356"/>
      <c r="O3" s="2356"/>
      <c r="P3" s="2356"/>
      <c r="Q3" s="2356"/>
      <c r="R3" s="2356"/>
    </row>
    <row r="4" spans="1:29" ht="41.25">
      <c r="A4" s="428"/>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8"/>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8"/>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8"/>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8"/>
      <c r="B8" s="1790" t="s">
        <v>2083</v>
      </c>
      <c r="C8" s="2364" t="s">
        <v>2084</v>
      </c>
      <c r="D8" s="2365"/>
      <c r="E8" s="2365"/>
      <c r="F8" s="1128"/>
      <c r="G8" s="1128"/>
      <c r="H8" s="2356"/>
      <c r="I8" s="2356"/>
      <c r="J8" s="2356"/>
      <c r="K8" s="2356"/>
      <c r="L8" s="2356"/>
      <c r="M8" s="2356"/>
      <c r="N8" s="2356"/>
      <c r="O8" s="2356"/>
      <c r="P8" s="2356"/>
      <c r="Q8" s="2356"/>
      <c r="R8" s="2356"/>
    </row>
    <row r="9" spans="1:29" ht="27">
      <c r="A9" s="428"/>
      <c r="B9" s="1790" t="s">
        <v>2087</v>
      </c>
      <c r="C9" s="2362" t="s">
        <v>2088</v>
      </c>
      <c r="D9" s="2359"/>
      <c r="E9" s="2365"/>
      <c r="F9" s="1128"/>
      <c r="G9" s="1128"/>
      <c r="H9" s="2356"/>
      <c r="I9" s="2356"/>
      <c r="J9" s="2356"/>
      <c r="K9" s="2356"/>
      <c r="L9" s="2356"/>
      <c r="M9" s="2356"/>
      <c r="N9" s="2356"/>
      <c r="O9" s="2356"/>
      <c r="P9" s="2356"/>
      <c r="Q9" s="2356"/>
      <c r="R9" s="2356"/>
    </row>
    <row r="10" spans="1:29" s="114"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4"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2" t="str">
        <f>G3</f>
        <v>估价对象位于XX开发区，园区建设成熟度XX，产业集聚程度XX</v>
      </c>
    </row>
    <row r="16" spans="1:29" ht="42.75">
      <c r="A16" s="642"/>
      <c r="B16" s="2393" t="s">
        <v>2074</v>
      </c>
      <c r="C16" s="2394" t="str">
        <f>C4</f>
        <v>估价对象位于XX商圈，周边商业氛围成熟，人流量大，商业繁华度好</v>
      </c>
      <c r="D16" s="2359"/>
      <c r="E16" s="2395"/>
      <c r="F16" s="2396" t="s">
        <v>2076</v>
      </c>
      <c r="G16" s="133" t="str">
        <f>G4</f>
        <v>估价对象周边道路状况、公共交通通达情况、停车便捷程度，综合评价交通便捷度较好</v>
      </c>
    </row>
    <row r="17" spans="1:18" ht="42.75">
      <c r="A17" s="642"/>
      <c r="B17" s="2393" t="s">
        <v>2078</v>
      </c>
      <c r="C17" s="2394" t="str">
        <f>C5</f>
        <v>估价对象位于XX商圈，周边办公楼项目较多，入驻率高，办公集聚程度较好</v>
      </c>
      <c r="D17" s="2365"/>
      <c r="E17" s="2395"/>
      <c r="F17" s="2396" t="s">
        <v>2096</v>
      </c>
      <c r="G17" s="1564"/>
    </row>
    <row r="18" spans="1:18" ht="57">
      <c r="A18" s="642"/>
      <c r="B18" s="2396" t="s">
        <v>2082</v>
      </c>
      <c r="C18" s="133" t="str">
        <f>C6</f>
        <v>估价对象周边道路状况、公共交通通达情况、停车便捷程度，综合评价交通便捷度较好</v>
      </c>
      <c r="D18" s="2365"/>
      <c r="E18" s="2395"/>
      <c r="F18" s="2396" t="s">
        <v>2085</v>
      </c>
      <c r="G18" s="133" t="str">
        <f>G7</f>
        <v>该园区内是否有污染型企业，绿化情况，卫生条件，整体环境状况判断</v>
      </c>
    </row>
    <row r="19" spans="1:18" ht="28.5">
      <c r="A19" s="642"/>
      <c r="B19" s="2396" t="s">
        <v>2097</v>
      </c>
      <c r="C19" s="1564"/>
      <c r="D19" s="2359"/>
      <c r="E19" s="2395"/>
      <c r="F19" s="1790" t="s">
        <v>2080</v>
      </c>
      <c r="G19" s="133" t="str">
        <f>G5</f>
        <v>估价对象所在区域公共配套设施齐备情况</v>
      </c>
    </row>
    <row r="20" spans="1:18" ht="28.5">
      <c r="A20" s="642"/>
      <c r="B20" s="2396" t="s">
        <v>2098</v>
      </c>
      <c r="C20" s="2394" t="str">
        <f>C9</f>
        <v>区域自然环境：；人文环境；综合评价环境状况一般</v>
      </c>
      <c r="D20" s="2365"/>
      <c r="E20" s="2395"/>
      <c r="F20" s="1790" t="s">
        <v>2099</v>
      </c>
      <c r="G20" s="133" t="str">
        <f>G6</f>
        <v>估价对象所在区域基础设施水平</v>
      </c>
    </row>
    <row r="21" spans="1:18" ht="28.5">
      <c r="A21" s="642"/>
      <c r="B21" s="1790" t="s">
        <v>2080</v>
      </c>
      <c r="C21" s="133" t="str">
        <f>C7</f>
        <v>估价对象所在区域公共配套设施齐备情况</v>
      </c>
      <c r="D21" s="2359"/>
      <c r="E21" s="2395"/>
      <c r="F21" s="2396" t="s">
        <v>2100</v>
      </c>
      <c r="G21" s="2397"/>
    </row>
    <row r="22" spans="1:18" ht="13.5" customHeight="1">
      <c r="A22" s="642"/>
      <c r="B22" s="1790" t="s">
        <v>2083</v>
      </c>
      <c r="C22" s="133" t="str">
        <f>C8</f>
        <v>估价对象所在区域基础设施水平</v>
      </c>
      <c r="D22" s="2359"/>
      <c r="E22" s="2395"/>
      <c r="F22" s="2396" t="s">
        <v>2089</v>
      </c>
      <c r="G22" s="1564"/>
    </row>
    <row r="23" spans="1:18" s="2356" customFormat="1" ht="15.75" thickBot="1">
      <c r="A23" s="642"/>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4">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workbookViewId="0">
      <selection activeCell="C22" sqref="C22"/>
    </sheetView>
  </sheetViews>
  <sheetFormatPr defaultRowHeight="13.5"/>
  <cols>
    <col min="1" max="1" width="23.375" style="1733" customWidth="1"/>
    <col min="2" max="9" width="15.75" style="1733" customWidth="1"/>
    <col min="10" max="16384" width="9" style="1733"/>
  </cols>
  <sheetData>
    <row r="1" spans="1:10" ht="16.5">
      <c r="A1" s="1738" t="s">
        <v>1366</v>
      </c>
      <c r="B1" s="1738">
        <f>SUM(B14:B26)</f>
        <v>297487.46999999997</v>
      </c>
      <c r="C1" s="1737"/>
      <c r="D1" s="1737"/>
      <c r="E1" s="1737"/>
      <c r="F1" s="1737"/>
      <c r="G1" s="1735"/>
    </row>
    <row r="2" spans="1:10" ht="16.5">
      <c r="A2" s="1738" t="s">
        <v>1354</v>
      </c>
      <c r="B2" s="1738">
        <f>SUM(C14:C26)</f>
        <v>280717.38</v>
      </c>
      <c r="C2" s="1737"/>
      <c r="D2" s="1737"/>
      <c r="E2" s="1737"/>
      <c r="F2" s="1737"/>
      <c r="G2" s="1735"/>
    </row>
    <row r="3" spans="1:10" ht="16.5">
      <c r="A3" s="1738" t="s">
        <v>1363</v>
      </c>
      <c r="B3" s="1739">
        <f>项目基本情况!D3</f>
        <v>43110</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SUM(D14:D26)</f>
        <v>137216</v>
      </c>
      <c r="C5" s="1738">
        <f ca="1">ROUND(B5*10000/$B$1,0)</f>
        <v>4612</v>
      </c>
      <c r="D5" s="1738">
        <f ca="1">ROUND(B5*10000/$B$2,0)</f>
        <v>4888</v>
      </c>
      <c r="E5" s="1737"/>
      <c r="F5" s="1735"/>
      <c r="G5" s="1735"/>
    </row>
    <row r="6" spans="1:10" ht="16.5">
      <c r="A6" s="1738" t="s">
        <v>1357</v>
      </c>
      <c r="B6" s="1738">
        <f>SUM(G14:G26)</f>
        <v>0</v>
      </c>
      <c r="C6" s="1738">
        <f>ROUND(B6*10000/$B$1,0)</f>
        <v>0</v>
      </c>
      <c r="D6" s="1738">
        <f>ROUND(B6*10000/$B$2,0)</f>
        <v>0</v>
      </c>
      <c r="E6" s="1737"/>
      <c r="F6" s="1735"/>
      <c r="G6" s="1735"/>
    </row>
    <row r="7" spans="1:10" ht="16.5">
      <c r="A7" s="1738" t="s">
        <v>1365</v>
      </c>
      <c r="B7" s="1738">
        <f ca="1">SUM(H14:H26)</f>
        <v>137216</v>
      </c>
      <c r="C7" s="1738">
        <f ca="1">ROUND(B7*10000/$B$1,0)</f>
        <v>4612</v>
      </c>
      <c r="D7" s="1738">
        <f ca="1">ROUND(B7*10000/$B$2,0)</f>
        <v>4888</v>
      </c>
      <c r="E7" s="1737"/>
      <c r="F7" s="1735"/>
      <c r="G7" s="1735"/>
    </row>
    <row r="8" spans="1:10" ht="16.5">
      <c r="A8" s="1738" t="s">
        <v>1286</v>
      </c>
      <c r="B8" s="1738">
        <f>SUM(I14:I26)</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3130.82</v>
      </c>
      <c r="C14" s="1736">
        <f>结果表!C118</f>
        <v>9119.9</v>
      </c>
      <c r="D14" s="1736">
        <f ca="1">结果表!H118</f>
        <v>9146</v>
      </c>
      <c r="E14" s="1736">
        <f ca="1">ROUND(D14*10000/B14,0)</f>
        <v>29213</v>
      </c>
      <c r="F14" s="1736">
        <f ca="1">ROUND(D14*10000/C14,0)</f>
        <v>10029</v>
      </c>
      <c r="G14" s="1736" t="str">
        <f>结果表!D122</f>
        <v>——</v>
      </c>
      <c r="H14" s="1736">
        <f ca="1">结果表!D124</f>
        <v>9146</v>
      </c>
      <c r="I14" s="1736" t="str">
        <f>结果表!D126</f>
        <v>——</v>
      </c>
      <c r="J14" s="1735"/>
    </row>
    <row r="15" spans="1:10" ht="16.5">
      <c r="A15" s="1734" t="s">
        <v>1350</v>
      </c>
      <c r="B15" s="1741">
        <v>2041</v>
      </c>
      <c r="C15" s="1741">
        <v>3625.39</v>
      </c>
      <c r="D15" s="1741">
        <v>2865</v>
      </c>
      <c r="E15" s="1736">
        <f t="shared" ref="E15:E23" si="0">ROUND(D15*10000/B15,0)</f>
        <v>14037</v>
      </c>
      <c r="F15" s="1736">
        <f t="shared" ref="F15:F23" si="1">ROUND(D15*10000/C15,0)</f>
        <v>7903</v>
      </c>
      <c r="G15" s="1742"/>
      <c r="H15" s="1742">
        <f>D15</f>
        <v>2865</v>
      </c>
      <c r="I15" s="1741"/>
      <c r="J15" s="1735"/>
    </row>
    <row r="16" spans="1:10" ht="16.5">
      <c r="A16" s="1734" t="s">
        <v>1349</v>
      </c>
      <c r="B16" s="1741">
        <v>3309.4499999999994</v>
      </c>
      <c r="C16" s="1741">
        <v>5878.51</v>
      </c>
      <c r="D16" s="1741">
        <v>6417</v>
      </c>
      <c r="E16" s="1736">
        <f t="shared" si="0"/>
        <v>19390</v>
      </c>
      <c r="F16" s="1736">
        <f t="shared" si="1"/>
        <v>10916</v>
      </c>
      <c r="G16" s="1742"/>
      <c r="H16" s="1742">
        <f t="shared" ref="H16:H26" si="2">D16</f>
        <v>6417</v>
      </c>
      <c r="I16" s="1741"/>
    </row>
    <row r="17" spans="1:9" ht="16.5">
      <c r="A17" s="1734" t="s">
        <v>1348</v>
      </c>
      <c r="B17" s="1741">
        <v>114.06</v>
      </c>
      <c r="C17" s="1741">
        <v>570.29999999999995</v>
      </c>
      <c r="D17" s="1741">
        <v>97</v>
      </c>
      <c r="E17" s="1736">
        <f t="shared" si="0"/>
        <v>8504</v>
      </c>
      <c r="F17" s="1736">
        <f t="shared" si="1"/>
        <v>1701</v>
      </c>
      <c r="G17" s="1742"/>
      <c r="H17" s="1742">
        <f t="shared" si="2"/>
        <v>97</v>
      </c>
      <c r="I17" s="1741"/>
    </row>
    <row r="18" spans="1:9" ht="16.5">
      <c r="A18" s="1734" t="s">
        <v>1347</v>
      </c>
      <c r="B18" s="1741">
        <v>1011.49</v>
      </c>
      <c r="C18" s="1741">
        <v>2736.6</v>
      </c>
      <c r="D18" s="1741">
        <v>2920</v>
      </c>
      <c r="E18" s="1736">
        <f t="shared" si="0"/>
        <v>28868</v>
      </c>
      <c r="F18" s="1736">
        <f t="shared" si="1"/>
        <v>10670</v>
      </c>
      <c r="G18" s="1742"/>
      <c r="H18" s="1742">
        <f t="shared" si="2"/>
        <v>2920</v>
      </c>
      <c r="I18" s="1741"/>
    </row>
    <row r="19" spans="1:9" ht="16.5">
      <c r="A19" s="1734" t="s">
        <v>1346</v>
      </c>
      <c r="B19" s="1741">
        <v>585.65</v>
      </c>
      <c r="C19" s="1741">
        <v>159.69</v>
      </c>
      <c r="D19" s="1741">
        <v>1298</v>
      </c>
      <c r="E19" s="1736">
        <f t="shared" si="0"/>
        <v>22163</v>
      </c>
      <c r="F19" s="1736">
        <f t="shared" si="1"/>
        <v>81282</v>
      </c>
      <c r="G19" s="1742"/>
      <c r="H19" s="1742">
        <f t="shared" si="2"/>
        <v>1298</v>
      </c>
      <c r="I19" s="1741"/>
    </row>
    <row r="20" spans="1:9" ht="16.5">
      <c r="A20" s="1734" t="s">
        <v>1345</v>
      </c>
      <c r="B20" s="1741">
        <v>4050.6600000000003</v>
      </c>
      <c r="C20" s="1741">
        <v>7195.1</v>
      </c>
      <c r="D20" s="1741">
        <v>7114</v>
      </c>
      <c r="E20" s="1736">
        <f t="shared" si="0"/>
        <v>17563</v>
      </c>
      <c r="F20" s="1736">
        <f t="shared" si="1"/>
        <v>9887</v>
      </c>
      <c r="G20" s="1742"/>
      <c r="H20" s="1742">
        <f t="shared" si="2"/>
        <v>7114</v>
      </c>
      <c r="I20" s="1741"/>
    </row>
    <row r="21" spans="1:9" ht="16.5">
      <c r="A21" s="1734" t="s">
        <v>1344</v>
      </c>
      <c r="B21" s="1741">
        <v>21299.930000000026</v>
      </c>
      <c r="C21" s="1741">
        <v>37834.620000000003</v>
      </c>
      <c r="D21" s="1741">
        <v>25168</v>
      </c>
      <c r="E21" s="1736">
        <f t="shared" si="0"/>
        <v>11816</v>
      </c>
      <c r="F21" s="1736">
        <f t="shared" si="1"/>
        <v>6652</v>
      </c>
      <c r="G21" s="1742"/>
      <c r="H21" s="1742">
        <f t="shared" si="2"/>
        <v>25168</v>
      </c>
      <c r="I21" s="1741"/>
    </row>
    <row r="22" spans="1:9" ht="16.5">
      <c r="A22" s="1734" t="s">
        <v>1343</v>
      </c>
      <c r="B22" s="1741">
        <v>8929.7099999999991</v>
      </c>
      <c r="C22" s="1741">
        <v>42522.46</v>
      </c>
      <c r="D22" s="1741">
        <v>8503</v>
      </c>
      <c r="E22" s="1736">
        <f t="shared" si="0"/>
        <v>9522</v>
      </c>
      <c r="F22" s="1736">
        <f t="shared" si="1"/>
        <v>2000</v>
      </c>
      <c r="G22" s="1742"/>
      <c r="H22" s="1742">
        <f t="shared" si="2"/>
        <v>8503</v>
      </c>
      <c r="I22" s="1741"/>
    </row>
    <row r="23" spans="1:9" ht="16.5">
      <c r="A23" s="1734" t="s">
        <v>1342</v>
      </c>
      <c r="B23" s="1741">
        <v>2646.3</v>
      </c>
      <c r="C23" s="1741">
        <v>3528.41</v>
      </c>
      <c r="D23" s="1741">
        <v>1291</v>
      </c>
      <c r="E23" s="1736">
        <f t="shared" si="0"/>
        <v>4879</v>
      </c>
      <c r="F23" s="1736">
        <f t="shared" si="1"/>
        <v>3659</v>
      </c>
      <c r="G23" s="1742"/>
      <c r="H23" s="1742">
        <f t="shared" si="2"/>
        <v>1291</v>
      </c>
      <c r="I23" s="1741"/>
    </row>
    <row r="24" spans="1:9" ht="16.5">
      <c r="A24" s="1734" t="s">
        <v>3392</v>
      </c>
      <c r="B24" s="1741">
        <v>225555.99</v>
      </c>
      <c r="C24" s="1741">
        <v>138377.91</v>
      </c>
      <c r="D24" s="1741">
        <v>48251</v>
      </c>
      <c r="E24" s="1736">
        <f t="shared" ref="E24:E26" si="3">ROUND(D24*10000/B24,0)</f>
        <v>2139</v>
      </c>
      <c r="F24" s="1736">
        <f t="shared" ref="F24:F26" si="4">ROUND(D24*10000/C24,0)</f>
        <v>3487</v>
      </c>
      <c r="G24" s="1742"/>
      <c r="H24" s="1742">
        <f t="shared" si="2"/>
        <v>48251</v>
      </c>
      <c r="I24" s="1741"/>
    </row>
    <row r="25" spans="1:9" ht="16.5">
      <c r="A25" s="1734" t="s">
        <v>3393</v>
      </c>
      <c r="B25" s="1741">
        <v>16605.409999999996</v>
      </c>
      <c r="C25" s="1741">
        <v>17443.560000000001</v>
      </c>
      <c r="D25" s="1741">
        <v>20763</v>
      </c>
      <c r="E25" s="1736">
        <f t="shared" si="3"/>
        <v>12504</v>
      </c>
      <c r="F25" s="1736">
        <f t="shared" si="4"/>
        <v>11903</v>
      </c>
      <c r="G25" s="1742"/>
      <c r="H25" s="1742">
        <f t="shared" si="2"/>
        <v>20763</v>
      </c>
      <c r="I25" s="1741"/>
    </row>
    <row r="26" spans="1:9" ht="16.5">
      <c r="A26" s="1734" t="s">
        <v>3394</v>
      </c>
      <c r="B26" s="1741">
        <v>8207</v>
      </c>
      <c r="C26" s="1741">
        <v>11724.93</v>
      </c>
      <c r="D26" s="1741">
        <v>3383</v>
      </c>
      <c r="E26" s="1736">
        <f t="shared" si="3"/>
        <v>4122</v>
      </c>
      <c r="F26" s="1736">
        <f t="shared" si="4"/>
        <v>2885</v>
      </c>
      <c r="G26" s="1742"/>
      <c r="H26" s="1742">
        <f t="shared" si="2"/>
        <v>3383</v>
      </c>
      <c r="I26" s="1741"/>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2103</v>
      </c>
      <c r="B1" s="2407"/>
      <c r="C1" s="2408"/>
      <c r="D1" s="2407"/>
      <c r="E1" s="2407"/>
      <c r="F1" s="2409" t="s">
        <v>2104</v>
      </c>
      <c r="G1" s="2061" t="s">
        <v>3266</v>
      </c>
      <c r="H1" s="2410" t="str">
        <f>IF(G1="现房","——","估价对象范围")</f>
        <v>——</v>
      </c>
      <c r="I1" s="2411" t="s">
        <v>3267</v>
      </c>
    </row>
    <row r="2" spans="1:12" ht="21.75" customHeight="1" thickBot="1">
      <c r="A2" s="3183" t="str">
        <f>项目基本情况!S2</f>
        <v>河北省秦皇岛市北戴河新区黄金海岸中区、沿海公路东侧、通海路南侧、扬水站北侧房地产</v>
      </c>
      <c r="B2" s="3184"/>
      <c r="C2" s="3184"/>
      <c r="D2" s="3184"/>
      <c r="E2" s="3184"/>
      <c r="F2" s="3184"/>
      <c r="G2" s="3184"/>
      <c r="H2" s="3184"/>
      <c r="I2" s="3185"/>
    </row>
    <row r="3" spans="1:12" ht="12.75">
      <c r="A3" s="3186" t="s">
        <v>2105</v>
      </c>
      <c r="B3" s="3187"/>
      <c r="C3" s="3187"/>
      <c r="D3" s="3187"/>
      <c r="E3" s="3187"/>
      <c r="F3" s="3187"/>
      <c r="G3" s="3187"/>
      <c r="H3" s="3187"/>
      <c r="I3" s="3187"/>
    </row>
    <row r="4" spans="1:12" ht="14.25">
      <c r="A4" s="2414" t="s">
        <v>2106</v>
      </c>
      <c r="B4" s="2415" t="s">
        <v>2107</v>
      </c>
      <c r="C4" s="2416" t="s">
        <v>3264</v>
      </c>
      <c r="D4" s="2416" t="s">
        <v>3265</v>
      </c>
      <c r="E4" s="3167" t="s">
        <v>2108</v>
      </c>
      <c r="F4" s="3180"/>
      <c r="G4" s="3180"/>
      <c r="H4" s="3180"/>
      <c r="I4" s="3168"/>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58" t="s">
        <v>2109</v>
      </c>
      <c r="B5" s="3080">
        <v>25</v>
      </c>
      <c r="C5" s="3188"/>
      <c r="D5" s="3176"/>
      <c r="E5" s="137" t="s">
        <v>2110</v>
      </c>
      <c r="F5" s="2418"/>
      <c r="G5" s="2418"/>
      <c r="H5" s="2418"/>
      <c r="I5" s="1826"/>
    </row>
    <row r="6" spans="1:12" ht="12.75">
      <c r="A6" s="3158"/>
      <c r="B6" s="3080"/>
      <c r="C6" s="3190"/>
      <c r="D6" s="3176"/>
      <c r="E6" s="137" t="s">
        <v>2111</v>
      </c>
      <c r="F6" s="2418"/>
      <c r="G6" s="2418"/>
      <c r="H6" s="2418"/>
      <c r="I6" s="1826"/>
    </row>
    <row r="7" spans="1:12" ht="12.75">
      <c r="A7" s="3158"/>
      <c r="B7" s="3080"/>
      <c r="C7" s="3189"/>
      <c r="D7" s="3176"/>
      <c r="E7" s="137" t="s">
        <v>2112</v>
      </c>
      <c r="F7" s="2418"/>
      <c r="G7" s="2418"/>
      <c r="H7" s="2418"/>
      <c r="I7" s="1826"/>
    </row>
    <row r="8" spans="1:12" ht="12.75">
      <c r="A8" s="3158" t="s">
        <v>2113</v>
      </c>
      <c r="B8" s="3080">
        <v>15</v>
      </c>
      <c r="C8" s="3188"/>
      <c r="D8" s="3176"/>
      <c r="E8" s="137" t="s">
        <v>2114</v>
      </c>
      <c r="F8" s="2418"/>
      <c r="G8" s="2418"/>
      <c r="H8" s="2418"/>
      <c r="I8" s="1826"/>
    </row>
    <row r="9" spans="1:12" ht="12.75">
      <c r="A9" s="3158"/>
      <c r="B9" s="3080"/>
      <c r="C9" s="3189"/>
      <c r="D9" s="3176"/>
      <c r="E9" s="137" t="s">
        <v>2115</v>
      </c>
      <c r="F9" s="2418"/>
      <c r="G9" s="2418"/>
      <c r="H9" s="2418"/>
      <c r="I9" s="1826"/>
    </row>
    <row r="10" spans="1:12" ht="12.75">
      <c r="A10" s="3158" t="s">
        <v>2116</v>
      </c>
      <c r="B10" s="3080">
        <v>15</v>
      </c>
      <c r="C10" s="3188"/>
      <c r="D10" s="3176"/>
      <c r="E10" s="137" t="s">
        <v>2117</v>
      </c>
      <c r="F10" s="2418"/>
      <c r="G10" s="2418"/>
      <c r="H10" s="2418"/>
      <c r="I10" s="1826"/>
    </row>
    <row r="11" spans="1:12" ht="12.75">
      <c r="A11" s="3158"/>
      <c r="B11" s="3080"/>
      <c r="C11" s="3189"/>
      <c r="D11" s="3176"/>
      <c r="E11" s="137" t="s">
        <v>2118</v>
      </c>
      <c r="F11" s="2418"/>
      <c r="G11" s="2418"/>
      <c r="H11" s="2418"/>
      <c r="I11" s="1826"/>
    </row>
    <row r="12" spans="1:12" ht="12.75">
      <c r="A12" s="3158" t="s">
        <v>2119</v>
      </c>
      <c r="B12" s="3080">
        <v>15</v>
      </c>
      <c r="C12" s="3188"/>
      <c r="D12" s="3176"/>
      <c r="E12" s="137" t="s">
        <v>2120</v>
      </c>
      <c r="F12" s="2418"/>
      <c r="G12" s="2418"/>
      <c r="H12" s="2418"/>
      <c r="I12" s="1826"/>
    </row>
    <row r="13" spans="1:12" ht="12.75">
      <c r="A13" s="3158"/>
      <c r="B13" s="3080"/>
      <c r="C13" s="3189"/>
      <c r="D13" s="3176"/>
      <c r="E13" s="137" t="s">
        <v>2121</v>
      </c>
      <c r="F13" s="2418"/>
      <c r="G13" s="2418"/>
      <c r="H13" s="2418"/>
      <c r="I13" s="1826"/>
    </row>
    <row r="14" spans="1:12" ht="12.75">
      <c r="A14" s="3158" t="s">
        <v>2122</v>
      </c>
      <c r="B14" s="3080">
        <v>30</v>
      </c>
      <c r="C14" s="3188">
        <v>3</v>
      </c>
      <c r="D14" s="3176">
        <v>7</v>
      </c>
      <c r="E14" s="137" t="s">
        <v>2123</v>
      </c>
      <c r="F14" s="2418"/>
      <c r="G14" s="2418"/>
      <c r="H14" s="2418"/>
      <c r="I14" s="1826"/>
    </row>
    <row r="15" spans="1:12" ht="12.75">
      <c r="A15" s="3158"/>
      <c r="B15" s="3080"/>
      <c r="C15" s="3190"/>
      <c r="D15" s="3176"/>
      <c r="E15" s="137" t="s">
        <v>2124</v>
      </c>
      <c r="F15" s="2418"/>
      <c r="G15" s="2418"/>
      <c r="H15" s="2418"/>
      <c r="I15" s="1826"/>
    </row>
    <row r="16" spans="1:12" ht="12.75">
      <c r="A16" s="3158"/>
      <c r="B16" s="3080"/>
      <c r="C16" s="3189"/>
      <c r="D16" s="3176"/>
      <c r="E16" s="137" t="s">
        <v>2125</v>
      </c>
      <c r="F16" s="2418"/>
      <c r="G16" s="2418"/>
      <c r="H16" s="2418"/>
      <c r="I16" s="1826"/>
    </row>
    <row r="17" spans="1:35" ht="15">
      <c r="A17" s="2419" t="s">
        <v>2126</v>
      </c>
      <c r="B17" s="64"/>
      <c r="C17" s="138">
        <f>SUM(C5:C16)</f>
        <v>3</v>
      </c>
      <c r="D17" s="138">
        <f>SUM(D5:D16)</f>
        <v>7</v>
      </c>
      <c r="E17" s="135"/>
      <c r="F17" s="135"/>
      <c r="G17" s="135"/>
      <c r="H17" s="135"/>
      <c r="I17" s="135"/>
      <c r="K17" s="2417"/>
      <c r="L17" s="2420" t="s">
        <v>2127</v>
      </c>
      <c r="M17" s="2420" t="s">
        <v>2128</v>
      </c>
    </row>
    <row r="18" spans="1:35" ht="15.75" thickBot="1">
      <c r="A18" s="2421" t="s">
        <v>2129</v>
      </c>
      <c r="B18" s="2422"/>
      <c r="C18" s="139">
        <f>ROUND(C17/SUM(C17:D17),2)</f>
        <v>0.3</v>
      </c>
      <c r="D18" s="139">
        <f>1-C18</f>
        <v>0.7</v>
      </c>
      <c r="E18" s="135"/>
      <c r="F18" s="135"/>
      <c r="G18" s="135"/>
      <c r="H18" s="135"/>
      <c r="I18" s="135"/>
      <c r="K18" s="2417" t="s">
        <v>2130</v>
      </c>
      <c r="L18" s="2417">
        <f>IF(C1="",'数据-汇总表'!E3,SUMIF(项目类型,C1,'数据-汇总表'!E17:E26)+SUMIF(项目类型,C1,'数据-汇总表'!I17:I26))</f>
        <v>3130.82</v>
      </c>
      <c r="M18" s="2417">
        <f>IF(C1="",'数据-汇总表'!E3,SUMIF(项目类型,C1,'数据-汇总表'!E17:E26))</f>
        <v>3130.82</v>
      </c>
    </row>
    <row r="19" spans="1:35" ht="15">
      <c r="A19" s="2423" t="s">
        <v>2131</v>
      </c>
      <c r="B19" s="2424" t="s">
        <v>2132</v>
      </c>
      <c r="C19" s="140">
        <f ca="1">SUMIF(INDIRECT("'"&amp;C4&amp;"'"&amp;"!A:A"),结果表!B19,INDIRECT("'"&amp;C4&amp;"'"&amp;"!B:B"))</f>
        <v>5925</v>
      </c>
      <c r="D19" s="141">
        <f ca="1">SUMIF(INDIRECT("'"&amp;D4&amp;"'"&amp;"!A:A"),结果表!B19,INDIRECT("'"&amp;D4&amp;"'"&amp;"!B:B"))</f>
        <v>10527</v>
      </c>
      <c r="E19" s="2423" t="s">
        <v>2133</v>
      </c>
      <c r="F19" s="2424" t="s">
        <v>2132</v>
      </c>
      <c r="G19" s="142">
        <f ca="1">ROUND(C19*$C$18+D19*$D$18,0)</f>
        <v>9146</v>
      </c>
      <c r="H19" s="2425" t="s">
        <v>2134</v>
      </c>
      <c r="I19" s="135"/>
      <c r="K19" s="2417" t="s">
        <v>2135</v>
      </c>
      <c r="L19" s="2417">
        <f>IF(C1="",'数据-汇总表'!D3,SUMIF(项目类型,C1,'数据-汇总表'!D17:D26)+SUMIF(项目类型,C1,'数据-汇总表'!H17:H27))</f>
        <v>9119.9</v>
      </c>
      <c r="M19" s="2417">
        <f>IF(C1="",'数据-汇总表'!D3,SUMIF(项目类型,C1,'数据-汇总表'!D17:D26))</f>
        <v>9119.9</v>
      </c>
    </row>
    <row r="20" spans="1:35" ht="15">
      <c r="A20" s="2426"/>
      <c r="B20" s="1242" t="s">
        <v>2136</v>
      </c>
      <c r="C20" s="143">
        <f ca="1">SUMIF(INDIRECT("'"&amp;C4&amp;"'"&amp;"!A:A"),结果表!B20,INDIRECT("'"&amp;C4&amp;"'"&amp;"!B:B"))</f>
        <v>18925</v>
      </c>
      <c r="D20" s="144">
        <f ca="1">SUMIF(INDIRECT("'"&amp;D4&amp;"'"&amp;"!A:A"),结果表!B20,INDIRECT("'"&amp;D4&amp;"'"&amp;"!B:B"))</f>
        <v>33624</v>
      </c>
      <c r="E20" s="2426"/>
      <c r="F20" s="1242" t="s">
        <v>2136</v>
      </c>
      <c r="G20" s="145">
        <f ca="1">ROUND(C20*$C$18+D20*$D$18,0)</f>
        <v>29214</v>
      </c>
      <c r="H20" s="975" t="s">
        <v>2137</v>
      </c>
      <c r="I20" s="135"/>
    </row>
    <row r="21" spans="1:35" ht="15" customHeight="1" thickBot="1">
      <c r="A21" s="995"/>
      <c r="B21" s="2427" t="s">
        <v>2138</v>
      </c>
      <c r="C21" s="786">
        <f ca="1">ROUND(C19*10000/L19,0)</f>
        <v>6497</v>
      </c>
      <c r="D21" s="787">
        <f ca="1">ROUND(D19*10000/L19,0)</f>
        <v>11543</v>
      </c>
      <c r="E21" s="995"/>
      <c r="F21" s="2427" t="s">
        <v>2138</v>
      </c>
      <c r="G21" s="146">
        <f ca="1">ROUND(G19*10000/L19,0)</f>
        <v>10029</v>
      </c>
      <c r="H21" s="2428" t="s">
        <v>2137</v>
      </c>
      <c r="I21" s="135"/>
    </row>
    <row r="22" spans="1:35" ht="15" thickBot="1">
      <c r="A22" s="2269" t="s">
        <v>2139</v>
      </c>
      <c r="B22" s="2429"/>
      <c r="C22" s="2430"/>
      <c r="D22" s="788">
        <f ca="1">IF(C19&lt;D19,D19/C19-1,C19/D19-1)</f>
        <v>0.77670886075949364</v>
      </c>
      <c r="E22" s="135"/>
      <c r="F22" s="135"/>
      <c r="G22" s="135"/>
      <c r="H22" s="135"/>
      <c r="I22" s="135"/>
    </row>
    <row r="23" spans="1:35" ht="13.5" thickBot="1">
      <c r="A23" s="2407"/>
      <c r="B23" s="2407"/>
      <c r="C23" s="2407"/>
      <c r="D23" s="2407"/>
      <c r="E23" s="135"/>
      <c r="F23" s="135"/>
      <c r="G23" s="135"/>
      <c r="H23" s="135"/>
      <c r="I23" s="135"/>
    </row>
    <row r="24" spans="1:35" ht="14.25">
      <c r="A24" s="3197" t="s">
        <v>2140</v>
      </c>
      <c r="B24" s="2424" t="s">
        <v>2132</v>
      </c>
      <c r="C24" s="142">
        <f>IF(B30=0,0,D30)</f>
        <v>0</v>
      </c>
      <c r="D24" s="2431"/>
      <c r="E24" s="135"/>
      <c r="F24" s="135"/>
      <c r="G24" s="135"/>
      <c r="H24" s="135"/>
      <c r="I24" s="135"/>
    </row>
    <row r="25" spans="1:35" ht="14.25">
      <c r="A25" s="3198"/>
      <c r="B25" s="1242" t="s">
        <v>2136</v>
      </c>
      <c r="C25" s="147">
        <f>IF(B30=0,0,C30)</f>
        <v>0</v>
      </c>
      <c r="D25" s="2432"/>
      <c r="E25" s="135"/>
      <c r="F25" s="135"/>
      <c r="G25" s="135"/>
      <c r="H25" s="135"/>
      <c r="I25" s="135"/>
    </row>
    <row r="26" spans="1:35" ht="13.5" customHeight="1">
      <c r="A26" s="2433" t="s">
        <v>2141</v>
      </c>
      <c r="B26" s="148" t="s">
        <v>2142</v>
      </c>
      <c r="C26" s="148" t="s">
        <v>2143</v>
      </c>
      <c r="D26" s="149" t="s">
        <v>2144</v>
      </c>
      <c r="E26" s="135"/>
      <c r="F26" s="135"/>
      <c r="G26" s="135"/>
      <c r="H26" s="135"/>
      <c r="I26" s="135"/>
    </row>
    <row r="27" spans="1:35" ht="14.25">
      <c r="A27" s="2433"/>
      <c r="B27" s="148">
        <v>0</v>
      </c>
      <c r="C27" s="148">
        <v>0</v>
      </c>
      <c r="D27" s="149">
        <f>ROUND(C27*B27/10000,0)</f>
        <v>0</v>
      </c>
      <c r="E27" s="135"/>
      <c r="F27" s="135"/>
      <c r="G27" s="135"/>
      <c r="H27" s="135"/>
      <c r="I27" s="135"/>
    </row>
    <row r="28" spans="1:35" ht="14.25">
      <c r="A28" s="2433"/>
      <c r="B28" s="148"/>
      <c r="C28" s="148"/>
      <c r="D28" s="149"/>
      <c r="E28" s="135"/>
      <c r="F28" s="135"/>
      <c r="G28" s="135"/>
      <c r="H28" s="135"/>
      <c r="I28" s="135"/>
    </row>
    <row r="29" spans="1:35" ht="14.25">
      <c r="A29" s="2433"/>
      <c r="B29" s="148"/>
      <c r="C29" s="148"/>
      <c r="D29" s="149"/>
      <c r="E29" s="135"/>
      <c r="F29" s="135"/>
      <c r="G29" s="135"/>
      <c r="H29" s="135"/>
      <c r="I29" s="135"/>
    </row>
    <row r="30" spans="1:35" ht="14.25">
      <c r="A30" s="148" t="s">
        <v>2145</v>
      </c>
      <c r="B30" s="148"/>
      <c r="C30" s="148"/>
      <c r="D30" s="148"/>
      <c r="E30" s="2933" t="s">
        <v>3026</v>
      </c>
      <c r="F30" s="135"/>
      <c r="G30" s="135"/>
      <c r="H30" s="135"/>
      <c r="I30" s="135"/>
    </row>
    <row r="31" spans="1:35" s="2435" customFormat="1" ht="15" thickBot="1">
      <c r="A31" s="2434"/>
      <c r="B31" s="2434"/>
      <c r="C31" s="2434"/>
      <c r="D31" s="2434"/>
      <c r="E31" s="135"/>
      <c r="F31" s="135"/>
      <c r="G31" s="135"/>
      <c r="H31" s="135"/>
      <c r="I31" s="135"/>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2146</v>
      </c>
      <c r="B32" s="2437"/>
      <c r="C32" s="150">
        <f ca="1">IF(D32="总价",G19-C24,G20-C25)</f>
        <v>9146</v>
      </c>
      <c r="D32" s="2438" t="s">
        <v>2147</v>
      </c>
      <c r="E32" s="135"/>
      <c r="F32" s="135"/>
      <c r="G32" s="135"/>
      <c r="H32" s="135"/>
      <c r="I32" s="135"/>
    </row>
    <row r="33" spans="1:15" ht="15">
      <c r="A33" s="952" t="s">
        <v>2148</v>
      </c>
      <c r="B33" s="2439"/>
      <c r="C33" s="2440" t="s">
        <v>3381</v>
      </c>
      <c r="D33" s="2441" t="s">
        <v>3264</v>
      </c>
      <c r="E33" s="2442" t="s">
        <v>2149</v>
      </c>
      <c r="F33" s="2443" t="str">
        <f>IF(D32="楼面单价","取值（单价）","取值（总价）")</f>
        <v>取值（总价）</v>
      </c>
      <c r="G33" s="135"/>
      <c r="H33" s="135"/>
      <c r="I33" s="135"/>
    </row>
    <row r="34" spans="1:15" ht="15">
      <c r="A34" s="2444"/>
      <c r="B34" s="2445" t="s">
        <v>2150</v>
      </c>
      <c r="C34" s="154">
        <f ca="1">IF(C33="自定义",F34,C32-C35)</f>
        <v>4610</v>
      </c>
      <c r="D34" s="1050">
        <f ca="1">IF(C33="自定义",ROUND(C34/C32,3),IF(C33="收益比率",SUMIF(INDIRECT("'"&amp;D33&amp;"'"&amp;"!b:b"),"土地收益比率",INDIRECT("'"&amp;D33&amp;"'"&amp;"!c:c")),SUMIF(INDIRECT("'"&amp;D33&amp;"'"&amp;"!b:b"),"土地成本比率",INDIRECT("'"&amp;D33&amp;"'"&amp;"!c:c"))))</f>
        <v>0.504</v>
      </c>
      <c r="E34" s="2446" t="s">
        <v>2151</v>
      </c>
      <c r="F34" s="1731"/>
      <c r="G34" s="135"/>
      <c r="H34" s="135"/>
      <c r="I34" s="135"/>
    </row>
    <row r="35" spans="1:15" ht="15.75" thickBot="1">
      <c r="A35" s="2447"/>
      <c r="B35" s="2448" t="s">
        <v>2152</v>
      </c>
      <c r="C35" s="1436">
        <f ca="1">IF(C33="自定义",F35,ROUND(C32*D35,0))</f>
        <v>4536</v>
      </c>
      <c r="D35" s="1437">
        <f ca="1">IF(C33="自定义",ROUND(C35/C32,3),IF(C33="收益比率",SUMIF(INDIRECT("'"&amp;D33&amp;"'"&amp;"!b:b"),"建筑物收益比率",INDIRECT("'"&amp;D33&amp;"'"&amp;"!c:c")),SUMIF(INDIRECT("'"&amp;D33&amp;"'"&amp;"!b:b"),"建筑物成本比率",INDIRECT("'"&amp;D33&amp;"'"&amp;"!c:c"))))</f>
        <v>0.496</v>
      </c>
      <c r="E35" s="2449" t="s">
        <v>2153</v>
      </c>
      <c r="F35" s="160"/>
      <c r="G35" s="135"/>
      <c r="H35" s="135"/>
      <c r="I35" s="135"/>
    </row>
    <row r="36" spans="1:15" ht="15.75" thickBot="1">
      <c r="A36" s="3177" t="s">
        <v>2154</v>
      </c>
      <c r="B36" s="2450" t="s">
        <v>2155</v>
      </c>
      <c r="C36" s="151"/>
      <c r="D36" s="2451"/>
      <c r="E36" s="2452"/>
      <c r="F36" s="2453"/>
      <c r="G36" s="135"/>
      <c r="H36" s="135"/>
      <c r="I36" s="135"/>
    </row>
    <row r="37" spans="1:15" ht="15.75" thickBot="1">
      <c r="A37" s="3178"/>
      <c r="B37" s="2255" t="s">
        <v>2156</v>
      </c>
      <c r="C37" s="153"/>
      <c r="D37" s="1387"/>
      <c r="E37" s="1387"/>
      <c r="F37" s="2453"/>
      <c r="G37" s="135"/>
      <c r="H37" s="135"/>
      <c r="I37" s="135"/>
    </row>
    <row r="38" spans="1:15" ht="15.75" thickBot="1">
      <c r="A38" s="3179"/>
      <c r="B38" s="2454" t="s">
        <v>2157</v>
      </c>
      <c r="C38" s="724"/>
      <c r="D38" s="2455" t="s">
        <v>2158</v>
      </c>
      <c r="E38" s="1387"/>
      <c r="F38" s="2453"/>
      <c r="G38" s="135"/>
      <c r="H38" s="135"/>
      <c r="I38" s="135"/>
    </row>
    <row r="39" spans="1:15" ht="15">
      <c r="A39" s="2426" t="s">
        <v>2159</v>
      </c>
      <c r="B39" s="2456" t="s">
        <v>2160</v>
      </c>
      <c r="C39" s="2457" t="s">
        <v>2161</v>
      </c>
      <c r="D39" s="2457" t="s">
        <v>2162</v>
      </c>
      <c r="E39" s="2458" t="s">
        <v>2163</v>
      </c>
      <c r="F39" s="2453"/>
      <c r="G39" s="135"/>
      <c r="H39" s="135"/>
      <c r="I39" s="135"/>
    </row>
    <row r="40" spans="1:15" ht="14.25">
      <c r="A40" s="2459" t="s">
        <v>2164</v>
      </c>
      <c r="B40" s="155"/>
      <c r="C40" s="156"/>
      <c r="D40" s="156"/>
      <c r="E40" s="157"/>
      <c r="F40" s="2453"/>
      <c r="G40" s="135"/>
      <c r="H40" s="135"/>
      <c r="I40" s="135"/>
    </row>
    <row r="41" spans="1:15" ht="14.25">
      <c r="A41" s="2459" t="s">
        <v>2165</v>
      </c>
      <c r="B41" s="155"/>
      <c r="C41" s="156"/>
      <c r="D41" s="156"/>
      <c r="E41" s="157"/>
      <c r="F41" s="2453"/>
      <c r="G41" s="135"/>
      <c r="H41" s="135"/>
      <c r="I41" s="135"/>
    </row>
    <row r="42" spans="1:15" ht="15" thickBot="1">
      <c r="A42" s="2460"/>
      <c r="B42" s="158"/>
      <c r="C42" s="159"/>
      <c r="D42" s="159"/>
      <c r="E42" s="160"/>
      <c r="F42" s="2453"/>
      <c r="G42" s="135"/>
      <c r="H42" s="135"/>
      <c r="I42" s="135"/>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194" t="s">
        <v>2168</v>
      </c>
      <c r="B45" s="3195"/>
      <c r="C45" s="3196"/>
      <c r="D45" s="161">
        <f ca="1">ROUND(H101*F45,0)</f>
        <v>9146</v>
      </c>
      <c r="E45" s="162" t="s">
        <v>2169</v>
      </c>
      <c r="F45" s="163">
        <v>1</v>
      </c>
      <c r="G45" s="164" t="s">
        <v>2170</v>
      </c>
      <c r="H45" s="135"/>
      <c r="I45" s="135"/>
      <c r="J45" s="3113" t="s">
        <v>2171</v>
      </c>
      <c r="K45" s="3113"/>
      <c r="L45" s="3113"/>
      <c r="M45" s="3113"/>
      <c r="N45" s="3113"/>
      <c r="O45" s="3113"/>
    </row>
    <row r="46" spans="1:15" ht="14.25" hidden="1" customHeight="1">
      <c r="A46" s="3191" t="s">
        <v>2172</v>
      </c>
      <c r="B46" s="3192"/>
      <c r="C46" s="3192"/>
      <c r="D46" s="3192"/>
      <c r="E46" s="3192"/>
      <c r="F46" s="3192"/>
      <c r="G46" s="3193"/>
      <c r="H46" s="2469"/>
      <c r="I46" s="165"/>
      <c r="J46" s="1804">
        <v>1</v>
      </c>
      <c r="K46" s="3113" t="s">
        <v>2173</v>
      </c>
      <c r="L46" s="3113"/>
      <c r="M46" s="3114"/>
      <c r="N46" s="3114"/>
      <c r="O46" s="3114"/>
    </row>
    <row r="47" spans="1:15" ht="12" hidden="1" customHeight="1">
      <c r="A47" s="166" t="s">
        <v>2174</v>
      </c>
      <c r="B47" s="167"/>
      <c r="C47" s="168"/>
      <c r="D47" s="169" t="s">
        <v>2175</v>
      </c>
      <c r="E47" s="24" t="s">
        <v>2176</v>
      </c>
      <c r="F47" s="170" t="s">
        <v>2177</v>
      </c>
      <c r="G47" s="171" t="s">
        <v>2178</v>
      </c>
      <c r="H47" s="2469"/>
      <c r="I47" s="165"/>
      <c r="J47" s="1804">
        <v>2</v>
      </c>
      <c r="K47" s="3113" t="s">
        <v>2179</v>
      </c>
      <c r="L47" s="3113"/>
      <c r="M47" s="3115">
        <f>'数据-取费表'!B2</f>
        <v>43110</v>
      </c>
      <c r="N47" s="3115"/>
      <c r="O47" s="3115"/>
    </row>
    <row r="48" spans="1:15" ht="25.5" hidden="1">
      <c r="A48" s="3181" t="s">
        <v>2180</v>
      </c>
      <c r="B48" s="3182"/>
      <c r="C48" s="3182"/>
      <c r="D48" s="137">
        <f>IF(H48="情况1",0,IF(H48="情况2",D52,IF(H48="情况3",D53,IF(H48="情况4",D54))))</f>
        <v>0</v>
      </c>
      <c r="E48" s="1793" t="str">
        <f>IF(H48="情况4","(销售额-原购置价)×税（费）率","销售额×税（费）率")</f>
        <v>销售额×税（费）率</v>
      </c>
      <c r="F48" s="172" t="str">
        <f>IF(H48="情况1","免征",'数据-取费表'!B41)</f>
        <v>免征</v>
      </c>
      <c r="G48" s="2470" t="s">
        <v>2181</v>
      </c>
      <c r="H48" s="2471" t="s">
        <v>2182</v>
      </c>
      <c r="I48" s="2469"/>
      <c r="J48" s="1804">
        <v>3</v>
      </c>
      <c r="K48" s="3113" t="s">
        <v>2183</v>
      </c>
      <c r="L48" s="3113"/>
      <c r="M48" s="3116">
        <f ca="1">H101</f>
        <v>9146</v>
      </c>
      <c r="N48" s="3116"/>
      <c r="O48" s="3116"/>
    </row>
    <row r="49" spans="1:35" ht="25.5" hidden="1" customHeight="1">
      <c r="A49" s="173" t="s">
        <v>2184</v>
      </c>
      <c r="B49" s="3161" t="s">
        <v>2185</v>
      </c>
      <c r="C49" s="3161"/>
      <c r="D49" s="174">
        <v>0</v>
      </c>
      <c r="E49" s="23" t="s">
        <v>2186</v>
      </c>
      <c r="F49" s="28" t="s">
        <v>34</v>
      </c>
      <c r="G49" s="3142"/>
      <c r="H49" s="135"/>
      <c r="I49" s="2472"/>
      <c r="J49" s="1804">
        <v>4</v>
      </c>
      <c r="K49" s="3113" t="str">
        <f>IF(项目基本情况!E8="房地产抵押价值","房地产抵押价值","抵押担保权已注销时的房地产抵押价值")</f>
        <v>抵押担保权已注销时的房地产抵押价值</v>
      </c>
      <c r="L49" s="3113"/>
      <c r="M49" s="3116">
        <f ca="1">IF(项目基本情况!E8="房地产抵押价值",H107,H109)</f>
        <v>9146</v>
      </c>
      <c r="N49" s="3116"/>
      <c r="O49" s="3116"/>
    </row>
    <row r="50" spans="1:35" ht="25.5" hidden="1" customHeight="1">
      <c r="A50" s="175"/>
      <c r="B50" s="3161" t="s">
        <v>2187</v>
      </c>
      <c r="C50" s="3161"/>
      <c r="D50" s="176"/>
      <c r="E50" s="31"/>
      <c r="F50" s="177"/>
      <c r="G50" s="3143"/>
      <c r="H50" s="135"/>
      <c r="I50" s="2472"/>
      <c r="J50" s="3113" t="s">
        <v>2188</v>
      </c>
      <c r="K50" s="3113"/>
      <c r="L50" s="3113"/>
      <c r="M50" s="3113"/>
      <c r="N50" s="3113"/>
      <c r="O50" s="3113"/>
    </row>
    <row r="51" spans="1:35" ht="12" hidden="1" customHeight="1">
      <c r="A51" s="178"/>
      <c r="B51" s="3161" t="s">
        <v>2189</v>
      </c>
      <c r="C51" s="3161"/>
      <c r="D51" s="179"/>
      <c r="E51" s="30"/>
      <c r="F51" s="177"/>
      <c r="G51" s="3144"/>
      <c r="H51" s="135"/>
      <c r="I51" s="2472"/>
      <c r="J51" s="2473" t="s">
        <v>2190</v>
      </c>
      <c r="K51" s="3113" t="s">
        <v>2191</v>
      </c>
      <c r="L51" s="3113"/>
      <c r="M51" s="2473" t="s">
        <v>2192</v>
      </c>
      <c r="N51" s="2473" t="s">
        <v>2193</v>
      </c>
      <c r="O51" s="2473" t="s">
        <v>2194</v>
      </c>
    </row>
    <row r="52" spans="1:35" ht="24" hidden="1" customHeight="1">
      <c r="A52" s="180" t="s">
        <v>2195</v>
      </c>
      <c r="B52" s="3161" t="s">
        <v>2196</v>
      </c>
      <c r="C52" s="3161"/>
      <c r="D52" s="179">
        <f ca="1">ROUND(D45*'数据-取费表'!B41/(1+'数据-取费表'!C42),0)</f>
        <v>479</v>
      </c>
      <c r="E52" s="11" t="s">
        <v>2197</v>
      </c>
      <c r="F52" s="181">
        <f>'数据-取费表'!B41</f>
        <v>5.5000000000000007E-2</v>
      </c>
      <c r="G52" s="2474"/>
      <c r="H52" s="135"/>
      <c r="I52" s="2472"/>
      <c r="J52" s="1804">
        <v>1</v>
      </c>
      <c r="K52" s="3136" t="s">
        <v>2198</v>
      </c>
      <c r="L52" s="3136"/>
      <c r="M52" s="1746">
        <f>D48</f>
        <v>0</v>
      </c>
      <c r="N52" s="1804" t="str">
        <f>E48</f>
        <v>销售额×税（费）率</v>
      </c>
      <c r="O52" s="1747" t="str">
        <f>F48</f>
        <v>免征</v>
      </c>
    </row>
    <row r="53" spans="1:35" ht="12" hidden="1" customHeight="1">
      <c r="A53" s="180" t="s">
        <v>2199</v>
      </c>
      <c r="B53" s="3162" t="s">
        <v>2200</v>
      </c>
      <c r="C53" s="3163"/>
      <c r="D53" s="179">
        <f ca="1">ROUND(D45*'数据-取费表'!B41/(1+'数据-取费表'!C42),0)</f>
        <v>479</v>
      </c>
      <c r="E53" s="11" t="s">
        <v>2197</v>
      </c>
      <c r="F53" s="181">
        <f>'数据-取费表'!B41</f>
        <v>5.5000000000000007E-2</v>
      </c>
      <c r="G53" s="2474"/>
      <c r="H53" s="135"/>
      <c r="I53" s="2472"/>
      <c r="J53" s="1804">
        <v>2</v>
      </c>
      <c r="K53" s="3136" t="s">
        <v>2201</v>
      </c>
      <c r="L53" s="3136"/>
      <c r="M53" s="1746">
        <f t="shared" ref="M53:O54" ca="1" si="0">D55</f>
        <v>5</v>
      </c>
      <c r="N53" s="1804" t="str">
        <f t="shared" si="0"/>
        <v>销售额×税（费）率</v>
      </c>
      <c r="O53" s="1747">
        <f t="shared" si="0"/>
        <v>5.0000000000000001E-4</v>
      </c>
    </row>
    <row r="54" spans="1:35" ht="12" hidden="1" customHeight="1">
      <c r="A54" s="180" t="s">
        <v>2202</v>
      </c>
      <c r="B54" s="3162" t="s">
        <v>2203</v>
      </c>
      <c r="C54" s="3163"/>
      <c r="D54" s="179">
        <f ca="1">C68</f>
        <v>479</v>
      </c>
      <c r="E54" s="30" t="s">
        <v>2204</v>
      </c>
      <c r="F54" s="181">
        <f>'数据-取费表'!B41</f>
        <v>5.5000000000000007E-2</v>
      </c>
      <c r="G54" s="2474"/>
      <c r="H54" s="2475"/>
      <c r="I54" s="2472"/>
      <c r="J54" s="1804">
        <v>3</v>
      </c>
      <c r="K54" s="3136" t="s">
        <v>2205</v>
      </c>
      <c r="L54" s="3136"/>
      <c r="M54" s="1746">
        <f t="shared" ca="1" si="0"/>
        <v>5184</v>
      </c>
      <c r="N54" s="1804" t="str">
        <f t="shared" si="0"/>
        <v>增值额×税（费）率</v>
      </c>
      <c r="O54" s="1748" t="str">
        <f t="shared" si="0"/>
        <v>——</v>
      </c>
    </row>
    <row r="55" spans="1:35" ht="24" hidden="1" customHeight="1">
      <c r="A55" s="3200" t="s">
        <v>2206</v>
      </c>
      <c r="B55" s="3182"/>
      <c r="C55" s="3182"/>
      <c r="D55" s="182">
        <f ca="1">IF(H55="个人住宅",0,ROUND(D45*I55,0))</f>
        <v>5</v>
      </c>
      <c r="E55" s="11" t="s">
        <v>2207</v>
      </c>
      <c r="F55" s="181">
        <f>IF(H55="正常",I55,"免征")</f>
        <v>5.0000000000000001E-4</v>
      </c>
      <c r="G55" s="2474"/>
      <c r="H55" s="2471" t="s">
        <v>2208</v>
      </c>
      <c r="I55" s="183">
        <f>'数据-取费表'!B49</f>
        <v>5.0000000000000001E-4</v>
      </c>
      <c r="J55" s="1804" t="str">
        <f>IF(H59="非个人房产","",4)</f>
        <v/>
      </c>
      <c r="K55" s="3136" t="str">
        <f>IF(H59="非个人房产","——","个人所得税")</f>
        <v>——</v>
      </c>
      <c r="L55" s="3136"/>
      <c r="M55" s="1749" t="str">
        <f>D59</f>
        <v>——</v>
      </c>
      <c r="N55" s="1802" t="str">
        <f>E59</f>
        <v>——</v>
      </c>
      <c r="O55" s="1750" t="str">
        <f>F59</f>
        <v>——</v>
      </c>
    </row>
    <row r="56" spans="1:35" ht="24.75" hidden="1">
      <c r="A56" s="3200" t="s">
        <v>2209</v>
      </c>
      <c r="B56" s="3182"/>
      <c r="C56" s="3182"/>
      <c r="D56" s="182">
        <f ca="1">IF(H56="个人住宅",D57,D58)</f>
        <v>5184</v>
      </c>
      <c r="E56" s="11" t="s">
        <v>2210</v>
      </c>
      <c r="F56" s="181" t="str">
        <f>IF(H56="正常",F58,"免征")</f>
        <v>——</v>
      </c>
      <c r="G56" s="2476" t="s">
        <v>2211</v>
      </c>
      <c r="H56" s="2477" t="s">
        <v>2208</v>
      </c>
      <c r="I56" s="2478"/>
      <c r="J56" s="1804" t="str">
        <f>IF(项目基本情况!K6="上海银行",IF(J55="",4,J55+1),"")</f>
        <v/>
      </c>
      <c r="K56" s="3119" t="str">
        <f>IF(项目基本情况!K6="上海银行","其他处置费用","")</f>
        <v/>
      </c>
      <c r="L56" s="3120"/>
      <c r="M56" s="1746" t="str">
        <f>IF(项目基本情况!K6="上海银行",M69,"")</f>
        <v/>
      </c>
      <c r="N56" s="3122" t="str">
        <f>IF(项目基本情况!K6="上海银行","包含处置中涉及的律师、诉讼、拍卖、评估等费用","")</f>
        <v/>
      </c>
      <c r="O56" s="3123"/>
    </row>
    <row r="57" spans="1:35" ht="12.75" hidden="1">
      <c r="A57" s="180" t="s">
        <v>2184</v>
      </c>
      <c r="B57" s="3167" t="s">
        <v>2212</v>
      </c>
      <c r="C57" s="3168"/>
      <c r="D57" s="184">
        <v>0</v>
      </c>
      <c r="E57" s="23" t="s">
        <v>2186</v>
      </c>
      <c r="F57" s="152"/>
      <c r="G57" s="2474"/>
      <c r="H57" s="2478"/>
      <c r="I57" s="2478"/>
      <c r="J57" s="3136">
        <f>IF(AND(J55="",J56=""),4,IF(项目基本情况!K6="上海银行",结果表!J56+1,结果表!J55+1))</f>
        <v>4</v>
      </c>
      <c r="K57" s="3136" t="s">
        <v>2213</v>
      </c>
      <c r="L57" s="2479" t="s">
        <v>2214</v>
      </c>
      <c r="M57" s="1751"/>
      <c r="N57" s="1752">
        <f ca="1">SUMIF(M52:M56,"&lt;9e307")</f>
        <v>5189</v>
      </c>
      <c r="O57" s="2480"/>
      <c r="P57" s="1745">
        <f ca="1">N57/M49</f>
        <v>0.56735184780231795</v>
      </c>
    </row>
    <row r="58" spans="1:35" ht="24.75" hidden="1">
      <c r="A58" s="180" t="s">
        <v>2195</v>
      </c>
      <c r="B58" s="3167" t="s">
        <v>2215</v>
      </c>
      <c r="C58" s="3180"/>
      <c r="D58" s="182">
        <f ca="1">IF(H58="转让取得",C81,C97)</f>
        <v>5184</v>
      </c>
      <c r="E58" s="11" t="s">
        <v>2210</v>
      </c>
      <c r="F58" s="24" t="s">
        <v>34</v>
      </c>
      <c r="G58" s="2474"/>
      <c r="H58" s="2477" t="s">
        <v>2216</v>
      </c>
      <c r="I58" s="2478"/>
      <c r="J58" s="3136"/>
      <c r="K58" s="3136"/>
      <c r="L58" s="2479" t="s">
        <v>2217</v>
      </c>
      <c r="M58" s="1753"/>
      <c r="N58" s="2481" t="str">
        <f ca="1">NUMBERSTRING(INT(N57*10000),2)&amp;"元整"</f>
        <v>伍仟壹佰捌拾玖万元整</v>
      </c>
      <c r="O58" s="2482"/>
    </row>
    <row r="59" spans="1:35" ht="24.75" hidden="1" thickBot="1">
      <c r="A59" s="3140" t="s">
        <v>2218</v>
      </c>
      <c r="B59" s="3141"/>
      <c r="C59" s="3141"/>
      <c r="D59" s="185" t="str">
        <f>IF(H59="非个人房产","——",IF(H59="个人住宅",0,ROUND(D45*I59,0)))</f>
        <v>——</v>
      </c>
      <c r="E59" s="186" t="str">
        <f>IF(H59="非个人房产","——","销售额×税（费）率")</f>
        <v>——</v>
      </c>
      <c r="F59" s="187" t="str">
        <f>IF(H59="非个人房产","——",IF(H59="个人住宅","免征",I59))</f>
        <v>——</v>
      </c>
      <c r="G59" s="2483" t="s">
        <v>2211</v>
      </c>
      <c r="H59" s="2477" t="s">
        <v>2219</v>
      </c>
      <c r="I59" s="188">
        <v>0.01</v>
      </c>
      <c r="J59" s="3138">
        <f>J57+1</f>
        <v>5</v>
      </c>
      <c r="K59" s="3136" t="s">
        <v>2220</v>
      </c>
      <c r="L59" s="1804" t="s">
        <v>2214</v>
      </c>
      <c r="M59" s="1754"/>
      <c r="N59" s="1755">
        <f ca="1">M49-N57</f>
        <v>3957</v>
      </c>
      <c r="O59" s="2484"/>
    </row>
    <row r="60" spans="1:35" ht="12" hidden="1" customHeight="1">
      <c r="A60" s="2485"/>
      <c r="B60" s="2407"/>
      <c r="C60" s="2407"/>
      <c r="D60" s="2407"/>
      <c r="E60" s="2156"/>
      <c r="F60" s="2478"/>
      <c r="G60" s="2478"/>
      <c r="H60" s="2486"/>
      <c r="I60" s="135"/>
      <c r="J60" s="3139"/>
      <c r="K60" s="3136"/>
      <c r="L60" s="2479" t="s">
        <v>2217</v>
      </c>
      <c r="M60" s="1753"/>
      <c r="N60" s="2481" t="str">
        <f ca="1">NUMBERSTRING(INT(N59*10000),2)&amp;"元整"</f>
        <v>叁仟玖佰伍拾柒万元整</v>
      </c>
      <c r="O60" s="2482"/>
    </row>
    <row r="61" spans="1:35" ht="13.5" hidden="1" thickBot="1">
      <c r="A61" s="3199" t="s">
        <v>2221</v>
      </c>
      <c r="B61" s="3199"/>
      <c r="C61" s="3199"/>
      <c r="D61" s="3199"/>
      <c r="E61" s="3199"/>
      <c r="F61" s="2478"/>
      <c r="G61" s="2478"/>
      <c r="H61" s="2486"/>
      <c r="I61" s="135"/>
      <c r="J61" s="1804">
        <f>J59+1</f>
        <v>6</v>
      </c>
      <c r="K61" s="3136" t="s">
        <v>2222</v>
      </c>
      <c r="L61" s="3136"/>
      <c r="M61" s="1756"/>
      <c r="N61" s="1757">
        <f ca="1">ROUND(N59*10000/'数据-汇总表'!E3,0)</f>
        <v>12639</v>
      </c>
      <c r="O61" s="2487"/>
    </row>
    <row r="62" spans="1:35" ht="12.75" hidden="1">
      <c r="A62" s="3156" t="s">
        <v>2223</v>
      </c>
      <c r="B62" s="3157"/>
      <c r="C62" s="1796"/>
      <c r="D62" s="1796" t="s">
        <v>2224</v>
      </c>
      <c r="E62" s="189" t="s">
        <v>2225</v>
      </c>
      <c r="F62" s="2478"/>
      <c r="G62" s="2478"/>
      <c r="H62" s="2486"/>
      <c r="I62" s="135"/>
    </row>
    <row r="63" spans="1:35" ht="12.75" hidden="1">
      <c r="A63" s="200" t="s">
        <v>775</v>
      </c>
      <c r="B63" s="190" t="s">
        <v>2226</v>
      </c>
      <c r="C63" s="191">
        <f ca="1">ROUND((C64+C65)/(1+'数据-取费表'!C42),0)</f>
        <v>8710</v>
      </c>
      <c r="D63" s="192"/>
      <c r="E63" s="193"/>
      <c r="F63" s="2478"/>
      <c r="G63" s="2478"/>
      <c r="H63" s="2486"/>
      <c r="I63" s="135"/>
      <c r="J63" s="3121" t="s">
        <v>2227</v>
      </c>
      <c r="K63" s="2488" t="s">
        <v>2228</v>
      </c>
      <c r="L63" s="1744">
        <f ca="1">IF(M49&gt;10000,M49*0.5%,IF(AND(M49&gt;1000,M49&lt;=10000),M49*1%,IF(AND(M49&gt;100,M49&lt;=1000),M49*3%,IF(AND(M49&gt;10,M49&lt;=100),M49*5%,M49*8%))))</f>
        <v>91.460000000000008</v>
      </c>
      <c r="M63" s="24">
        <f ca="1">ROUND(L63,1)</f>
        <v>91.5</v>
      </c>
      <c r="Z63" s="2412"/>
      <c r="AI63" s="2413"/>
    </row>
    <row r="64" spans="1:35" ht="14.25" hidden="1" customHeight="1">
      <c r="A64" s="194" t="s">
        <v>770</v>
      </c>
      <c r="B64" s="195" t="s">
        <v>2229</v>
      </c>
      <c r="C64" s="196">
        <f ca="1">D45</f>
        <v>9146</v>
      </c>
      <c r="D64" s="197" t="s">
        <v>32</v>
      </c>
      <c r="E64" s="198"/>
      <c r="F64" s="2478"/>
      <c r="G64" s="2478"/>
      <c r="H64" s="2486"/>
      <c r="I64" s="135"/>
      <c r="J64" s="3121"/>
      <c r="K64" s="2488" t="s">
        <v>2230</v>
      </c>
      <c r="L64" s="1744">
        <f ca="1">IF(M49&gt;2000,M49*0.5%,IF(AND(M49&gt;1000,M49&lt;=2000),M49*0.6%,IF(AND(M49&gt;500,M49&lt;=1000),M49*0.7%,IF(AND(M49&gt;200,M49&lt;=500),M49*0.8%,IF(AND(M49&gt;100,M49&lt;=200),M49*0.9%,IF(AND(M49&gt;50,M49&lt;=100),M49*1%,IF(AND(M49&gt;20,M49&lt;=50),M49*1.5%,IF(AND(M49&gt;10,M49&lt;=20),M49*2%,IF(AND(M49&gt;1,M49&lt;=10),M49*2.5%)))))))))</f>
        <v>45.730000000000004</v>
      </c>
      <c r="M64" s="24">
        <f t="shared" ref="M64:M65" ca="1" si="1">ROUND(L64,1)</f>
        <v>45.7</v>
      </c>
      <c r="N64" s="135" t="s">
        <v>2231</v>
      </c>
      <c r="Z64" s="2412"/>
      <c r="AI64" s="2413"/>
    </row>
    <row r="65" spans="1:35" ht="14.25" hidden="1" customHeight="1">
      <c r="A65" s="194" t="s">
        <v>771</v>
      </c>
      <c r="B65" s="195" t="s">
        <v>2232</v>
      </c>
      <c r="C65" s="199"/>
      <c r="D65" s="197"/>
      <c r="E65" s="198"/>
      <c r="F65" s="2478"/>
      <c r="G65" s="2478"/>
      <c r="H65" s="2486"/>
      <c r="I65" s="135"/>
      <c r="J65" s="3121"/>
      <c r="K65" s="2488" t="s">
        <v>2233</v>
      </c>
      <c r="L65" s="1744">
        <f ca="1">IF(M49&gt;1000,M49*0.1%,IF(AND(M49&gt;500,M49&lt;=1000),M49*0.5%,IF(AND(M49&gt;50,M49&lt;=500),M49*1%,IF(AND(M49&gt;1,M49&lt;=50),M49*1.5%))))</f>
        <v>9.1460000000000008</v>
      </c>
      <c r="M65" s="24">
        <f t="shared" ca="1" si="1"/>
        <v>9.1</v>
      </c>
      <c r="N65" s="135" t="s">
        <v>2231</v>
      </c>
      <c r="Z65" s="2412"/>
      <c r="AI65" s="2413"/>
    </row>
    <row r="66" spans="1:35" ht="14.25" hidden="1" customHeight="1">
      <c r="A66" s="200" t="s">
        <v>772</v>
      </c>
      <c r="B66" s="201" t="s">
        <v>2234</v>
      </c>
      <c r="C66" s="202"/>
      <c r="D66" s="203" t="s">
        <v>32</v>
      </c>
      <c r="E66" s="1768" t="s">
        <v>1372</v>
      </c>
      <c r="F66" s="2478"/>
      <c r="G66" s="2478"/>
      <c r="H66" s="2486"/>
      <c r="I66" s="135"/>
      <c r="J66" s="3121"/>
      <c r="K66" s="2488" t="s">
        <v>2235</v>
      </c>
      <c r="L66" s="1744">
        <f ca="1">M49*0.5%</f>
        <v>45.730000000000004</v>
      </c>
      <c r="M66" s="24">
        <f ca="1">IF(L66&gt;0.5,0.5,ROUND(L66,0))</f>
        <v>0.5</v>
      </c>
      <c r="N66" s="135" t="s">
        <v>2236</v>
      </c>
      <c r="Z66" s="2412"/>
      <c r="AI66" s="2413"/>
    </row>
    <row r="67" spans="1:35" ht="14.25" hidden="1" customHeight="1">
      <c r="A67" s="200" t="s">
        <v>773</v>
      </c>
      <c r="B67" s="201" t="s">
        <v>2237</v>
      </c>
      <c r="C67" s="204">
        <f ca="1">C63-C66</f>
        <v>8710</v>
      </c>
      <c r="D67" s="197" t="s">
        <v>32</v>
      </c>
      <c r="E67" s="198"/>
      <c r="F67" s="2478"/>
      <c r="G67" s="2478"/>
      <c r="H67" s="2486"/>
      <c r="I67" s="135"/>
      <c r="J67" s="3121"/>
      <c r="K67" s="2488" t="s">
        <v>2238</v>
      </c>
      <c r="L67" s="1744">
        <f ca="1">IF(M49&gt;=10000,(8.25+(M49-10000)*0.01%),IF(AND(M49&gt;=8000,M49&lt;10000),(7.85+(M49-8000)*0.02%),IF(AND(M49&gt;=5000,M49&lt;8000),(6.65+(M49-5000)*0.04%),IF(AND(M49&gt;=2000,M49&lt;5000),(4.25+(PM49-2000)*0.08%),IF(AND(M49&gt;=1000,M49&lt;2000),(2.75+(M49-1000)*0.15%),IF(AND(M49&gt;=100,M49&lt;1000),(0.5+(M49-100)*0.25%),IF(AND(M49&gt;0,M49&lt;100),M49*0.5%)))))))</f>
        <v>8.0792000000000002</v>
      </c>
      <c r="M67" s="24">
        <f ca="1">ROUND(L67*0.9,1)</f>
        <v>7.3</v>
      </c>
      <c r="Z67" s="2412"/>
      <c r="AI67" s="2413"/>
    </row>
    <row r="68" spans="1:35" ht="14.25" hidden="1" customHeight="1" thickBot="1">
      <c r="A68" s="205" t="s">
        <v>774</v>
      </c>
      <c r="B68" s="206" t="s">
        <v>2239</v>
      </c>
      <c r="C68" s="207">
        <f ca="1">IF(C67&lt;=0,0,ROUND(C67*D68,0))</f>
        <v>479</v>
      </c>
      <c r="D68" s="208">
        <f>'数据-取费表'!B41</f>
        <v>5.5000000000000007E-2</v>
      </c>
      <c r="E68" s="209"/>
      <c r="F68" s="2478"/>
      <c r="G68" s="2478"/>
      <c r="H68" s="2486"/>
      <c r="I68" s="135"/>
      <c r="J68" s="3121"/>
      <c r="K68" s="2488" t="s">
        <v>2240</v>
      </c>
      <c r="L68" s="1744">
        <f ca="1">IF(M49&gt;10000,M49*0.5%,IF(AND(M49&gt;5000,M49&lt;=10000),M49*1%,IF(AND(M49&gt;1000,M49&lt;=5000),M49*2%,IF(AND(M49&gt;200,M49&lt;=1000),M49*3%,M49*5%))))</f>
        <v>91.460000000000008</v>
      </c>
      <c r="M68" s="24">
        <f ca="1">ROUND(L68,1)</f>
        <v>91.5</v>
      </c>
      <c r="Z68" s="2412"/>
      <c r="AI68" s="2413"/>
    </row>
    <row r="69" spans="1:35" s="2435" customFormat="1" ht="16.5" hidden="1" customHeight="1">
      <c r="A69" s="2489"/>
      <c r="B69" s="2490"/>
      <c r="C69" s="2491"/>
      <c r="D69" s="2492"/>
      <c r="E69" s="2493"/>
      <c r="F69" s="2156"/>
      <c r="G69" s="2156"/>
      <c r="H69" s="2155"/>
      <c r="I69" s="2407"/>
      <c r="J69" s="3121"/>
      <c r="K69" s="2488" t="s">
        <v>2241</v>
      </c>
      <c r="L69" s="2494"/>
      <c r="M69" s="24">
        <f ca="1">ROUND(SUM(M63:M68),0)</f>
        <v>246</v>
      </c>
      <c r="N69" s="1745">
        <f ca="1">M69/M49</f>
        <v>2.6897004154821779E-2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hidden="1" thickBot="1">
      <c r="A70" s="3165" t="s">
        <v>2242</v>
      </c>
      <c r="B70" s="3166"/>
      <c r="C70" s="3166"/>
      <c r="D70" s="3166"/>
      <c r="E70" s="3166"/>
      <c r="F70" s="3166"/>
      <c r="G70" s="3166"/>
      <c r="H70" s="316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56" t="s">
        <v>2223</v>
      </c>
      <c r="B71" s="3157"/>
      <c r="C71" s="1796"/>
      <c r="D71" s="1796" t="s">
        <v>2224</v>
      </c>
      <c r="E71" s="210" t="s">
        <v>2225</v>
      </c>
      <c r="F71" s="211"/>
      <c r="G71" s="211"/>
      <c r="H71" s="212"/>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0" t="s">
        <v>775</v>
      </c>
      <c r="B72" s="201" t="s">
        <v>2243</v>
      </c>
      <c r="C72" s="204">
        <f ca="1">ROUND(D45/(1+'数据-取费表'!C42),0)</f>
        <v>8710</v>
      </c>
      <c r="D72" s="197" t="s">
        <v>32</v>
      </c>
      <c r="E72" s="1795"/>
      <c r="F72" s="1789"/>
      <c r="G72" s="1789"/>
      <c r="H72" s="213"/>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0" t="s">
        <v>772</v>
      </c>
      <c r="B73" s="170" t="s">
        <v>2244</v>
      </c>
      <c r="C73" s="204">
        <f ca="1">C74+C78</f>
        <v>44</v>
      </c>
      <c r="D73" s="197" t="s">
        <v>32</v>
      </c>
      <c r="E73" s="1795"/>
      <c r="F73" s="1789"/>
      <c r="G73" s="1789"/>
      <c r="H73" s="213"/>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4" t="s">
        <v>770</v>
      </c>
      <c r="B74" s="195" t="s">
        <v>2245</v>
      </c>
      <c r="C74" s="197">
        <f>ROUND(IF(G77="2016年5月1日后购买",C75/(1+'数据-取费表'!C42)+C76+C77,C75+C76+C77),0)</f>
        <v>0</v>
      </c>
      <c r="D74" s="197" t="s">
        <v>32</v>
      </c>
      <c r="E74" s="1795"/>
      <c r="F74" s="1789"/>
      <c r="G74" s="1789"/>
      <c r="H74" s="213"/>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4" t="s">
        <v>776</v>
      </c>
      <c r="B75" s="195" t="s">
        <v>2246</v>
      </c>
      <c r="C75" s="215"/>
      <c r="D75" s="197" t="s">
        <v>32</v>
      </c>
      <c r="E75" s="216" t="s">
        <v>2247</v>
      </c>
      <c r="F75" s="2500" t="s">
        <v>2248</v>
      </c>
      <c r="G75" s="216" t="s">
        <v>2249</v>
      </c>
      <c r="H75" s="217"/>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4" t="s">
        <v>777</v>
      </c>
      <c r="B76" s="218" t="s">
        <v>2250</v>
      </c>
      <c r="C76" s="197">
        <f>IF(F75="购房发票",ROUND(C75*H75*D76,0),0)</f>
        <v>0</v>
      </c>
      <c r="D76" s="219">
        <v>0.05</v>
      </c>
      <c r="E76" s="3162" t="s">
        <v>2251</v>
      </c>
      <c r="F76" s="3161"/>
      <c r="G76" s="3161"/>
      <c r="H76" s="316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4" t="s">
        <v>778</v>
      </c>
      <c r="B77" s="195" t="s">
        <v>2252</v>
      </c>
      <c r="C77" s="197">
        <f>ROUND(IF(G77="个人住宅",0,IF(G77="2016年5月1日前购买",C75*D77,C75*D77/(1+'数据-取费表'!C42))),0)</f>
        <v>0</v>
      </c>
      <c r="D77" s="220">
        <f>'数据-取费表'!B48+'数据-取费表'!B49</f>
        <v>4.0500000000000001E-2</v>
      </c>
      <c r="E77" s="15" t="s">
        <v>2253</v>
      </c>
      <c r="F77" s="221"/>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4" t="s">
        <v>771</v>
      </c>
      <c r="B78" s="195" t="s">
        <v>2255</v>
      </c>
      <c r="C78" s="222">
        <f ca="1">ROUND(D45*D78/(1+'数据-取费表'!C42),0)</f>
        <v>44</v>
      </c>
      <c r="D78" s="223">
        <f>'数据-取费表'!B43</f>
        <v>5.000000000000001E-3</v>
      </c>
      <c r="E78" s="3153" t="s">
        <v>2256</v>
      </c>
      <c r="F78" s="3154"/>
      <c r="G78" s="3154"/>
      <c r="H78" s="315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1" t="s">
        <v>2257</v>
      </c>
      <c r="C79" s="204">
        <f ca="1">C72-C73</f>
        <v>8666</v>
      </c>
      <c r="D79" s="197" t="s">
        <v>32</v>
      </c>
      <c r="E79" s="1795"/>
      <c r="F79" s="1789"/>
      <c r="G79" s="1789"/>
      <c r="H79" s="213"/>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1" t="s">
        <v>2258</v>
      </c>
      <c r="C80" s="224">
        <f ca="1">IF(C79&lt;=0,0,C79/C73)</f>
        <v>196.95454545454547</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6" t="s">
        <v>2259</v>
      </c>
      <c r="C81" s="225">
        <f ca="1">ROUND(IF(C79&lt;=0,0,IF(C80&gt;=200%,C79*60%-C73*35%,IF(C80&gt;=100%,C79*50%-C73*15%,IF(C80&gt;=50%,C79*40%-C73*5%,IF(C80&lt;50%,C79*30%,0))))),0)</f>
        <v>5184</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65" t="s">
        <v>2260</v>
      </c>
      <c r="B83" s="3166"/>
      <c r="C83" s="3166"/>
      <c r="D83" s="3166"/>
      <c r="E83" s="3166"/>
      <c r="F83" s="3166"/>
      <c r="G83" s="3166"/>
      <c r="H83" s="316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56" t="s">
        <v>2223</v>
      </c>
      <c r="B84" s="3157"/>
      <c r="C84" s="1796"/>
      <c r="D84" s="1796" t="s">
        <v>2224</v>
      </c>
      <c r="E84" s="210" t="s">
        <v>2225</v>
      </c>
      <c r="F84" s="211"/>
      <c r="G84" s="211"/>
      <c r="H84" s="230"/>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0" t="s">
        <v>775</v>
      </c>
      <c r="B85" s="201" t="s">
        <v>2243</v>
      </c>
      <c r="C85" s="204">
        <f ca="1">ROUND(D45/(1+'数据-取费表'!C42),0)</f>
        <v>8710</v>
      </c>
      <c r="D85" s="197" t="s">
        <v>32</v>
      </c>
      <c r="E85" s="1795"/>
      <c r="F85" s="1789"/>
      <c r="G85" s="1789"/>
      <c r="H85" s="231"/>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0" t="s">
        <v>772</v>
      </c>
      <c r="B86" s="170" t="s">
        <v>2244</v>
      </c>
      <c r="C86" s="204">
        <f ca="1">IF(H88="仅含出让金",C87+C90+C91+C92+C93+C94,C87+C91+C92+C93+C94)</f>
        <v>44</v>
      </c>
      <c r="D86" s="232"/>
      <c r="E86" s="1795"/>
      <c r="F86" s="1789"/>
      <c r="G86" s="1789"/>
      <c r="H86" s="231"/>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4" t="s">
        <v>770</v>
      </c>
      <c r="B87" s="195" t="s">
        <v>2261</v>
      </c>
      <c r="C87" s="222">
        <f>C88+C89</f>
        <v>0</v>
      </c>
      <c r="D87" s="223"/>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4" t="s">
        <v>776</v>
      </c>
      <c r="B88" s="195" t="s">
        <v>2262</v>
      </c>
      <c r="C88" s="233"/>
      <c r="D88" s="223"/>
      <c r="E88" s="234" t="s">
        <v>2263</v>
      </c>
      <c r="F88" s="1792"/>
      <c r="G88" s="235"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4" t="s">
        <v>777</v>
      </c>
      <c r="B89" s="195" t="s">
        <v>2252</v>
      </c>
      <c r="C89" s="222">
        <f>ROUND(C88*D89,0)</f>
        <v>0</v>
      </c>
      <c r="D89" s="223">
        <f>'数据-取费表'!B48+'数据-取费表'!B49</f>
        <v>4.0500000000000001E-2</v>
      </c>
      <c r="E89" s="234"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4" t="s">
        <v>771</v>
      </c>
      <c r="B90" s="195" t="s">
        <v>2266</v>
      </c>
      <c r="C90" s="233"/>
      <c r="D90" s="223"/>
      <c r="E90" s="234"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4" t="s">
        <v>2267</v>
      </c>
      <c r="B91" s="195" t="s">
        <v>2268</v>
      </c>
      <c r="C91" s="222">
        <f>IF(H91="——",成本法!C33,I91)</f>
        <v>0</v>
      </c>
      <c r="D91" s="223"/>
      <c r="E91" s="3153" t="s">
        <v>2269</v>
      </c>
      <c r="F91" s="3154"/>
      <c r="G91" s="3154"/>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4" t="s">
        <v>2271</v>
      </c>
      <c r="B92" s="195" t="s">
        <v>2272</v>
      </c>
      <c r="C92" s="222">
        <f>ROUND((C87+C90+C91)*D92,0)</f>
        <v>0</v>
      </c>
      <c r="D92" s="223">
        <v>0.1</v>
      </c>
      <c r="E92" s="3153" t="s">
        <v>2273</v>
      </c>
      <c r="F92" s="3154"/>
      <c r="G92" s="3154"/>
      <c r="H92" s="315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4" t="s">
        <v>2274</v>
      </c>
      <c r="B93" s="195" t="s">
        <v>2255</v>
      </c>
      <c r="C93" s="222">
        <f ca="1">ROUND(D45*D93/(1+'数据-取费表'!C42),0)</f>
        <v>44</v>
      </c>
      <c r="D93" s="223">
        <f>'数据-取费表'!B43</f>
        <v>5.000000000000001E-3</v>
      </c>
      <c r="E93" s="3153" t="s">
        <v>2256</v>
      </c>
      <c r="F93" s="3154"/>
      <c r="G93" s="3154"/>
      <c r="H93" s="315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4" t="s">
        <v>2275</v>
      </c>
      <c r="B94" s="195" t="s">
        <v>2276</v>
      </c>
      <c r="C94" s="233">
        <f>ROUND((C87+C90+C91)*D94,0)</f>
        <v>0</v>
      </c>
      <c r="D94" s="223">
        <v>0.2</v>
      </c>
      <c r="E94" s="3201" t="s">
        <v>2277</v>
      </c>
      <c r="F94" s="3202"/>
      <c r="G94" s="3202"/>
      <c r="H94" s="320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1" t="s">
        <v>2257</v>
      </c>
      <c r="C95" s="204">
        <f ca="1">ROUND(C85-C86,0)</f>
        <v>8666</v>
      </c>
      <c r="D95" s="197" t="s">
        <v>32</v>
      </c>
      <c r="E95" s="1795"/>
      <c r="F95" s="1789"/>
      <c r="G95" s="1789"/>
      <c r="H95" s="231"/>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1" t="s">
        <v>2258</v>
      </c>
      <c r="C96" s="224">
        <f ca="1">IF(C95&lt;=0,0,C95/C86)</f>
        <v>196.95454545454547</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6" t="s">
        <v>2259</v>
      </c>
      <c r="C97" s="225">
        <f ca="1">ROUND(IF(C95&lt;=0,0,IF(C96&gt;=200%,C95*60%-C86*35%,IF(C96&gt;=100%,C95*50%-C86*15%,IF(C96&gt;=50%,C95*40%-C86*5%,IF(C96&lt;50%,C95*30%,0))))),0)</f>
        <v>5184</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5"/>
    </row>
    <row r="99" spans="1:35" ht="21.75" customHeight="1" thickBot="1">
      <c r="A99" s="2463" t="s">
        <v>2278</v>
      </c>
      <c r="B99" s="2407"/>
      <c r="C99" s="2407"/>
      <c r="D99" s="2407"/>
      <c r="E99" s="2156"/>
      <c r="F99" s="2156"/>
      <c r="G99" s="2156"/>
      <c r="H99" s="2155"/>
      <c r="I99" s="135"/>
    </row>
    <row r="100" spans="1:35" ht="18.75" customHeight="1">
      <c r="A100" s="3105" t="s">
        <v>2279</v>
      </c>
      <c r="B100" s="3106"/>
      <c r="C100" s="3106"/>
      <c r="D100" s="3137"/>
      <c r="E100" s="3106" t="s">
        <v>2280</v>
      </c>
      <c r="F100" s="3106"/>
      <c r="G100" s="3106"/>
      <c r="H100" s="3137"/>
      <c r="I100" s="135"/>
    </row>
    <row r="101" spans="1:35" ht="18.75" customHeight="1">
      <c r="A101" s="3145" t="s">
        <v>2281</v>
      </c>
      <c r="B101" s="3146"/>
      <c r="C101" s="733" t="str">
        <f>C4</f>
        <v>成本法</v>
      </c>
      <c r="D101" s="734" t="str">
        <f>D4</f>
        <v>收益法（汇总）</v>
      </c>
      <c r="E101" s="3117" t="s">
        <v>2282</v>
      </c>
      <c r="F101" s="3118"/>
      <c r="G101" s="2509" t="s">
        <v>2283</v>
      </c>
      <c r="H101" s="1040">
        <f ca="1">H118</f>
        <v>9146</v>
      </c>
      <c r="I101" s="135"/>
    </row>
    <row r="102" spans="1:35" ht="18.75" customHeight="1">
      <c r="A102" s="3147" t="s">
        <v>2284</v>
      </c>
      <c r="B102" s="2509" t="s">
        <v>2283</v>
      </c>
      <c r="C102" s="733">
        <f ca="1">C19</f>
        <v>5925</v>
      </c>
      <c r="D102" s="734">
        <f ca="1">D19</f>
        <v>10527</v>
      </c>
      <c r="E102" s="3117"/>
      <c r="F102" s="3118"/>
      <c r="G102" s="2509" t="s">
        <v>2285</v>
      </c>
      <c r="H102" s="368">
        <f ca="1">I118</f>
        <v>29213</v>
      </c>
      <c r="I102" s="135"/>
    </row>
    <row r="103" spans="1:35" ht="42.75" customHeight="1">
      <c r="A103" s="3147"/>
      <c r="B103" s="2509" t="s">
        <v>2285</v>
      </c>
      <c r="C103" s="735">
        <f ca="1">C20</f>
        <v>18925</v>
      </c>
      <c r="D103" s="736">
        <f ca="1">D20</f>
        <v>33624</v>
      </c>
      <c r="E103" s="3111" t="s">
        <v>2286</v>
      </c>
      <c r="F103" s="3112"/>
      <c r="G103" s="2510" t="s">
        <v>2287</v>
      </c>
      <c r="H103" s="1040">
        <f>IF(D36="正常操作",H104+H105+H106,H105+H106)</f>
        <v>0</v>
      </c>
      <c r="I103" s="135"/>
    </row>
    <row r="104" spans="1:35" ht="18.75" customHeight="1">
      <c r="A104" s="3147" t="s">
        <v>2288</v>
      </c>
      <c r="B104" s="2511" t="s">
        <v>2283</v>
      </c>
      <c r="C104" s="737">
        <f ca="1">H118</f>
        <v>9146</v>
      </c>
      <c r="D104" s="738"/>
      <c r="E104" s="2255" t="s">
        <v>2289</v>
      </c>
      <c r="F104" s="2247"/>
      <c r="G104" s="2510" t="s">
        <v>2287</v>
      </c>
      <c r="H104" s="1041">
        <f>IF(D36="同一抵押权人同一抵押物续贷",C36&amp;"（未扣减，详见特别提示）",C36)</f>
        <v>0</v>
      </c>
      <c r="I104" s="135"/>
    </row>
    <row r="105" spans="1:35" ht="18.75" customHeight="1" thickBot="1">
      <c r="A105" s="3159"/>
      <c r="B105" s="2512" t="s">
        <v>2285</v>
      </c>
      <c r="C105" s="739">
        <f ca="1">I118</f>
        <v>29213</v>
      </c>
      <c r="D105" s="740"/>
      <c r="E105" s="2255" t="s">
        <v>2290</v>
      </c>
      <c r="F105" s="2247"/>
      <c r="G105" s="2510" t="s">
        <v>2287</v>
      </c>
      <c r="H105" s="1041">
        <f>C37</f>
        <v>0</v>
      </c>
      <c r="I105" s="135"/>
    </row>
    <row r="106" spans="1:35" ht="18.75" customHeight="1">
      <c r="A106" s="2407" t="s">
        <v>2291</v>
      </c>
      <c r="B106" s="2407"/>
      <c r="C106" s="2407"/>
      <c r="D106" s="2407"/>
      <c r="E106" s="2513" t="s">
        <v>2292</v>
      </c>
      <c r="F106" s="2247"/>
      <c r="G106" s="2510" t="s">
        <v>2287</v>
      </c>
      <c r="H106" s="1041">
        <f>C38</f>
        <v>0</v>
      </c>
      <c r="I106" s="135"/>
    </row>
    <row r="107" spans="1:35" ht="18.75" customHeight="1">
      <c r="A107" s="135"/>
      <c r="B107" s="135"/>
      <c r="C107" s="135"/>
      <c r="D107" s="135"/>
      <c r="E107" s="3148" t="str">
        <f>IF(项目基本情况!E8="已注销","——","3.房地产抵押价值")</f>
        <v>——</v>
      </c>
      <c r="F107" s="3118"/>
      <c r="G107" s="2509" t="s">
        <v>2283</v>
      </c>
      <c r="H107" s="1040" t="str">
        <f>IF(E107="——","——",H101-H103)</f>
        <v>——</v>
      </c>
      <c r="I107" s="135"/>
    </row>
    <row r="108" spans="1:35" ht="18.75" customHeight="1">
      <c r="A108" s="135"/>
      <c r="B108" s="135"/>
      <c r="C108" s="135"/>
      <c r="D108" s="135"/>
      <c r="E108" s="3148"/>
      <c r="F108" s="3118"/>
      <c r="G108" s="2509" t="s">
        <v>2285</v>
      </c>
      <c r="H108" s="368" t="e">
        <f>ROUND(H107*10000/'数据-汇总表'!E3,0)</f>
        <v>#VALUE!</v>
      </c>
      <c r="I108" s="135"/>
    </row>
    <row r="109" spans="1:35" ht="18.75" customHeight="1">
      <c r="A109" s="135"/>
      <c r="B109" s="135"/>
      <c r="C109" s="135"/>
      <c r="D109" s="135"/>
      <c r="E109" s="3148" t="str">
        <f>IF(项目基本情况!E8="已注销及未注销","4.抵押担保权已注销时的房地产抵押价值",IF(项目基本情况!E8="已注销","3.抵押担保权已注销时的房地产抵押价值","——"))</f>
        <v>3.抵押担保权已注销时的房地产抵押价值</v>
      </c>
      <c r="F109" s="3118"/>
      <c r="G109" s="2509" t="s">
        <v>2283</v>
      </c>
      <c r="H109" s="345">
        <f ca="1">IF(E109="——","——",H101-H105-H106)</f>
        <v>9146</v>
      </c>
      <c r="I109" s="135"/>
    </row>
    <row r="110" spans="1:35" ht="18.75" customHeight="1">
      <c r="A110" s="135"/>
      <c r="B110" s="135"/>
      <c r="C110" s="135"/>
      <c r="D110" s="135"/>
      <c r="E110" s="3148"/>
      <c r="F110" s="3118"/>
      <c r="G110" s="2509" t="s">
        <v>2285</v>
      </c>
      <c r="H110" s="368">
        <f ca="1">IF(H109="——","——",ROUND(H109*10000/'数据-汇总表'!E3,0))</f>
        <v>29213</v>
      </c>
      <c r="I110" s="135"/>
    </row>
    <row r="111" spans="1:35" ht="18.75" customHeight="1">
      <c r="A111" s="135"/>
      <c r="B111" s="135"/>
      <c r="C111" s="135"/>
      <c r="D111" s="135"/>
      <c r="E111" s="3149" t="str">
        <f>IF(项目基本情况!E9="抵押净值",IF(OR(项目基本情况!E8="已注销",项目基本情况!E8="房地产抵押价值"),"4.抵押净值","5.抵押净值"),"——")</f>
        <v>——</v>
      </c>
      <c r="F111" s="3150"/>
      <c r="G111" s="2509" t="s">
        <v>2283</v>
      </c>
      <c r="H111" s="1040" t="str">
        <f>IF(E111="——","——",N59)</f>
        <v>——</v>
      </c>
      <c r="I111" s="135"/>
    </row>
    <row r="112" spans="1:35" ht="18.75" customHeight="1" thickBot="1">
      <c r="A112" s="135"/>
      <c r="B112" s="135"/>
      <c r="C112" s="135"/>
      <c r="D112" s="135"/>
      <c r="E112" s="3151"/>
      <c r="F112" s="3152"/>
      <c r="G112" s="2514" t="s">
        <v>2285</v>
      </c>
      <c r="H112" s="787" t="str">
        <f>IF(E111="——","——",N61)</f>
        <v>——</v>
      </c>
      <c r="I112" s="135"/>
    </row>
    <row r="113" spans="1:11" ht="18.75" customHeight="1">
      <c r="A113" s="135"/>
      <c r="B113" s="135"/>
      <c r="C113" s="135"/>
      <c r="D113" s="135"/>
      <c r="E113" s="3160" t="s">
        <v>2291</v>
      </c>
      <c r="F113" s="3160"/>
      <c r="G113" s="3160"/>
      <c r="H113" s="3160"/>
      <c r="I113" s="135"/>
    </row>
    <row r="114" spans="1:11" ht="3.75" customHeight="1">
      <c r="A114" s="2407"/>
      <c r="B114" s="2407"/>
      <c r="C114" s="2407"/>
      <c r="D114" s="2407"/>
      <c r="E114" s="2485"/>
      <c r="F114" s="2485"/>
      <c r="G114" s="2485"/>
      <c r="H114" s="2485"/>
      <c r="I114" s="2407"/>
    </row>
    <row r="115" spans="1:11" ht="18.75" customHeight="1">
      <c r="A115" s="3173" t="s">
        <v>2293</v>
      </c>
      <c r="B115" s="3174"/>
      <c r="C115" s="3174"/>
      <c r="D115" s="3174"/>
      <c r="E115" s="3174"/>
      <c r="F115" s="3174"/>
      <c r="G115" s="3174"/>
      <c r="H115" s="3174"/>
      <c r="I115" s="3175"/>
    </row>
    <row r="116" spans="1:11" ht="27" customHeight="1">
      <c r="A116" s="3080" t="s">
        <v>2294</v>
      </c>
      <c r="B116" s="3127" t="s">
        <v>2295</v>
      </c>
      <c r="C116" s="3127" t="s">
        <v>2296</v>
      </c>
      <c r="D116" s="3133" t="s">
        <v>2297</v>
      </c>
      <c r="E116" s="3134"/>
      <c r="F116" s="3169" t="s">
        <v>2298</v>
      </c>
      <c r="G116" s="3169"/>
      <c r="H116" s="3080" t="s">
        <v>2299</v>
      </c>
      <c r="I116" s="3080"/>
    </row>
    <row r="117" spans="1:11" ht="18.75" customHeight="1">
      <c r="A117" s="3080"/>
      <c r="B117" s="3128"/>
      <c r="C117" s="3128"/>
      <c r="D117" s="1790" t="s">
        <v>2300</v>
      </c>
      <c r="E117" s="1790" t="s">
        <v>2301</v>
      </c>
      <c r="F117" s="1790" t="s">
        <v>2300</v>
      </c>
      <c r="G117" s="1790" t="s">
        <v>2302</v>
      </c>
      <c r="H117" s="1790" t="s">
        <v>2300</v>
      </c>
      <c r="I117" s="1790" t="s">
        <v>2302</v>
      </c>
    </row>
    <row r="118" spans="1:11" ht="24.75" customHeight="1">
      <c r="A118" s="2515" t="str">
        <f>项目基本情况!S2</f>
        <v>河北省秦皇岛市北戴河新区黄金海岸中区、沿海公路东侧、通海路南侧、扬水站北侧房地产</v>
      </c>
      <c r="B118" s="1790">
        <f>M18</f>
        <v>3130.82</v>
      </c>
      <c r="C118" s="1790">
        <f>M19</f>
        <v>9119.9</v>
      </c>
      <c r="D118" s="1790">
        <f ca="1">ROUND(IF(D32="总价",C34,E118*B118/10000),0)</f>
        <v>4610</v>
      </c>
      <c r="E118" s="1790">
        <f ca="1">ROUND(IF(C33="自定义",IF(D32="楼面单价",C34,D118*10000/B118),I118-G118),0)</f>
        <v>14725</v>
      </c>
      <c r="F118" s="1790">
        <f ca="1">ROUND(IF(D32="总价",C35,G118*B118/10000),0)</f>
        <v>4536</v>
      </c>
      <c r="G118" s="1790">
        <f ca="1">ROUND(IF(D32="楼面单价",C35,F118*10000/B118),0)</f>
        <v>14488</v>
      </c>
      <c r="H118" s="1790">
        <f ca="1">ROUND(IF(D32="总价",C32,I118*B118/10000),0)</f>
        <v>9146</v>
      </c>
      <c r="I118" s="1790">
        <f ca="1">ROUND(IF(D32="楼面单价",C32,H118*10000/B118),0)</f>
        <v>29213</v>
      </c>
    </row>
    <row r="119" spans="1:11" ht="18.75" customHeight="1">
      <c r="A119" s="3080" t="s">
        <v>2303</v>
      </c>
      <c r="B119" s="3080"/>
      <c r="C119" s="3080"/>
      <c r="D119" s="3129" t="str">
        <f ca="1">NUMBERSTRING(INT(D118*10000),2)&amp;"元整"</f>
        <v>肆仟陆佰壹拾万元整</v>
      </c>
      <c r="E119" s="3130"/>
      <c r="F119" s="3129" t="str">
        <f ca="1">NUMBERSTRING(INT(F118*10000),2)&amp;"元整"</f>
        <v>肆仟伍佰叁拾陆万元整</v>
      </c>
      <c r="G119" s="3130"/>
      <c r="H119" s="3129" t="str">
        <f ca="1">NUMBERSTRING(INT(H118*10000),2)&amp;"元整"</f>
        <v>玖仟壹佰肆拾陆万元整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12" t="str">
        <f>IF(D120=0,"故，本次评估不存在"&amp;A120,"故，本次评估"&amp;A120&amp;"为人民币"&amp;D120&amp;"万元整。")</f>
        <v>故，本次评估不存在估价师知悉的法定优先受偿款</v>
      </c>
    </row>
    <row r="121" spans="1:11" ht="18.75" customHeight="1">
      <c r="A121" s="3170" t="s">
        <v>2303</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
      </c>
      <c r="B122" s="3135"/>
      <c r="C122" s="3135"/>
      <c r="D122" s="3124" t="str">
        <f>H107</f>
        <v>——</v>
      </c>
      <c r="E122" s="3125"/>
      <c r="F122" s="3125"/>
      <c r="G122" s="3125"/>
      <c r="H122" s="3125"/>
      <c r="I122" s="3126"/>
    </row>
    <row r="123" spans="1:11" ht="18.75" customHeight="1">
      <c r="A123" s="3080" t="s">
        <v>2303</v>
      </c>
      <c r="B123" s="3080"/>
      <c r="C123" s="3080"/>
      <c r="D123" s="3129" t="e">
        <f>NUMBERSTRING(INT(D122*10000),2)&amp;"元整"</f>
        <v>#VALUE!</v>
      </c>
      <c r="E123" s="3131"/>
      <c r="F123" s="3131"/>
      <c r="G123" s="3131"/>
      <c r="H123" s="3131"/>
      <c r="I123" s="3130"/>
    </row>
    <row r="124" spans="1:11" ht="18.75" customHeight="1">
      <c r="A124" s="3135" t="str">
        <f>IF(项目基本情况!B9="房地产市场价值","",MID(E109,3,LEN(E109)-2))</f>
        <v>抵押担保权已注销时的房地产抵押价值</v>
      </c>
      <c r="B124" s="3135"/>
      <c r="C124" s="3135"/>
      <c r="D124" s="3124">
        <f ca="1">H109</f>
        <v>9146</v>
      </c>
      <c r="E124" s="3125"/>
      <c r="F124" s="3125"/>
      <c r="G124" s="3125"/>
      <c r="H124" s="3125"/>
      <c r="I124" s="3126"/>
    </row>
    <row r="125" spans="1:11" ht="18.75" customHeight="1">
      <c r="A125" s="3080" t="s">
        <v>2303</v>
      </c>
      <c r="B125" s="3080"/>
      <c r="C125" s="3080"/>
      <c r="D125" s="3129" t="str">
        <f ca="1">NUMBERSTRING(INT(D124*10000),2)&amp;"元整"</f>
        <v>玖仟壹佰肆拾陆万元整</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0" t="s">
        <v>2303</v>
      </c>
      <c r="B127" s="3080"/>
      <c r="C127" s="3080"/>
      <c r="D127" s="3129" t="e">
        <f>NUMBERSTRING(INT(D126*10000),2)&amp;"元整"</f>
        <v>#VALUE!</v>
      </c>
      <c r="E127" s="3131"/>
      <c r="F127" s="3131"/>
      <c r="G127" s="3131"/>
      <c r="H127" s="3131"/>
      <c r="I127" s="3130"/>
    </row>
    <row r="128" spans="1:11" ht="21.75" customHeight="1">
      <c r="A128" s="3132" t="s">
        <v>2304</v>
      </c>
      <c r="B128" s="3132"/>
      <c r="C128" s="3132"/>
      <c r="D128" s="3132"/>
      <c r="E128" s="3132"/>
      <c r="F128" s="3132"/>
      <c r="G128" s="3132"/>
      <c r="H128" s="3132"/>
      <c r="I128" s="3132"/>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2307</v>
      </c>
      <c r="G135" s="2533"/>
      <c r="H135" s="2533"/>
      <c r="I135" s="2534" t="s">
        <v>2308</v>
      </c>
    </row>
    <row r="136" spans="1:35" ht="21.75" customHeight="1">
      <c r="A136" s="792"/>
      <c r="B136" s="253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2310</v>
      </c>
    </row>
    <row r="139" spans="1:35" ht="21.75" customHeight="1">
      <c r="A139" s="792"/>
      <c r="B139" s="2535" t="s">
        <v>2311</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2310</v>
      </c>
    </row>
    <row r="142" spans="1:35" ht="21.75" customHeight="1">
      <c r="A142" s="792"/>
      <c r="B142" s="2535"/>
      <c r="C142" s="2536"/>
      <c r="D142" s="2537"/>
      <c r="E142" s="2537"/>
      <c r="F142" s="2329"/>
      <c r="G142" s="792"/>
      <c r="H142" s="792"/>
      <c r="I142" s="792"/>
    </row>
    <row r="143" spans="1:35" s="136"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14" t="str">
        <f>项目基本情况!B1</f>
        <v>河北省秦皇岛市北戴河新区黄金海岸中区、沿海公路东侧、通海路南侧、扬水站北侧房地产抵押价值预评估</v>
      </c>
      <c r="C37" s="3014"/>
      <c r="D37" s="3014"/>
      <c r="E37" s="3014"/>
      <c r="F37" s="3014"/>
      <c r="G37" s="3014"/>
      <c r="H37" s="3014"/>
      <c r="I37" s="3014"/>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8" sqref="G38"/>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4">
        <f>MATCH(B1,'数据-取费表'!A6:A16,0)+5</f>
        <v>12</v>
      </c>
    </row>
    <row r="2" spans="1:9" s="241" customFormat="1" ht="18" customHeight="1">
      <c r="A2" s="242" t="s">
        <v>2313</v>
      </c>
      <c r="B2" s="243">
        <f ca="1">IF(D2="——",C52,C52-E2)</f>
        <v>5925</v>
      </c>
      <c r="C2" s="240" t="s">
        <v>2314</v>
      </c>
      <c r="D2" s="2538" t="s">
        <v>70</v>
      </c>
      <c r="E2" s="1435" t="e">
        <f ca="1">SUMIF(INDIRECT("'"&amp;G2&amp;"'"&amp;"!A:A"),"承租人权益价值",INDIRECT("'"&amp;G2&amp;"'"&amp;"!c:c"))</f>
        <v>#REF!</v>
      </c>
      <c r="F2" s="2539" t="s">
        <v>2314</v>
      </c>
      <c r="G2" s="2540"/>
    </row>
    <row r="3" spans="1:9" s="241" customFormat="1" ht="18" customHeight="1" thickBot="1">
      <c r="A3" s="244" t="s">
        <v>2315</v>
      </c>
      <c r="B3" s="245">
        <f ca="1">ROUND(B2*10000/(IF(B1="",'数据-汇总表'!E3,INDIRECT("'数据-取费表'!k"&amp;$G$1))),0)</f>
        <v>18925</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 ca="1">C6+C7+C8</f>
        <v>1795</v>
      </c>
      <c r="D5" s="252" t="s">
        <v>2320</v>
      </c>
      <c r="E5" s="253" t="s">
        <v>2321</v>
      </c>
      <c r="F5" s="253" t="s">
        <v>2322</v>
      </c>
      <c r="G5" s="254"/>
    </row>
    <row r="6" spans="1:9" s="255" customFormat="1" ht="13.5" customHeight="1">
      <c r="A6" s="944" t="s">
        <v>2323</v>
      </c>
      <c r="B6" s="256" t="s">
        <v>2324</v>
      </c>
      <c r="C6" s="257">
        <f>'土地比较法-住宅、综合'!B2</f>
        <v>1696</v>
      </c>
      <c r="D6" s="258"/>
      <c r="E6" s="259"/>
      <c r="F6" s="259"/>
      <c r="G6" s="260"/>
    </row>
    <row r="7" spans="1:9" s="255" customFormat="1" ht="13.5" customHeight="1">
      <c r="A7" s="944" t="s">
        <v>2325</v>
      </c>
      <c r="B7" s="256" t="s">
        <v>2326</v>
      </c>
      <c r="C7" s="261">
        <f>ROUND(C6*F7,0)</f>
        <v>69</v>
      </c>
      <c r="D7" s="261"/>
      <c r="E7" s="259"/>
      <c r="F7" s="262">
        <f>'数据-取费表'!B48+'数据-取费表'!B49</f>
        <v>4.0500000000000001E-2</v>
      </c>
      <c r="G7" s="260"/>
    </row>
    <row r="8" spans="1:9" s="264" customFormat="1">
      <c r="A8" s="944" t="s">
        <v>2327</v>
      </c>
      <c r="B8" s="256" t="s">
        <v>2328</v>
      </c>
      <c r="C8" s="261">
        <f ca="1">IF(G8="已包含在土地购买价格中","0",IF(B1="",'数据-取费表'!B29,IF(G9="全部缴纳",C9+C10,H9)))</f>
        <v>30</v>
      </c>
      <c r="D8" s="263"/>
      <c r="E8" s="261"/>
      <c r="F8" s="262"/>
      <c r="G8" s="2541" t="s">
        <v>3062</v>
      </c>
    </row>
    <row r="9" spans="1:9" s="255" customFormat="1" ht="13.5" customHeight="1">
      <c r="A9" s="945" t="s">
        <v>800</v>
      </c>
      <c r="B9" s="265" t="s">
        <v>2329</v>
      </c>
      <c r="C9" s="266">
        <f ca="1">ROUND(D9*E9/10000,0)</f>
        <v>0</v>
      </c>
      <c r="D9" s="1027">
        <f ca="1">IF(B1="",'数据-汇总表'!E5,IF(INDIRECT("'数据-取费表'!c"&amp;$G$1)="住宅",INDIRECT("'数据-取费表'!k"&amp;$G$1),0))</f>
        <v>0</v>
      </c>
      <c r="E9" s="266">
        <f>'数据-取费表'!B27</f>
        <v>148</v>
      </c>
      <c r="F9" s="262"/>
      <c r="G9" s="2542"/>
      <c r="H9" s="1385"/>
      <c r="I9" s="2543" t="s">
        <v>2330</v>
      </c>
    </row>
    <row r="10" spans="1:9" s="255" customFormat="1" ht="13.5" customHeight="1">
      <c r="A10" s="945" t="s">
        <v>801</v>
      </c>
      <c r="B10" s="265" t="s">
        <v>2331</v>
      </c>
      <c r="C10" s="266">
        <f ca="1">ROUND(D10*E10/10000,0)</f>
        <v>30</v>
      </c>
      <c r="D10" s="1027">
        <f ca="1">IF(B1="",'数据-汇总表'!E6,IF(INDIRECT("'数据-取费表'!c"&amp;$G$1)="住宅",INDIRECT("'数据-取费表'!s"&amp;$G$1),INDIRECT("'数据-取费表'!k"&amp;$G$1)+INDIRECT("'数据-取费表'!s"&amp;$G$1)))</f>
        <v>3130.82</v>
      </c>
      <c r="E10" s="266">
        <f>'数据-取费表'!B28</f>
        <v>97</v>
      </c>
      <c r="F10" s="262"/>
      <c r="G10" s="267"/>
    </row>
    <row r="11" spans="1:9" s="255" customFormat="1" ht="13.5" hidden="1" customHeight="1">
      <c r="A11" s="268" t="s">
        <v>7</v>
      </c>
      <c r="B11" s="256" t="s">
        <v>2332</v>
      </c>
      <c r="C11" s="252"/>
      <c r="D11" s="1029"/>
      <c r="E11" s="259"/>
      <c r="F11" s="259"/>
      <c r="G11" s="260"/>
    </row>
    <row r="12" spans="1:9" s="255" customFormat="1" ht="13.5" hidden="1" customHeight="1">
      <c r="A12" s="268" t="s">
        <v>8</v>
      </c>
      <c r="B12" s="256" t="s">
        <v>2333</v>
      </c>
      <c r="C12" s="252">
        <v>0</v>
      </c>
      <c r="D12" s="1029"/>
      <c r="E12" s="269"/>
      <c r="F12" s="262">
        <v>3.0499999999999999E-2</v>
      </c>
      <c r="G12" s="260"/>
    </row>
    <row r="13" spans="1:9" s="255" customFormat="1" ht="13.5" hidden="1" customHeight="1">
      <c r="A13" s="268" t="s">
        <v>9</v>
      </c>
      <c r="B13" s="256" t="s">
        <v>2334</v>
      </c>
      <c r="C13" s="252"/>
      <c r="D13" s="1029"/>
      <c r="E13" s="259"/>
      <c r="F13" s="259"/>
      <c r="G13" s="260"/>
    </row>
    <row r="14" spans="1:9" s="255" customFormat="1" ht="13.5" hidden="1" customHeight="1">
      <c r="A14" s="268" t="s">
        <v>10</v>
      </c>
      <c r="B14" s="256" t="s">
        <v>2335</v>
      </c>
      <c r="C14" s="252"/>
      <c r="D14" s="1029"/>
      <c r="E14" s="259"/>
      <c r="F14" s="259"/>
      <c r="G14" s="260" t="s">
        <v>2336</v>
      </c>
    </row>
    <row r="15" spans="1:9" s="255" customFormat="1" ht="13.5" hidden="1" customHeight="1">
      <c r="A15" s="268" t="s">
        <v>11</v>
      </c>
      <c r="B15" s="256" t="s">
        <v>2337</v>
      </c>
      <c r="C15" s="261"/>
      <c r="D15" s="1029"/>
      <c r="E15" s="259"/>
      <c r="F15" s="259"/>
      <c r="G15" s="260" t="s">
        <v>2338</v>
      </c>
    </row>
    <row r="16" spans="1:9" s="255" customFormat="1" ht="13.5" hidden="1" customHeight="1">
      <c r="A16" s="268" t="s">
        <v>12</v>
      </c>
      <c r="B16" s="256" t="s">
        <v>2335</v>
      </c>
      <c r="C16" s="261"/>
      <c r="D16" s="1029"/>
      <c r="E16" s="259"/>
      <c r="F16" s="259"/>
      <c r="G16" s="260"/>
    </row>
    <row r="17" spans="1:7" s="255" customFormat="1" ht="13.5" hidden="1" customHeight="1">
      <c r="A17" s="268" t="s">
        <v>13</v>
      </c>
      <c r="B17" s="256" t="s">
        <v>2339</v>
      </c>
      <c r="C17" s="270"/>
      <c r="D17" s="1030"/>
      <c r="E17" s="270"/>
      <c r="F17" s="270"/>
      <c r="G17" s="260" t="s">
        <v>2338</v>
      </c>
    </row>
    <row r="18" spans="1:7" s="255" customFormat="1" ht="13.5" hidden="1" customHeight="1">
      <c r="A18" s="268" t="s">
        <v>14</v>
      </c>
      <c r="B18" s="256" t="s">
        <v>2340</v>
      </c>
      <c r="C18" s="261">
        <v>0</v>
      </c>
      <c r="D18" s="1029"/>
      <c r="E18" s="259"/>
      <c r="F18" s="262">
        <v>3.0499999999999999E-2</v>
      </c>
      <c r="G18" s="260" t="s">
        <v>2341</v>
      </c>
    </row>
    <row r="19" spans="1:7" s="264" customFormat="1" ht="13.5" customHeight="1">
      <c r="A19" s="296" t="s">
        <v>2342</v>
      </c>
      <c r="B19" s="251" t="s">
        <v>2343</v>
      </c>
      <c r="C19" s="252" t="str">
        <f>IF(G19="已包含在土地取得成本中","0",ROUND(D19*E19/10000,0))</f>
        <v>0</v>
      </c>
      <c r="D19" s="1031">
        <f ca="1">D9+D10</f>
        <v>3130.82</v>
      </c>
      <c r="E19" s="252">
        <f>'数据-取费表'!B31</f>
        <v>300</v>
      </c>
      <c r="F19" s="272"/>
      <c r="G19" s="2541" t="s">
        <v>3063</v>
      </c>
    </row>
    <row r="20" spans="1:7" s="255" customFormat="1" ht="13.5" customHeight="1">
      <c r="A20" s="296" t="s">
        <v>2344</v>
      </c>
      <c r="B20" s="251" t="s">
        <v>2345</v>
      </c>
      <c r="C20" s="273">
        <f ca="1">ROUND((C5+C19)*F20,0)</f>
        <v>36</v>
      </c>
      <c r="D20" s="273"/>
      <c r="E20" s="273"/>
      <c r="F20" s="274">
        <f>'数据-取费表'!B37</f>
        <v>0.02</v>
      </c>
      <c r="G20" s="275" t="s">
        <v>2346</v>
      </c>
    </row>
    <row r="21" spans="1:7" s="255" customFormat="1" ht="13.5" customHeight="1">
      <c r="A21" s="296" t="s">
        <v>2347</v>
      </c>
      <c r="B21" s="251" t="s">
        <v>2348</v>
      </c>
      <c r="C21" s="276">
        <f>F21</f>
        <v>0.05</v>
      </c>
      <c r="D21" s="277" t="s">
        <v>2349</v>
      </c>
      <c r="E21" s="273"/>
      <c r="F21" s="274">
        <f>'数据-取费表'!B38</f>
        <v>0.05</v>
      </c>
      <c r="G21" s="275" t="s">
        <v>2350</v>
      </c>
    </row>
    <row r="22" spans="1:7" s="255" customFormat="1" ht="13.5" customHeight="1">
      <c r="A22" s="296" t="s">
        <v>2351</v>
      </c>
      <c r="B22" s="251" t="s">
        <v>2352</v>
      </c>
      <c r="C22" s="1349">
        <f ca="1">ROUND(SUM(C23:C25),0)</f>
        <v>130</v>
      </c>
      <c r="D22" s="276">
        <f ca="1">C26</f>
        <v>1.8E-3</v>
      </c>
      <c r="E22" s="277" t="s">
        <v>2349</v>
      </c>
      <c r="F22" s="278">
        <f ca="1">'数据-取费表'!B40</f>
        <v>4.7500000000000001E-2</v>
      </c>
      <c r="G22" s="275" t="str">
        <f>IF('数据-取费表'!B22&lt;=1,"单利计息","复利计息")</f>
        <v>复利计息</v>
      </c>
    </row>
    <row r="23" spans="1:7" s="255" customFormat="1" ht="13.5" customHeight="1">
      <c r="A23" s="946" t="s">
        <v>2353</v>
      </c>
      <c r="B23" s="256" t="s">
        <v>2354</v>
      </c>
      <c r="C23" s="1350">
        <f ca="1">ROUND(IF('数据-取费表'!B22&lt;=1,C5*F22*'数据-取费表'!B23,C5*(POWER((1+F22),'数据-取费表'!B23)-1)),0)</f>
        <v>129</v>
      </c>
      <c r="D23" s="279"/>
      <c r="E23" s="279"/>
      <c r="F23" s="280"/>
      <c r="G23" s="281" t="s">
        <v>2355</v>
      </c>
    </row>
    <row r="24" spans="1:7" s="255" customFormat="1" ht="13.5" customHeight="1">
      <c r="A24" s="946" t="s">
        <v>2356</v>
      </c>
      <c r="B24" s="256" t="s">
        <v>2357</v>
      </c>
      <c r="C24" s="1350">
        <f ca="1">ROUND(IF('数据-取费表'!B22&lt;=1,C19*F22*('数据-取费表'!B19/2+'数据-取费表'!B21),C19*(POWER((1+F22),('数据-取费表'!B19/2+'数据-取费表'!B21))-1)),0)</f>
        <v>0</v>
      </c>
      <c r="D24" s="279"/>
      <c r="E24" s="279"/>
      <c r="F24" s="280"/>
      <c r="G24" s="281" t="s">
        <v>2358</v>
      </c>
    </row>
    <row r="25" spans="1:7" s="255" customFormat="1" ht="24">
      <c r="A25" s="946" t="s">
        <v>2359</v>
      </c>
      <c r="B25" s="256" t="s">
        <v>2360</v>
      </c>
      <c r="C25" s="1350">
        <f ca="1">ROUND(IF('数据-取费表'!B22&lt;=1,C20*F22*'数据-取费表'!B23/2,C20*(POWER((1+F22),'数据-取费表'!B23/2)-1)),0)</f>
        <v>1</v>
      </c>
      <c r="D25" s="279"/>
      <c r="E25" s="282"/>
      <c r="F25" s="280"/>
      <c r="G25" s="283" t="s">
        <v>2361</v>
      </c>
    </row>
    <row r="26" spans="1:7" s="255" customFormat="1">
      <c r="A26" s="946" t="s">
        <v>795</v>
      </c>
      <c r="B26" s="256" t="s">
        <v>2362</v>
      </c>
      <c r="C26" s="279">
        <f ca="1">ROUND(IF('数据-取费表'!B22&lt;=1,F21*F22*'数据-取费表'!B23/2,F21*(POWER((1+F22),'数据-取费表'!B23/2)-1)),4)</f>
        <v>1.8E-3</v>
      </c>
      <c r="D26" s="279"/>
      <c r="E26" s="282"/>
      <c r="F26" s="280"/>
      <c r="G26" s="284"/>
    </row>
    <row r="27" spans="1:7" s="255" customFormat="1" ht="24.75">
      <c r="A27" s="296" t="s">
        <v>2363</v>
      </c>
      <c r="B27" s="285" t="s">
        <v>2364</v>
      </c>
      <c r="C27" s="286">
        <f ca="1">C28</f>
        <v>659</v>
      </c>
      <c r="D27" s="276">
        <f ca="1">C29</f>
        <v>1.7999999999999999E-2</v>
      </c>
      <c r="E27" s="277" t="s">
        <v>2365</v>
      </c>
      <c r="F27" s="287">
        <f ca="1">IF(B1="",'数据-取费表'!Q16,INDIRECT("'数据-取费表'!q"&amp;$G$1))</f>
        <v>0.36</v>
      </c>
      <c r="G27" s="288" t="s">
        <v>2366</v>
      </c>
    </row>
    <row r="28" spans="1:7" s="255" customFormat="1" ht="13.5" customHeight="1">
      <c r="A28" s="946" t="s">
        <v>791</v>
      </c>
      <c r="B28" s="289" t="s">
        <v>2367</v>
      </c>
      <c r="C28" s="290">
        <f ca="1">ROUND((C5+C19+C20)*F27*'数据-取费表'!B21/'数据-取费表'!B20,0)</f>
        <v>659</v>
      </c>
      <c r="D28" s="276"/>
      <c r="E28" s="277"/>
      <c r="F28" s="287"/>
      <c r="G28" s="288"/>
    </row>
    <row r="29" spans="1:7" s="255" customFormat="1" ht="13.5" customHeight="1">
      <c r="A29" s="946" t="s">
        <v>792</v>
      </c>
      <c r="B29" s="289" t="s">
        <v>2368</v>
      </c>
      <c r="C29" s="279">
        <f ca="1">ROUND(C21*F27*'数据-取费表'!B21/'数据-取费表'!B20,4)</f>
        <v>1.7999999999999999E-2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2985</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1943</v>
      </c>
      <c r="D33" s="273"/>
      <c r="E33" s="253"/>
      <c r="F33" s="282"/>
      <c r="G33" s="275"/>
    </row>
    <row r="34" spans="1:7" s="299" customFormat="1" ht="13.5" customHeight="1">
      <c r="A34" s="946" t="s">
        <v>791</v>
      </c>
      <c r="B34" s="256" t="s">
        <v>2376</v>
      </c>
      <c r="C34" s="261">
        <f ca="1">IF(B1="",IF(F34=100%,'数据-取费表'!M16,'数据-取费表'!O16),IF(F34=100%,INDIRECT("'数据-取费表'!m"&amp;$G$1)+INDIRECT("'数据-取费表'!t"&amp;$G$1),INDIRECT("'数据-取费表'!o"&amp;$G$1)+INDIRECT("'数据-取费表'!aq"&amp;$G$1)))</f>
        <v>1677</v>
      </c>
      <c r="D34" s="258"/>
      <c r="E34" s="261"/>
      <c r="F34" s="298">
        <f ca="1">IF('数据-取费表'!B24=0,1,IF(B1="",'数据-取费表'!N16,INDIRECT("'数据-取费表'!n"&amp;$G$1)))</f>
        <v>1</v>
      </c>
      <c r="G34" s="260" t="s">
        <v>2377</v>
      </c>
    </row>
    <row r="35" spans="1:7" ht="13.5" customHeight="1">
      <c r="A35" s="946" t="s">
        <v>796</v>
      </c>
      <c r="B35" s="256" t="s">
        <v>2378</v>
      </c>
      <c r="C35" s="261">
        <f ca="1">ROUND(C34*F35,0)</f>
        <v>84</v>
      </c>
      <c r="D35" s="261"/>
      <c r="E35" s="261"/>
      <c r="F35" s="300">
        <f>'数据-取费表'!B33</f>
        <v>0.05</v>
      </c>
      <c r="G35" s="260" t="s">
        <v>2379</v>
      </c>
    </row>
    <row r="36" spans="1:7" ht="24">
      <c r="A36" s="946" t="s">
        <v>797</v>
      </c>
      <c r="B36" s="256" t="s">
        <v>2380</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2381</v>
      </c>
    </row>
    <row r="37" spans="1:7" s="299" customFormat="1" ht="13.5" customHeight="1">
      <c r="A37" s="946" t="s">
        <v>798</v>
      </c>
      <c r="B37" s="256" t="s">
        <v>2382</v>
      </c>
      <c r="C37" s="290">
        <f ca="1">ROUND(E37*D37*F34/10000,0)</f>
        <v>157</v>
      </c>
      <c r="D37" s="258">
        <f ca="1">D19</f>
        <v>3130.82</v>
      </c>
      <c r="E37" s="290">
        <f>'数据-取费表'!B35</f>
        <v>500</v>
      </c>
      <c r="F37" s="300"/>
      <c r="G37" s="302" t="s">
        <v>2383</v>
      </c>
    </row>
    <row r="38" spans="1:7" ht="13.5" customHeight="1">
      <c r="A38" s="946" t="s">
        <v>799</v>
      </c>
      <c r="B38" s="256" t="s">
        <v>2384</v>
      </c>
      <c r="C38" s="261">
        <f ca="1">ROUND(C34*F38,0)</f>
        <v>25</v>
      </c>
      <c r="D38" s="261"/>
      <c r="E38" s="261"/>
      <c r="F38" s="300">
        <f>'数据-取费表'!B36</f>
        <v>1.4999999999999999E-2</v>
      </c>
      <c r="G38" s="260" t="s">
        <v>2379</v>
      </c>
    </row>
    <row r="39" spans="1:7" s="255" customFormat="1" ht="13.5" customHeight="1">
      <c r="A39" s="296" t="s">
        <v>2385</v>
      </c>
      <c r="B39" s="251" t="s">
        <v>2386</v>
      </c>
      <c r="C39" s="273">
        <f ca="1">ROUND(C33*F20,0)</f>
        <v>39</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70</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ROUND(IF('数据-取费表'!B22&lt;=1,C33*F22*'数据-取费表'!B21/2,C33*(POWER((1+F22),'数据-取费表'!B21/2)-1)),0)</f>
        <v>69</v>
      </c>
      <c r="D42" s="279"/>
      <c r="E42" s="279"/>
      <c r="F42" s="280"/>
      <c r="G42" s="3204" t="s">
        <v>2395</v>
      </c>
    </row>
    <row r="43" spans="1:7" ht="13.5" customHeight="1">
      <c r="A43" s="946" t="s">
        <v>792</v>
      </c>
      <c r="B43" s="256" t="s">
        <v>2396</v>
      </c>
      <c r="C43" s="279">
        <f ca="1">ROUND(IF('数据-取费表'!B22&lt;=1,C39*F22*'数据-取费表'!B21/2,C39*(POWER((1+F22),'数据-取费表'!B21/2)-1)),0)</f>
        <v>1</v>
      </c>
      <c r="D43" s="279"/>
      <c r="E43" s="279"/>
      <c r="F43" s="280"/>
      <c r="G43" s="3205"/>
    </row>
    <row r="44" spans="1:7" ht="13.5" customHeight="1">
      <c r="A44" s="946" t="s">
        <v>793</v>
      </c>
      <c r="B44" s="256" t="s">
        <v>2397</v>
      </c>
      <c r="C44" s="279">
        <f ca="1">ROUND(IF('数据-取费表'!B22&lt;=1,C40*F22*'数据-取费表'!B21/2,C40*(POWER((1+F22),'数据-取费表'!B21/2)-1)),4)</f>
        <v>1.8E-3</v>
      </c>
      <c r="D44" s="279"/>
      <c r="E44" s="279"/>
      <c r="F44" s="280"/>
      <c r="G44" s="3206"/>
    </row>
    <row r="45" spans="1:7" s="255" customFormat="1" ht="13.5" customHeight="1">
      <c r="A45" s="296" t="s">
        <v>2398</v>
      </c>
      <c r="B45" s="285" t="s">
        <v>2364</v>
      </c>
      <c r="C45" s="286">
        <f ca="1">C46</f>
        <v>714</v>
      </c>
      <c r="D45" s="276">
        <f ca="1">C47</f>
        <v>1.7999999999999999E-2</v>
      </c>
      <c r="E45" s="277" t="s">
        <v>2390</v>
      </c>
      <c r="F45" s="287"/>
      <c r="G45" s="288" t="s">
        <v>2399</v>
      </c>
    </row>
    <row r="46" spans="1:7" s="255" customFormat="1" ht="13.5" customHeight="1">
      <c r="A46" s="946" t="s">
        <v>791</v>
      </c>
      <c r="B46" s="289" t="s">
        <v>2400</v>
      </c>
      <c r="C46" s="290">
        <f ca="1">ROUND((C33+C39)*F27,0)</f>
        <v>714</v>
      </c>
      <c r="D46" s="304"/>
      <c r="E46" s="277"/>
      <c r="F46" s="287"/>
      <c r="G46" s="288"/>
    </row>
    <row r="47" spans="1:7" s="255" customFormat="1" ht="13.5" customHeight="1">
      <c r="A47" s="946" t="s">
        <v>792</v>
      </c>
      <c r="B47" s="289" t="s">
        <v>2401</v>
      </c>
      <c r="C47" s="279">
        <f ca="1">ROUND(C40*F27,4)</f>
        <v>1.7999999999999999E-2</v>
      </c>
      <c r="D47" s="304"/>
      <c r="E47" s="277"/>
      <c r="F47" s="287"/>
      <c r="G47" s="288"/>
    </row>
    <row r="48" spans="1:7" s="255" customFormat="1" ht="13.5" customHeight="1">
      <c r="A48" s="296" t="s">
        <v>2363</v>
      </c>
      <c r="B48" s="251" t="s">
        <v>2402</v>
      </c>
      <c r="C48" s="1723">
        <f>ROUND(F30/(1+'数据-取费表'!C42),4)</f>
        <v>5.2400000000000002E-2</v>
      </c>
      <c r="D48" s="277" t="s">
        <v>2390</v>
      </c>
      <c r="E48" s="273"/>
      <c r="F48" s="278"/>
      <c r="G48" s="275" t="s">
        <v>2403</v>
      </c>
    </row>
    <row r="49" spans="1:7" ht="16.5" customHeight="1">
      <c r="A49" s="296" t="s">
        <v>2369</v>
      </c>
      <c r="B49" s="251" t="s">
        <v>2404</v>
      </c>
      <c r="C49" s="273">
        <f ca="1">ROUND((C33+C39+C41+C45)/(1-C40-D41-D45-C48),0)</f>
        <v>3151</v>
      </c>
      <c r="D49" s="273"/>
      <c r="E49" s="273"/>
      <c r="F49" s="305"/>
      <c r="G49" s="275" t="s">
        <v>2405</v>
      </c>
    </row>
    <row r="50" spans="1:7" s="299" customFormat="1" ht="24">
      <c r="A50" s="296" t="s">
        <v>2406</v>
      </c>
      <c r="B50" s="251" t="s">
        <v>2407</v>
      </c>
      <c r="C50" s="273"/>
      <c r="D50" s="273"/>
      <c r="E50" s="273"/>
      <c r="F50" s="305">
        <f>IF('数据-取费表'!B24=0,'数据-取费表'!N16,1)</f>
        <v>0.93300000000000005</v>
      </c>
      <c r="G50" s="288" t="s">
        <v>2408</v>
      </c>
    </row>
    <row r="51" spans="1:7" ht="16.5" customHeight="1">
      <c r="A51" s="296" t="s">
        <v>2409</v>
      </c>
      <c r="B51" s="251" t="s">
        <v>2410</v>
      </c>
      <c r="C51" s="273">
        <f ca="1">ROUND(C49*F50,0)</f>
        <v>2940</v>
      </c>
      <c r="D51" s="273"/>
      <c r="E51" s="273"/>
      <c r="F51" s="305"/>
      <c r="G51" s="275" t="s">
        <v>2411</v>
      </c>
    </row>
    <row r="52" spans="1:7" s="249" customFormat="1" ht="16.5" thickBot="1">
      <c r="A52" s="306" t="s">
        <v>2412</v>
      </c>
      <c r="B52" s="307"/>
      <c r="C52" s="308">
        <f ca="1">C31+C51</f>
        <v>5925</v>
      </c>
      <c r="D52" s="307"/>
      <c r="E52" s="307"/>
      <c r="F52" s="307"/>
      <c r="G52" s="309"/>
    </row>
    <row r="55" spans="1:7" ht="15">
      <c r="B55" s="311" t="s">
        <v>2413</v>
      </c>
      <c r="C55" s="312"/>
    </row>
    <row r="56" spans="1:7">
      <c r="B56" s="314" t="s">
        <v>1515</v>
      </c>
      <c r="C56" s="316">
        <f ca="1">1-C57</f>
        <v>0.504</v>
      </c>
    </row>
    <row r="57" spans="1:7">
      <c r="B57" s="314" t="s">
        <v>1516</v>
      </c>
      <c r="C57" s="315">
        <f ca="1">ROUND(C51/C52,3)</f>
        <v>0.496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4" t="s">
        <v>2414</v>
      </c>
      <c r="D1" s="239"/>
      <c r="E1" s="239"/>
      <c r="F1" s="239"/>
      <c r="G1" s="1374">
        <f>MATCH(B1,'数据-取费表'!A6:A16,0)+5</f>
        <v>12</v>
      </c>
      <c r="H1" s="1277" t="str">
        <f>IF(ISERROR(FIND("住宅",B1)),"非住宅","住宅")</f>
        <v>非住宅</v>
      </c>
    </row>
    <row r="2" spans="1:8" s="241" customFormat="1" ht="18" customHeight="1">
      <c r="A2" s="242" t="s">
        <v>2313</v>
      </c>
      <c r="B2" s="243">
        <f ca="1">ROUND(IF(D2="——",C52/10000,C52/10000-E2),0)</f>
        <v>3144</v>
      </c>
      <c r="C2" s="240" t="s">
        <v>2314</v>
      </c>
      <c r="D2" s="2538" t="s">
        <v>70</v>
      </c>
      <c r="E2" s="1435" t="e">
        <f ca="1">SUMIF(INDIRECT("'"&amp;G2&amp;"'"&amp;"!A:A"),"承租人权益价值",INDIRECT("'"&amp;G2&amp;"'"&amp;"!c:c"))</f>
        <v>#REF!</v>
      </c>
      <c r="F2" s="2539" t="s">
        <v>2314</v>
      </c>
      <c r="G2" s="2540"/>
    </row>
    <row r="3" spans="1:8" s="241" customFormat="1" ht="18" customHeight="1" thickBot="1">
      <c r="A3" s="244" t="s">
        <v>2315</v>
      </c>
      <c r="B3" s="245">
        <f ca="1">ROUND(B2*10000/(IF(B1="",'数据-汇总表'!E3,INDIRECT("'数据-取费表'!k"&amp;$G$1))),0)</f>
        <v>10042</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303690</v>
      </c>
      <c r="D5" s="252" t="s">
        <v>2320</v>
      </c>
      <c r="E5" s="253" t="s">
        <v>2321</v>
      </c>
      <c r="F5" s="253" t="s">
        <v>2322</v>
      </c>
      <c r="G5" s="254"/>
    </row>
    <row r="6" spans="1:8" s="255" customFormat="1" ht="13.5" customHeight="1">
      <c r="A6" s="944" t="s">
        <v>2323</v>
      </c>
      <c r="B6" s="256" t="s">
        <v>2324</v>
      </c>
      <c r="C6" s="257"/>
      <c r="D6" s="258"/>
      <c r="E6" s="259"/>
      <c r="F6" s="259"/>
      <c r="G6" s="260"/>
    </row>
    <row r="7" spans="1:8" s="255" customFormat="1" ht="13.5" customHeight="1">
      <c r="A7" s="944" t="s">
        <v>2325</v>
      </c>
      <c r="B7" s="256" t="s">
        <v>2326</v>
      </c>
      <c r="C7" s="261">
        <f>ROUND(C6*F7,0)</f>
        <v>0</v>
      </c>
      <c r="D7" s="261"/>
      <c r="E7" s="259"/>
      <c r="F7" s="262">
        <f>'数据-取费表'!B48+'数据-取费表'!B49</f>
        <v>4.0500000000000001E-2</v>
      </c>
      <c r="G7" s="260"/>
    </row>
    <row r="8" spans="1:8" s="264" customFormat="1">
      <c r="A8" s="944" t="s">
        <v>2327</v>
      </c>
      <c r="B8" s="256" t="s">
        <v>2328</v>
      </c>
      <c r="C8" s="261">
        <f ca="1">IF(G8="已包含在土地购买价格中",0,C9+C10)</f>
        <v>303690</v>
      </c>
      <c r="D8" s="263"/>
      <c r="E8" s="261"/>
      <c r="F8" s="262"/>
      <c r="G8" s="2541"/>
    </row>
    <row r="9" spans="1:8" s="255" customFormat="1" ht="13.5" customHeight="1">
      <c r="A9" s="945" t="s">
        <v>800</v>
      </c>
      <c r="B9" s="265" t="s">
        <v>2329</v>
      </c>
      <c r="C9" s="266">
        <f ca="1">ROUND(D9*E9,0)</f>
        <v>0</v>
      </c>
      <c r="D9" s="1027">
        <f ca="1">IF(B1="",'数据-汇总表'!E5,IF(INDIRECT("'数据-取费表'!c"&amp;$G$1)="住宅",INDIRECT("'数据-取费表'!k"&amp;$G$1),0))</f>
        <v>0</v>
      </c>
      <c r="E9" s="266">
        <f>'数据-取费表'!B27</f>
        <v>148</v>
      </c>
      <c r="F9" s="262"/>
      <c r="G9" s="267"/>
    </row>
    <row r="10" spans="1:8" s="255" customFormat="1" ht="13.5" customHeight="1">
      <c r="A10" s="945" t="s">
        <v>801</v>
      </c>
      <c r="B10" s="265" t="s">
        <v>2331</v>
      </c>
      <c r="C10" s="266">
        <f ca="1">ROUND(D10*E10,0)</f>
        <v>303690</v>
      </c>
      <c r="D10" s="1027">
        <f ca="1">IF(B1="",'数据-汇总表'!E6,IF(INDIRECT("'数据-取费表'!c"&amp;$G$1)="住宅",INDIRECT("'数据-取费表'!s"&amp;$G$1),INDIRECT("'数据-取费表'!k"&amp;$G$1)+INDIRECT("'数据-取费表'!s"&amp;$G$1)))</f>
        <v>3130.82</v>
      </c>
      <c r="E10" s="266">
        <f>'数据-取费表'!B28</f>
        <v>97</v>
      </c>
      <c r="F10" s="262"/>
      <c r="G10" s="267"/>
    </row>
    <row r="11" spans="1:8" s="255" customFormat="1" ht="13.5" hidden="1" customHeight="1">
      <c r="A11" s="268" t="s">
        <v>7</v>
      </c>
      <c r="B11" s="256" t="s">
        <v>2332</v>
      </c>
      <c r="C11" s="252"/>
      <c r="D11" s="1029"/>
      <c r="E11" s="259"/>
      <c r="F11" s="259"/>
      <c r="G11" s="260"/>
    </row>
    <row r="12" spans="1:8" s="255" customFormat="1" ht="13.5" hidden="1" customHeight="1">
      <c r="A12" s="268" t="s">
        <v>8</v>
      </c>
      <c r="B12" s="256" t="s">
        <v>2415</v>
      </c>
      <c r="C12" s="252">
        <v>0</v>
      </c>
      <c r="D12" s="1029"/>
      <c r="E12" s="269"/>
      <c r="F12" s="262">
        <v>3.0499999999999999E-2</v>
      </c>
      <c r="G12" s="260"/>
    </row>
    <row r="13" spans="1:8" s="255" customFormat="1" ht="13.5" hidden="1" customHeight="1">
      <c r="A13" s="268" t="s">
        <v>9</v>
      </c>
      <c r="B13" s="256" t="s">
        <v>2416</v>
      </c>
      <c r="C13" s="252"/>
      <c r="D13" s="1029"/>
      <c r="E13" s="259"/>
      <c r="F13" s="259"/>
      <c r="G13" s="260"/>
    </row>
    <row r="14" spans="1:8" s="255" customFormat="1" ht="13.5" hidden="1" customHeight="1">
      <c r="A14" s="268" t="s">
        <v>10</v>
      </c>
      <c r="B14" s="256" t="s">
        <v>2328</v>
      </c>
      <c r="C14" s="252"/>
      <c r="D14" s="1029"/>
      <c r="E14" s="259"/>
      <c r="F14" s="259"/>
      <c r="G14" s="260" t="s">
        <v>2417</v>
      </c>
    </row>
    <row r="15" spans="1:8" s="255" customFormat="1" ht="13.5" hidden="1" customHeight="1">
      <c r="A15" s="268" t="s">
        <v>11</v>
      </c>
      <c r="B15" s="256" t="s">
        <v>2418</v>
      </c>
      <c r="C15" s="261"/>
      <c r="D15" s="1029"/>
      <c r="E15" s="259"/>
      <c r="F15" s="259"/>
      <c r="G15" s="260" t="s">
        <v>2419</v>
      </c>
    </row>
    <row r="16" spans="1:8" s="255" customFormat="1" ht="13.5" hidden="1" customHeight="1">
      <c r="A16" s="268" t="s">
        <v>12</v>
      </c>
      <c r="B16" s="256" t="s">
        <v>2328</v>
      </c>
      <c r="C16" s="261"/>
      <c r="D16" s="1029"/>
      <c r="E16" s="259"/>
      <c r="F16" s="259"/>
      <c r="G16" s="260"/>
    </row>
    <row r="17" spans="1:7" s="255" customFormat="1" ht="13.5" hidden="1" customHeight="1">
      <c r="A17" s="268" t="s">
        <v>13</v>
      </c>
      <c r="B17" s="256" t="s">
        <v>2420</v>
      </c>
      <c r="C17" s="270"/>
      <c r="D17" s="1030"/>
      <c r="E17" s="270"/>
      <c r="F17" s="270"/>
      <c r="G17" s="260" t="s">
        <v>2419</v>
      </c>
    </row>
    <row r="18" spans="1:7" s="255" customFormat="1" ht="13.5" hidden="1" customHeight="1">
      <c r="A18" s="268" t="s">
        <v>14</v>
      </c>
      <c r="B18" s="256" t="s">
        <v>2421</v>
      </c>
      <c r="C18" s="261">
        <v>0</v>
      </c>
      <c r="D18" s="1029"/>
      <c r="E18" s="259"/>
      <c r="F18" s="262">
        <v>3.0499999999999999E-2</v>
      </c>
      <c r="G18" s="260" t="s">
        <v>2422</v>
      </c>
    </row>
    <row r="19" spans="1:7" s="264" customFormat="1" ht="13.5" customHeight="1">
      <c r="A19" s="296" t="s">
        <v>2423</v>
      </c>
      <c r="B19" s="251" t="s">
        <v>2424</v>
      </c>
      <c r="C19" s="252">
        <f ca="1">IF(G19="已包含在土地取得成本中","0",ROUND(D19*E19,0))</f>
        <v>939246</v>
      </c>
      <c r="D19" s="1031">
        <f ca="1">D9+D10</f>
        <v>3130.82</v>
      </c>
      <c r="E19" s="252">
        <f>'数据-取费表'!B31</f>
        <v>300</v>
      </c>
      <c r="F19" s="272"/>
      <c r="G19" s="2541"/>
    </row>
    <row r="20" spans="1:7" s="255" customFormat="1" ht="13.5" customHeight="1">
      <c r="A20" s="296" t="s">
        <v>2425</v>
      </c>
      <c r="B20" s="251" t="s">
        <v>2426</v>
      </c>
      <c r="C20" s="273">
        <f ca="1">ROUND((C5+C19)*F20,0)</f>
        <v>24859</v>
      </c>
      <c r="D20" s="273"/>
      <c r="E20" s="273"/>
      <c r="F20" s="274">
        <f>'数据-取费表'!B37</f>
        <v>0.02</v>
      </c>
      <c r="G20" s="275" t="s">
        <v>2427</v>
      </c>
    </row>
    <row r="21" spans="1:7" s="255" customFormat="1" ht="13.5" customHeight="1">
      <c r="A21" s="296" t="s">
        <v>2428</v>
      </c>
      <c r="B21" s="251" t="s">
        <v>2429</v>
      </c>
      <c r="C21" s="276">
        <f>F21</f>
        <v>0.05</v>
      </c>
      <c r="D21" s="277" t="s">
        <v>2430</v>
      </c>
      <c r="E21" s="273"/>
      <c r="F21" s="274">
        <f>'数据-取费表'!B38</f>
        <v>0.05</v>
      </c>
      <c r="G21" s="275" t="s">
        <v>2431</v>
      </c>
    </row>
    <row r="22" spans="1:7" s="255" customFormat="1" ht="13.5" customHeight="1">
      <c r="A22" s="296" t="s">
        <v>2432</v>
      </c>
      <c r="B22" s="251" t="s">
        <v>2433</v>
      </c>
      <c r="C22" s="1375">
        <f ca="1">ROUND(SUM(C23:C25),0)</f>
        <v>90483</v>
      </c>
      <c r="D22" s="276">
        <f ca="1">C26</f>
        <v>1.8E-3</v>
      </c>
      <c r="E22" s="277" t="s">
        <v>2430</v>
      </c>
      <c r="F22" s="278">
        <f ca="1">'数据-取费表'!B40</f>
        <v>4.7500000000000001E-2</v>
      </c>
      <c r="G22" s="275" t="str">
        <f>IF('数据-取费表'!B22&lt;=1,"单利计息","复利计息")</f>
        <v>复利计息</v>
      </c>
    </row>
    <row r="23" spans="1:7" s="255" customFormat="1" ht="13.5" customHeight="1">
      <c r="A23" s="946" t="s">
        <v>2323</v>
      </c>
      <c r="B23" s="256" t="s">
        <v>2434</v>
      </c>
      <c r="C23" s="1376">
        <f ca="1">ROUND(IF('数据-取费表'!B22&lt;=1,C5*F22*'数据-取费表'!B22,C5*(POWER((1+F22),'数据-取费表'!B22)-1)),0)</f>
        <v>21893</v>
      </c>
      <c r="D23" s="279"/>
      <c r="E23" s="279"/>
      <c r="F23" s="280"/>
      <c r="G23" s="281" t="s">
        <v>2435</v>
      </c>
    </row>
    <row r="24" spans="1:7" s="255" customFormat="1" ht="13.5" customHeight="1">
      <c r="A24" s="946" t="s">
        <v>2325</v>
      </c>
      <c r="B24" s="256" t="s">
        <v>2436</v>
      </c>
      <c r="C24" s="1376">
        <f ca="1">ROUND(IF('数据-取费表'!B22&lt;=1,C19*F22*('数据-取费表'!B19/2+'数据-取费表'!B20),C19*(POWER((1+F22),('数据-取费表'!B19/2+'数据-取费表'!B20))-1)),0)</f>
        <v>67710</v>
      </c>
      <c r="D24" s="279"/>
      <c r="E24" s="279"/>
      <c r="F24" s="280"/>
      <c r="G24" s="281" t="s">
        <v>2437</v>
      </c>
    </row>
    <row r="25" spans="1:7" s="255" customFormat="1" ht="24">
      <c r="A25" s="946" t="s">
        <v>2327</v>
      </c>
      <c r="B25" s="256" t="s">
        <v>2438</v>
      </c>
      <c r="C25" s="1376">
        <f ca="1">ROUND(IF('数据-取费表'!B22&lt;=1,C20*F22*'数据-取费表'!B22/2,C20*(POWER((1+F22),'数据-取费表'!B22/2)-1)),0)</f>
        <v>880</v>
      </c>
      <c r="D25" s="279"/>
      <c r="E25" s="282"/>
      <c r="F25" s="280"/>
      <c r="G25" s="283" t="s">
        <v>2439</v>
      </c>
    </row>
    <row r="26" spans="1:7" s="255" customFormat="1">
      <c r="A26" s="946" t="s">
        <v>795</v>
      </c>
      <c r="B26" s="256" t="s">
        <v>2362</v>
      </c>
      <c r="C26" s="279">
        <f ca="1">ROUND(IF('数据-取费表'!B22&lt;=1,F21*F22*'数据-取费表'!B22/2,F21*(POWER((1+F22),'数据-取费表'!B22/2)-1)),4)</f>
        <v>1.8E-3</v>
      </c>
      <c r="D26" s="279"/>
      <c r="E26" s="282"/>
      <c r="F26" s="280"/>
      <c r="G26" s="284"/>
    </row>
    <row r="27" spans="1:7" s="255" customFormat="1" ht="24.75">
      <c r="A27" s="296" t="s">
        <v>2363</v>
      </c>
      <c r="B27" s="285" t="s">
        <v>2364</v>
      </c>
      <c r="C27" s="286">
        <f ca="1">C28</f>
        <v>456406</v>
      </c>
      <c r="D27" s="276">
        <f ca="1">C29</f>
        <v>1.7999999999999999E-2</v>
      </c>
      <c r="E27" s="277" t="s">
        <v>2365</v>
      </c>
      <c r="F27" s="287">
        <f ca="1">IF(B1="",'数据-取费表'!Q16,INDIRECT("'数据-取费表'!q"&amp;$G$1))</f>
        <v>0.36</v>
      </c>
      <c r="G27" s="288" t="s">
        <v>2366</v>
      </c>
    </row>
    <row r="28" spans="1:7" s="255" customFormat="1" ht="13.5" customHeight="1">
      <c r="A28" s="946" t="s">
        <v>791</v>
      </c>
      <c r="B28" s="289" t="s">
        <v>2367</v>
      </c>
      <c r="C28" s="290">
        <f ca="1">ROUND((C5+C19+C20)*F27,0)</f>
        <v>456406</v>
      </c>
      <c r="D28" s="276"/>
      <c r="E28" s="277"/>
      <c r="F28" s="287"/>
      <c r="G28" s="288"/>
    </row>
    <row r="29" spans="1:7" s="255" customFormat="1" ht="13.5" customHeight="1">
      <c r="A29" s="946" t="s">
        <v>792</v>
      </c>
      <c r="B29" s="289" t="s">
        <v>2368</v>
      </c>
      <c r="C29" s="279">
        <f ca="1">ROUND(C21*F27,4)</f>
        <v>1.7999999999999999E-2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2067309</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19418831</v>
      </c>
      <c r="D33" s="273"/>
      <c r="E33" s="253"/>
      <c r="F33" s="282"/>
      <c r="G33" s="275"/>
    </row>
    <row r="34" spans="1:7" s="299" customFormat="1" ht="13.5" customHeight="1">
      <c r="A34" s="946" t="s">
        <v>791</v>
      </c>
      <c r="B34" s="256" t="s">
        <v>2376</v>
      </c>
      <c r="C34" s="261">
        <f ca="1">ROUND(IF(B1="",SUMPRODUCT('数据-取费表'!K6:K14,'数据-取费表'!L6:L14),INDIRECT("'数据-取费表'!l"&amp;$G$1)*INDIRECT("'数据-取费表'!k"&amp;$G$1)+'数据-取费表'!L14*INDIRECT("'数据-取费表'!S"&amp;$G$1)),0)</f>
        <v>16763775</v>
      </c>
      <c r="D34" s="258"/>
      <c r="E34" s="261"/>
      <c r="F34" s="298"/>
      <c r="G34" s="260"/>
    </row>
    <row r="35" spans="1:7" ht="13.5" customHeight="1">
      <c r="A35" s="946" t="s">
        <v>796</v>
      </c>
      <c r="B35" s="256" t="s">
        <v>2378</v>
      </c>
      <c r="C35" s="261">
        <f ca="1">ROUND(C34*F35,0)</f>
        <v>838189</v>
      </c>
      <c r="D35" s="261"/>
      <c r="E35" s="261"/>
      <c r="F35" s="300">
        <f>'数据-取费表'!B33</f>
        <v>0.05</v>
      </c>
      <c r="G35" s="260" t="s">
        <v>2379</v>
      </c>
    </row>
    <row r="36" spans="1:7" ht="24">
      <c r="A36" s="946" t="s">
        <v>797</v>
      </c>
      <c r="B36" s="256" t="s">
        <v>2380</v>
      </c>
      <c r="C36" s="261">
        <f ca="1">ROUND(IF(B1="",SUM('数据-取费表'!AP6:AP13)*F36,IF(INDIRECT("'数据-取费表'!c"&amp;$G$1)="住宅",INDIRECT("'数据-取费表'!k"&amp;$G$1)*INDIRECT("'数据-取费表'!l"&amp;$G$1)*F36,0)),0)</f>
        <v>0</v>
      </c>
      <c r="D36" s="261"/>
      <c r="E36" s="261"/>
      <c r="F36" s="300">
        <f>'数据-取费表'!B34</f>
        <v>0</v>
      </c>
      <c r="G36" s="301" t="s">
        <v>2381</v>
      </c>
    </row>
    <row r="37" spans="1:7" s="299" customFormat="1" ht="13.5" customHeight="1">
      <c r="A37" s="946" t="s">
        <v>798</v>
      </c>
      <c r="B37" s="256" t="s">
        <v>2382</v>
      </c>
      <c r="C37" s="290">
        <f ca="1">ROUND(E37*D37,0)</f>
        <v>1565410</v>
      </c>
      <c r="D37" s="258">
        <f ca="1">D19</f>
        <v>3130.82</v>
      </c>
      <c r="E37" s="290">
        <f>'数据-取费表'!B35</f>
        <v>500</v>
      </c>
      <c r="F37" s="300"/>
      <c r="G37" s="302"/>
    </row>
    <row r="38" spans="1:7" ht="13.5" customHeight="1">
      <c r="A38" s="946" t="s">
        <v>799</v>
      </c>
      <c r="B38" s="256" t="s">
        <v>2384</v>
      </c>
      <c r="C38" s="261">
        <f ca="1">ROUND(C34*F38,0)</f>
        <v>251457</v>
      </c>
      <c r="D38" s="261"/>
      <c r="E38" s="261"/>
      <c r="F38" s="300">
        <f>'数据-取费表'!B36</f>
        <v>1.4999999999999999E-2</v>
      </c>
      <c r="G38" s="260" t="s">
        <v>2379</v>
      </c>
    </row>
    <row r="39" spans="1:7" s="255" customFormat="1" ht="13.5" customHeight="1">
      <c r="A39" s="296" t="s">
        <v>2385</v>
      </c>
      <c r="B39" s="251" t="s">
        <v>2386</v>
      </c>
      <c r="C39" s="273">
        <f ca="1">ROUND(C33*F20,0)</f>
        <v>388377</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701523</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ROUND(IF('数据-取费表'!B22&lt;=1,C33*F22*'数据-取费表'!B20/2,C33*(POWER((1+F22),'数据-取费表'!B20/2)-1)),0)</f>
        <v>687768</v>
      </c>
      <c r="D42" s="279"/>
      <c r="E42" s="279"/>
      <c r="F42" s="280"/>
      <c r="G42" s="3204" t="s">
        <v>2442</v>
      </c>
    </row>
    <row r="43" spans="1:7" ht="13.5" customHeight="1">
      <c r="A43" s="946" t="s">
        <v>792</v>
      </c>
      <c r="B43" s="256" t="s">
        <v>2396</v>
      </c>
      <c r="C43" s="279">
        <f ca="1">ROUND(IF('数据-取费表'!B22&lt;=1,C39*F22*'数据-取费表'!B20/2,C39*(POWER((1+F22),'数据-取费表'!B20/2)-1)),0)</f>
        <v>13755</v>
      </c>
      <c r="D43" s="279"/>
      <c r="E43" s="279"/>
      <c r="F43" s="280"/>
      <c r="G43" s="3205"/>
    </row>
    <row r="44" spans="1:7" ht="13.5" customHeight="1">
      <c r="A44" s="946" t="s">
        <v>793</v>
      </c>
      <c r="B44" s="256" t="s">
        <v>2397</v>
      </c>
      <c r="C44" s="279">
        <f ca="1">ROUND(IF('数据-取费表'!B22&lt;=1,C40*F22*'数据-取费表'!B20/2,C40*(POWER((1+F22),'数据-取费表'!B20/2)-1)),4)</f>
        <v>1.8E-3</v>
      </c>
      <c r="D44" s="279"/>
      <c r="E44" s="279"/>
      <c r="F44" s="280"/>
      <c r="G44" s="3206"/>
    </row>
    <row r="45" spans="1:7" s="255" customFormat="1" ht="13.5" customHeight="1">
      <c r="A45" s="296" t="s">
        <v>2398</v>
      </c>
      <c r="B45" s="285" t="s">
        <v>2364</v>
      </c>
      <c r="C45" s="286">
        <f ca="1">C46</f>
        <v>7130595</v>
      </c>
      <c r="D45" s="276">
        <f ca="1">C47</f>
        <v>1.7999999999999999E-2</v>
      </c>
      <c r="E45" s="277" t="s">
        <v>2390</v>
      </c>
      <c r="F45" s="287"/>
      <c r="G45" s="288" t="s">
        <v>2399</v>
      </c>
    </row>
    <row r="46" spans="1:7" s="255" customFormat="1" ht="13.5" customHeight="1">
      <c r="A46" s="946" t="s">
        <v>791</v>
      </c>
      <c r="B46" s="289" t="s">
        <v>2400</v>
      </c>
      <c r="C46" s="290">
        <f ca="1">ROUND((C33+C39)*F27,0)</f>
        <v>7130595</v>
      </c>
      <c r="D46" s="304"/>
      <c r="E46" s="277"/>
      <c r="F46" s="287"/>
      <c r="G46" s="288"/>
    </row>
    <row r="47" spans="1:7" s="255" customFormat="1" ht="13.5" customHeight="1">
      <c r="A47" s="946" t="s">
        <v>792</v>
      </c>
      <c r="B47" s="289" t="s">
        <v>2401</v>
      </c>
      <c r="C47" s="279">
        <f ca="1">ROUND(C40*F27,4)</f>
        <v>1.7999999999999999E-2</v>
      </c>
      <c r="D47" s="304"/>
      <c r="E47" s="277"/>
      <c r="F47" s="287"/>
      <c r="G47" s="288"/>
    </row>
    <row r="48" spans="1:7" s="255" customFormat="1" ht="13.5" customHeight="1">
      <c r="A48" s="296" t="s">
        <v>2363</v>
      </c>
      <c r="B48" s="251" t="s">
        <v>2402</v>
      </c>
      <c r="C48" s="303">
        <f>ROUND(F30/(1+'数据-取费表'!C42),4)</f>
        <v>5.2400000000000002E-2</v>
      </c>
      <c r="D48" s="277" t="s">
        <v>2390</v>
      </c>
      <c r="E48" s="273"/>
      <c r="F48" s="278"/>
      <c r="G48" s="275" t="s">
        <v>2403</v>
      </c>
    </row>
    <row r="49" spans="1:7" ht="16.5" customHeight="1">
      <c r="A49" s="296" t="s">
        <v>2369</v>
      </c>
      <c r="B49" s="251" t="s">
        <v>2443</v>
      </c>
      <c r="C49" s="273">
        <f ca="1">ROUND((C33+C39+C41+C45)/(1-C40-D41-D45-C48),0)</f>
        <v>31487043</v>
      </c>
      <c r="D49" s="273"/>
      <c r="E49" s="273"/>
      <c r="F49" s="305"/>
      <c r="G49" s="275" t="s">
        <v>2405</v>
      </c>
    </row>
    <row r="50" spans="1:7" s="299" customFormat="1">
      <c r="A50" s="296" t="s">
        <v>2406</v>
      </c>
      <c r="B50" s="251" t="s">
        <v>2407</v>
      </c>
      <c r="C50" s="273"/>
      <c r="D50" s="273"/>
      <c r="E50" s="273"/>
      <c r="F50" s="305">
        <f>IF('数据-取费表'!B24=0,'数据-取费表'!N16,1)</f>
        <v>0.93300000000000005</v>
      </c>
      <c r="G50" s="288"/>
    </row>
    <row r="51" spans="1:7" ht="16.5" customHeight="1">
      <c r="A51" s="296" t="s">
        <v>2409</v>
      </c>
      <c r="B51" s="251" t="s">
        <v>2444</v>
      </c>
      <c r="C51" s="273">
        <f ca="1">ROUND(C49*F50,0)</f>
        <v>29377411</v>
      </c>
      <c r="D51" s="273"/>
      <c r="E51" s="273"/>
      <c r="F51" s="305"/>
      <c r="G51" s="275" t="s">
        <v>2411</v>
      </c>
    </row>
    <row r="52" spans="1:7" s="249" customFormat="1" ht="16.5" thickBot="1">
      <c r="A52" s="306" t="s">
        <v>2412</v>
      </c>
      <c r="B52" s="307"/>
      <c r="C52" s="308">
        <f ca="1">C31+C51</f>
        <v>31444720</v>
      </c>
      <c r="D52" s="307"/>
      <c r="E52" s="307"/>
      <c r="F52" s="307"/>
      <c r="G52" s="309"/>
    </row>
    <row r="55" spans="1:7" ht="15">
      <c r="B55" s="311" t="s">
        <v>2413</v>
      </c>
      <c r="C55" s="312"/>
    </row>
    <row r="56" spans="1:7">
      <c r="B56" s="314" t="s">
        <v>1515</v>
      </c>
      <c r="C56" s="316">
        <f ca="1">1-C57</f>
        <v>6.5999999999999948E-2</v>
      </c>
    </row>
    <row r="57" spans="1:7">
      <c r="B57" s="314" t="s">
        <v>1516</v>
      </c>
      <c r="C57" s="315">
        <f ca="1">ROUND(C51/C52,3)</f>
        <v>0.93400000000000005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2445</v>
      </c>
      <c r="B1" s="1576"/>
      <c r="C1" s="1577"/>
      <c r="D1" s="1575"/>
      <c r="E1" s="317"/>
      <c r="F1" s="317"/>
      <c r="G1" s="1576"/>
      <c r="H1" s="317"/>
      <c r="I1" s="317"/>
      <c r="J1" s="317"/>
      <c r="K1" s="317">
        <f>MATCH(C1,'数据-取费表'!A6:A16,0)+5</f>
        <v>12</v>
      </c>
    </row>
    <row r="2" spans="1:33" ht="18" customHeight="1">
      <c r="A2" s="242" t="s">
        <v>2313</v>
      </c>
      <c r="B2" s="245">
        <f ca="1">C32</f>
        <v>0</v>
      </c>
      <c r="C2" s="317" t="s">
        <v>2446</v>
      </c>
      <c r="D2" s="317"/>
      <c r="E2" s="317"/>
      <c r="F2" s="317"/>
      <c r="G2" s="317"/>
      <c r="H2" s="317"/>
      <c r="I2" s="317"/>
      <c r="J2" s="317"/>
      <c r="K2" s="317"/>
    </row>
    <row r="3" spans="1:33" ht="18" customHeight="1" thickBot="1">
      <c r="A3" s="244" t="s">
        <v>2315</v>
      </c>
      <c r="B3" s="245">
        <f ca="1">ROUND(B2*10000/IF(C1="",'数据-汇总表'!E3,INDIRECT("'数据-取费表'!K"&amp;$K$1)),0)</f>
        <v>0</v>
      </c>
      <c r="C3" s="317" t="s">
        <v>2447</v>
      </c>
      <c r="D3" s="317"/>
      <c r="E3" s="317"/>
      <c r="F3" s="317"/>
      <c r="G3" s="317"/>
      <c r="H3" s="317"/>
      <c r="I3" s="317"/>
      <c r="J3" s="317"/>
      <c r="K3" s="317"/>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7" t="s">
        <v>2456</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4"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2"/>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2"/>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3130.82</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7"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7"/>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3130.82</v>
      </c>
      <c r="E17" s="24">
        <f>'数据-取费表'!B32</f>
        <v>0</v>
      </c>
      <c r="F17" s="973"/>
      <c r="G17" s="137"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30</v>
      </c>
      <c r="D20" s="1028">
        <f ca="1">IF(C1="",'数据-汇总表'!E6,IF(INDIRECT("'数据-取费表'!c"&amp;$K$1)="住宅",INDIRECT("'数据-取费表'!s"&amp;$K$1),INDIRECT("'数据-取费表'!k"&amp;$K$1)+INDIRECT("'数据-取费表'!s"&amp;$K$1)))</f>
        <v>3130.82</v>
      </c>
      <c r="E20" s="24">
        <f>'数据-取费表'!B28</f>
        <v>97</v>
      </c>
      <c r="F20" s="971"/>
      <c r="G20" s="15"/>
      <c r="H20" s="976"/>
      <c r="I20" s="976"/>
      <c r="J20" s="976"/>
      <c r="K20" s="977"/>
    </row>
    <row r="21" spans="1:33" s="970" customFormat="1" ht="13.5" customHeight="1">
      <c r="A21" s="956" t="s">
        <v>802</v>
      </c>
      <c r="B21" s="980" t="s">
        <v>2482</v>
      </c>
      <c r="C21" s="981">
        <f ca="1">C16+C17+C18</f>
        <v>0</v>
      </c>
      <c r="D21" s="982"/>
      <c r="E21" s="322"/>
      <c r="F21" s="322"/>
      <c r="G21" s="137" t="s">
        <v>2483</v>
      </c>
      <c r="H21" s="974"/>
      <c r="I21" s="974"/>
      <c r="J21" s="974"/>
      <c r="K21" s="975"/>
    </row>
    <row r="22" spans="1:33" s="970" customFormat="1" ht="13.5" customHeight="1">
      <c r="A22" s="956" t="s">
        <v>2455</v>
      </c>
      <c r="B22" s="980" t="s">
        <v>2484</v>
      </c>
      <c r="C22" s="981">
        <f ca="1">ROUND(C21*F22,0)</f>
        <v>0</v>
      </c>
      <c r="D22" s="322"/>
      <c r="E22" s="322"/>
      <c r="F22" s="983">
        <f>'数据-取费表'!B37</f>
        <v>0.02</v>
      </c>
      <c r="G22" s="8" t="s">
        <v>2485</v>
      </c>
      <c r="H22" s="963"/>
      <c r="I22" s="963"/>
      <c r="J22" s="963"/>
      <c r="K22" s="964"/>
    </row>
    <row r="23" spans="1:33" s="970" customFormat="1" ht="13.5" customHeight="1">
      <c r="A23" s="956" t="s">
        <v>2457</v>
      </c>
      <c r="B23" s="980" t="s">
        <v>2486</v>
      </c>
      <c r="C23" s="981">
        <f ca="1">ROUND(C4*F23*F11,0)</f>
        <v>0</v>
      </c>
      <c r="D23" s="322"/>
      <c r="E23" s="322"/>
      <c r="F23" s="983">
        <f>'数据-取费表'!B38</f>
        <v>0.05</v>
      </c>
      <c r="G23" s="8" t="s">
        <v>2487</v>
      </c>
      <c r="H23" s="963"/>
      <c r="I23" s="963"/>
      <c r="J23" s="963"/>
      <c r="K23" s="964"/>
    </row>
    <row r="24" spans="1:33" s="970" customFormat="1" ht="13.5" customHeight="1">
      <c r="A24" s="956" t="s">
        <v>2488</v>
      </c>
      <c r="B24" s="980" t="s">
        <v>2489</v>
      </c>
      <c r="C24" s="321">
        <f>ROUND(F24/(1+'数据-取费表'!C42),4)</f>
        <v>3.8600000000000002E-2</v>
      </c>
      <c r="D24" s="322" t="s">
        <v>15</v>
      </c>
      <c r="E24" s="322"/>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5"/>
      <c r="E26" s="326"/>
      <c r="F26" s="327"/>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5"/>
      <c r="E27" s="326"/>
      <c r="F27" s="327"/>
      <c r="G27" s="2549" t="str">
        <f>IF('数据-取费表'!B22&lt;=1,"（1）-（3）项×年利率×建设期÷2","（1）-（3）项×((1+年利率)^(建设期÷2)-1)")</f>
        <v>（1）-（3）项×((1+年利率)^(建设期÷2)-1)</v>
      </c>
      <c r="H27" s="974"/>
      <c r="I27" s="974"/>
      <c r="J27" s="974"/>
      <c r="K27" s="975"/>
    </row>
    <row r="28" spans="1:33" s="330" customFormat="1" ht="13.5" customHeight="1">
      <c r="A28" s="956" t="s">
        <v>2495</v>
      </c>
      <c r="B28" s="2550" t="s">
        <v>2496</v>
      </c>
      <c r="C28" s="328">
        <f ca="1">C30</f>
        <v>0</v>
      </c>
      <c r="D28" s="321">
        <f ca="1">C29</f>
        <v>0</v>
      </c>
      <c r="E28" s="323" t="s">
        <v>15</v>
      </c>
      <c r="F28" s="329">
        <f ca="1">IF(C1="",'数据-取费表'!Q16,INDIRECT("'数据-取费表'!q"&amp;$K$1))</f>
        <v>0.36</v>
      </c>
      <c r="G28" s="984"/>
      <c r="H28" s="985"/>
      <c r="I28" s="985"/>
      <c r="J28" s="985"/>
      <c r="K28" s="986"/>
    </row>
    <row r="29" spans="1:33" s="332" customFormat="1" ht="13.5" customHeight="1">
      <c r="A29" s="966" t="s">
        <v>803</v>
      </c>
      <c r="B29" s="989" t="s">
        <v>2497</v>
      </c>
      <c r="C29" s="325">
        <f ca="1">ROUND((1+C24)*F28*'数据-取费表'!B24/'数据-取费表'!B20,4)</f>
        <v>0</v>
      </c>
      <c r="D29" s="325"/>
      <c r="E29" s="326"/>
      <c r="F29" s="331"/>
      <c r="G29" s="137" t="s">
        <v>2498</v>
      </c>
      <c r="H29" s="974"/>
      <c r="I29" s="974"/>
      <c r="J29" s="974"/>
      <c r="K29" s="975"/>
    </row>
    <row r="30" spans="1:33" s="332" customFormat="1" ht="13.5" customHeight="1">
      <c r="A30" s="966" t="s">
        <v>804</v>
      </c>
      <c r="B30" s="989" t="s">
        <v>2499</v>
      </c>
      <c r="C30" s="333">
        <f ca="1">ROUND((C21+C22+C23)*F28,0)</f>
        <v>0</v>
      </c>
      <c r="D30" s="325"/>
      <c r="E30" s="326"/>
      <c r="F30" s="331"/>
      <c r="G30" s="137"/>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3130.82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225" t="s">
        <v>2522</v>
      </c>
      <c r="D4" s="3226"/>
      <c r="E4" s="3227" t="s">
        <v>2523</v>
      </c>
      <c r="F4" s="3228"/>
      <c r="G4" s="3225" t="s">
        <v>2524</v>
      </c>
      <c r="H4" s="3226"/>
      <c r="I4" s="3225" t="s">
        <v>2525</v>
      </c>
      <c r="J4" s="3226"/>
      <c r="K4" s="2587" t="s">
        <v>2526</v>
      </c>
      <c r="L4" s="1125"/>
      <c r="M4" s="1126"/>
      <c r="N4" s="1126"/>
      <c r="O4" s="1126"/>
      <c r="P4" s="3229" t="s">
        <v>2527</v>
      </c>
      <c r="Q4" s="3230"/>
      <c r="R4" s="3212" t="s">
        <v>2523</v>
      </c>
      <c r="S4" s="3213"/>
      <c r="T4" s="3212" t="s">
        <v>2524</v>
      </c>
      <c r="U4" s="3213"/>
      <c r="V4" s="3237" t="s">
        <v>2525</v>
      </c>
      <c r="W4" s="3237"/>
      <c r="X4" s="1808"/>
      <c r="Y4" s="3212" t="s">
        <v>2527</v>
      </c>
      <c r="Z4" s="3213"/>
      <c r="AA4" s="3207" t="s">
        <v>2523</v>
      </c>
      <c r="AB4" s="3207" t="s">
        <v>2524</v>
      </c>
      <c r="AC4" s="3207" t="s">
        <v>2525</v>
      </c>
    </row>
    <row r="5" spans="1:29" ht="15">
      <c r="A5" s="401"/>
      <c r="B5" s="402"/>
      <c r="C5" s="3218" t="s">
        <v>2528</v>
      </c>
      <c r="D5" s="3219"/>
      <c r="E5" s="3216" t="s">
        <v>2529</v>
      </c>
      <c r="F5" s="3217"/>
      <c r="G5" s="3218" t="s">
        <v>2530</v>
      </c>
      <c r="H5" s="3219"/>
      <c r="I5" s="3218" t="s">
        <v>2531</v>
      </c>
      <c r="J5" s="3219"/>
      <c r="K5" s="2588"/>
      <c r="L5" s="1125"/>
      <c r="M5" s="1126"/>
      <c r="N5" s="1126"/>
      <c r="O5" s="1126"/>
      <c r="P5" s="3231"/>
      <c r="Q5" s="3232"/>
      <c r="R5" s="3214"/>
      <c r="S5" s="3215"/>
      <c r="T5" s="3214"/>
      <c r="U5" s="3215"/>
      <c r="V5" s="3237"/>
      <c r="W5" s="3237"/>
      <c r="X5" s="1808"/>
      <c r="Y5" s="3214"/>
      <c r="Z5" s="3215"/>
      <c r="AA5" s="3208"/>
      <c r="AB5" s="3208"/>
      <c r="AC5" s="3208"/>
    </row>
    <row r="6" spans="1:29" ht="15.75" thickBot="1">
      <c r="A6" s="403"/>
      <c r="B6" s="404"/>
      <c r="C6" s="3220" t="s">
        <v>2532</v>
      </c>
      <c r="D6" s="3221"/>
      <c r="E6" s="3222" t="s">
        <v>2532</v>
      </c>
      <c r="F6" s="3223"/>
      <c r="G6" s="3220" t="s">
        <v>2532</v>
      </c>
      <c r="H6" s="3221"/>
      <c r="I6" s="3220" t="s">
        <v>2532</v>
      </c>
      <c r="J6" s="3221"/>
      <c r="K6" s="2588" t="s">
        <v>2533</v>
      </c>
      <c r="L6" s="1125"/>
      <c r="M6" s="1126"/>
      <c r="N6" s="1126"/>
      <c r="O6" s="1126"/>
      <c r="P6" s="3233"/>
      <c r="Q6" s="3234"/>
      <c r="R6" s="3214"/>
      <c r="S6" s="3215"/>
      <c r="T6" s="3235"/>
      <c r="U6" s="3236"/>
      <c r="V6" s="3237"/>
      <c r="W6" s="3237"/>
      <c r="X6" s="1808"/>
      <c r="Y6" s="3235"/>
      <c r="Z6" s="3236"/>
      <c r="AA6" s="3209"/>
      <c r="AB6" s="3209"/>
      <c r="AC6" s="3209"/>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10" t="s">
        <v>2535</v>
      </c>
      <c r="Q7" s="3238"/>
      <c r="R7" s="767" t="s">
        <v>23</v>
      </c>
      <c r="S7" s="768">
        <f t="shared" ref="S7:S15" si="0">F7</f>
        <v>0</v>
      </c>
      <c r="T7" s="767" t="s">
        <v>23</v>
      </c>
      <c r="U7" s="768">
        <f t="shared" ref="U7:U15" si="1">H7</f>
        <v>0</v>
      </c>
      <c r="V7" s="767" t="s">
        <v>23</v>
      </c>
      <c r="W7" s="768">
        <f t="shared" ref="W7:W15" si="2">J7</f>
        <v>0</v>
      </c>
      <c r="X7" s="769"/>
      <c r="Y7" s="3210" t="s">
        <v>2535</v>
      </c>
      <c r="Z7" s="3211"/>
      <c r="AA7" s="770" t="e">
        <f>D7/F7</f>
        <v>#DIV/0!</v>
      </c>
      <c r="AB7" s="770" t="e">
        <f>D7/H7</f>
        <v>#DIV/0!</v>
      </c>
      <c r="AC7" s="770" t="e">
        <f>D7/J7</f>
        <v>#DIV/0!</v>
      </c>
    </row>
    <row r="8" spans="1:29" s="114" customFormat="1" ht="15.75" thickBot="1">
      <c r="A8" s="405" t="s">
        <v>2536</v>
      </c>
      <c r="B8" s="406"/>
      <c r="C8" s="411" t="s">
        <v>2537</v>
      </c>
      <c r="D8" s="408">
        <v>100</v>
      </c>
      <c r="E8" s="2590" t="s">
        <v>3034</v>
      </c>
      <c r="F8" s="410">
        <f>SUMIF(61:61,E8,62:62)-SUMIF(61:61,C8,62:62)+100</f>
        <v>100</v>
      </c>
      <c r="G8" s="411" t="s">
        <v>3034</v>
      </c>
      <c r="H8" s="408">
        <f>SUMIF(61:61,G8,62:62)-SUMIF(61:61,C8,62:62)+100</f>
        <v>100</v>
      </c>
      <c r="I8" s="2590" t="s">
        <v>3034</v>
      </c>
      <c r="J8" s="408">
        <f>SUMIF(61:61,I8,62:62)-SUMIF(61:61,C8,62:62)+100</f>
        <v>100</v>
      </c>
      <c r="K8" s="2589"/>
      <c r="L8" s="1127"/>
      <c r="M8" s="1128"/>
      <c r="N8" s="1128"/>
      <c r="O8" s="1128"/>
      <c r="P8" s="3210" t="s">
        <v>2538</v>
      </c>
      <c r="Q8" s="3211"/>
      <c r="R8" s="767" t="s">
        <v>23</v>
      </c>
      <c r="S8" s="768">
        <f t="shared" si="0"/>
        <v>100</v>
      </c>
      <c r="T8" s="767" t="s">
        <v>23</v>
      </c>
      <c r="U8" s="768">
        <f t="shared" si="1"/>
        <v>100</v>
      </c>
      <c r="V8" s="767" t="s">
        <v>23</v>
      </c>
      <c r="W8" s="768">
        <f t="shared" si="2"/>
        <v>100</v>
      </c>
      <c r="X8" s="769"/>
      <c r="Y8" s="3210" t="s">
        <v>2538</v>
      </c>
      <c r="Z8" s="3211"/>
      <c r="AA8" s="770">
        <f t="shared" ref="AA8:AA19" si="3">D8/F8</f>
        <v>1</v>
      </c>
      <c r="AB8" s="770">
        <f t="shared" ref="AB8:AB19" si="4">D8/H8</f>
        <v>1</v>
      </c>
      <c r="AC8" s="770">
        <f t="shared" ref="AC8:AC19" si="5">D8/J8</f>
        <v>1</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224" t="s">
        <v>2541</v>
      </c>
      <c r="Q9" s="1790" t="str">
        <f t="shared" ref="Q9:Q15" si="6">B9</f>
        <v>用途</v>
      </c>
      <c r="R9" s="767" t="s">
        <v>17</v>
      </c>
      <c r="S9" s="768">
        <f t="shared" si="0"/>
        <v>100</v>
      </c>
      <c r="T9" s="767" t="s">
        <v>17</v>
      </c>
      <c r="U9" s="768">
        <f t="shared" si="1"/>
        <v>100</v>
      </c>
      <c r="V9" s="767" t="s">
        <v>17</v>
      </c>
      <c r="W9" s="768">
        <f t="shared" si="2"/>
        <v>100</v>
      </c>
      <c r="X9" s="769"/>
      <c r="Y9" s="3080"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224"/>
      <c r="Q10" s="1790" t="str">
        <f t="shared" si="6"/>
        <v>土地使用年限（年）</v>
      </c>
      <c r="R10" s="767" t="s">
        <v>17</v>
      </c>
      <c r="S10" s="768">
        <f t="shared" si="0"/>
        <v>100</v>
      </c>
      <c r="T10" s="767" t="s">
        <v>17</v>
      </c>
      <c r="U10" s="768">
        <f t="shared" si="1"/>
        <v>100</v>
      </c>
      <c r="V10" s="767" t="s">
        <v>17</v>
      </c>
      <c r="W10" s="768">
        <f t="shared" si="2"/>
        <v>100</v>
      </c>
      <c r="X10" s="769"/>
      <c r="Y10" s="3080"/>
      <c r="Z10" s="55" t="str">
        <f t="shared" si="7"/>
        <v>土地使用年限（年）</v>
      </c>
      <c r="AA10" s="770">
        <f t="shared" si="3"/>
        <v>1</v>
      </c>
      <c r="AB10" s="770">
        <f t="shared" si="4"/>
        <v>1</v>
      </c>
      <c r="AC10" s="770">
        <f t="shared" si="5"/>
        <v>1</v>
      </c>
    </row>
    <row r="11" spans="1:29" ht="15">
      <c r="A11" s="425"/>
      <c r="B11" s="419" t="s">
        <v>2544</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224"/>
      <c r="Q11" s="1790" t="str">
        <f t="shared" si="6"/>
        <v>容积率</v>
      </c>
      <c r="R11" s="767" t="s">
        <v>21</v>
      </c>
      <c r="S11" s="768">
        <f t="shared" si="0"/>
        <v>100</v>
      </c>
      <c r="T11" s="767" t="s">
        <v>21</v>
      </c>
      <c r="U11" s="768">
        <f t="shared" si="1"/>
        <v>100</v>
      </c>
      <c r="V11" s="767" t="s">
        <v>21</v>
      </c>
      <c r="W11" s="768">
        <f t="shared" si="2"/>
        <v>100</v>
      </c>
      <c r="X11" s="769"/>
      <c r="Y11" s="3080"/>
      <c r="Z11" s="55" t="str">
        <f t="shared" si="7"/>
        <v>容积率</v>
      </c>
      <c r="AA11" s="770">
        <f t="shared" si="3"/>
        <v>1</v>
      </c>
      <c r="AB11" s="770">
        <f t="shared" si="4"/>
        <v>1</v>
      </c>
      <c r="AC11" s="770">
        <f t="shared" si="5"/>
        <v>1</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224"/>
      <c r="Q12" s="1790">
        <f t="shared" si="6"/>
        <v>111</v>
      </c>
      <c r="R12" s="767" t="s">
        <v>21</v>
      </c>
      <c r="S12" s="768">
        <f t="shared" si="0"/>
        <v>100</v>
      </c>
      <c r="T12" s="767" t="s">
        <v>21</v>
      </c>
      <c r="U12" s="768">
        <f t="shared" si="1"/>
        <v>100</v>
      </c>
      <c r="V12" s="767" t="s">
        <v>21</v>
      </c>
      <c r="W12" s="768">
        <f t="shared" si="2"/>
        <v>100</v>
      </c>
      <c r="X12" s="769"/>
      <c r="Y12" s="3080"/>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224"/>
      <c r="Q13" s="1790">
        <f t="shared" si="6"/>
        <v>111</v>
      </c>
      <c r="R13" s="767" t="s">
        <v>21</v>
      </c>
      <c r="S13" s="768">
        <f t="shared" si="0"/>
        <v>100</v>
      </c>
      <c r="T13" s="767" t="s">
        <v>21</v>
      </c>
      <c r="U13" s="768">
        <f t="shared" si="1"/>
        <v>100</v>
      </c>
      <c r="V13" s="767" t="s">
        <v>21</v>
      </c>
      <c r="W13" s="768">
        <f t="shared" si="2"/>
        <v>100</v>
      </c>
      <c r="X13" s="769"/>
      <c r="Y13" s="3080"/>
      <c r="Z13" s="55">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224"/>
      <c r="Q14" s="1790">
        <f t="shared" si="6"/>
        <v>111</v>
      </c>
      <c r="R14" s="767" t="s">
        <v>21</v>
      </c>
      <c r="S14" s="768">
        <f t="shared" si="0"/>
        <v>100</v>
      </c>
      <c r="T14" s="767" t="s">
        <v>21</v>
      </c>
      <c r="U14" s="768">
        <f t="shared" si="1"/>
        <v>100</v>
      </c>
      <c r="V14" s="767" t="s">
        <v>21</v>
      </c>
      <c r="W14" s="768">
        <f t="shared" si="2"/>
        <v>100</v>
      </c>
      <c r="X14" s="769"/>
      <c r="Y14" s="3080"/>
      <c r="Z14" s="55">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51" t="s">
        <v>2546</v>
      </c>
      <c r="Q15" s="1805" t="str">
        <f t="shared" si="6"/>
        <v>居住社区成熟度</v>
      </c>
      <c r="R15" s="771" t="s">
        <v>21</v>
      </c>
      <c r="S15" s="772">
        <f t="shared" si="0"/>
        <v>100</v>
      </c>
      <c r="T15" s="771" t="s">
        <v>21</v>
      </c>
      <c r="U15" s="772">
        <f t="shared" si="1"/>
        <v>100</v>
      </c>
      <c r="V15" s="771" t="s">
        <v>21</v>
      </c>
      <c r="W15" s="772">
        <f t="shared" si="2"/>
        <v>100</v>
      </c>
      <c r="X15" s="1808"/>
      <c r="Y15" s="3244" t="s">
        <v>2546</v>
      </c>
      <c r="Z15" s="1809" t="str">
        <f t="shared" si="7"/>
        <v>居住社区成熟度</v>
      </c>
      <c r="AA15" s="1806">
        <f t="shared" si="3"/>
        <v>1</v>
      </c>
      <c r="AB15" s="1806">
        <f t="shared" si="4"/>
        <v>1</v>
      </c>
      <c r="AC15" s="1806">
        <f t="shared" si="5"/>
        <v>1</v>
      </c>
    </row>
    <row r="16" spans="1:29" ht="15">
      <c r="A16" s="425"/>
      <c r="B16" s="443"/>
      <c r="C16" s="444"/>
      <c r="D16" s="445"/>
      <c r="E16" s="2595"/>
      <c r="F16" s="445"/>
      <c r="G16" s="2596"/>
      <c r="H16" s="447"/>
      <c r="I16" s="2596"/>
      <c r="J16" s="445"/>
      <c r="K16" s="2597"/>
      <c r="L16" s="1135"/>
      <c r="M16" s="1126"/>
      <c r="N16" s="1126"/>
      <c r="O16" s="1126"/>
      <c r="P16" s="3252"/>
      <c r="Q16" s="1805"/>
      <c r="R16" s="771"/>
      <c r="S16" s="772"/>
      <c r="T16" s="771"/>
      <c r="U16" s="772"/>
      <c r="V16" s="771"/>
      <c r="W16" s="772"/>
      <c r="X16" s="1808"/>
      <c r="Y16" s="3245"/>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52"/>
      <c r="Q17" s="1805" t="str">
        <f>B17</f>
        <v>交通便捷度</v>
      </c>
      <c r="R17" s="771" t="s">
        <v>21</v>
      </c>
      <c r="S17" s="772">
        <f>F17</f>
        <v>100</v>
      </c>
      <c r="T17" s="771" t="s">
        <v>21</v>
      </c>
      <c r="U17" s="772">
        <f>H17</f>
        <v>100</v>
      </c>
      <c r="V17" s="771" t="s">
        <v>21</v>
      </c>
      <c r="W17" s="772">
        <f>J17</f>
        <v>100</v>
      </c>
      <c r="X17" s="1808"/>
      <c r="Y17" s="3245"/>
      <c r="Z17" s="1809" t="str">
        <f>Q17</f>
        <v>交通便捷度</v>
      </c>
      <c r="AA17" s="1806">
        <f t="shared" si="3"/>
        <v>1</v>
      </c>
      <c r="AB17" s="1806">
        <f t="shared" si="4"/>
        <v>1</v>
      </c>
      <c r="AC17" s="1806">
        <f t="shared" si="5"/>
        <v>1</v>
      </c>
    </row>
    <row r="18" spans="1:29" ht="15">
      <c r="A18" s="425"/>
      <c r="B18" s="453"/>
      <c r="C18" s="2599"/>
      <c r="D18" s="447"/>
      <c r="E18" s="2600"/>
      <c r="F18" s="447"/>
      <c r="G18" s="2601"/>
      <c r="H18" s="445"/>
      <c r="I18" s="2601"/>
      <c r="J18" s="445"/>
      <c r="K18" s="2597"/>
      <c r="L18" s="1135"/>
      <c r="M18" s="1126"/>
      <c r="N18" s="1126"/>
      <c r="O18" s="1126"/>
      <c r="P18" s="3252"/>
      <c r="Q18" s="1805"/>
      <c r="R18" s="771"/>
      <c r="S18" s="772"/>
      <c r="T18" s="771"/>
      <c r="U18" s="772"/>
      <c r="V18" s="771"/>
      <c r="W18" s="772"/>
      <c r="X18" s="1808"/>
      <c r="Y18" s="3245"/>
      <c r="Z18" s="1809"/>
      <c r="AA18" s="1806">
        <v>1</v>
      </c>
      <c r="AB18" s="1806">
        <v>1</v>
      </c>
      <c r="AC18" s="1806">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52"/>
      <c r="Q19" s="1805" t="str">
        <f>B19</f>
        <v>公共配套设施</v>
      </c>
      <c r="R19" s="771" t="s">
        <v>21</v>
      </c>
      <c r="S19" s="772">
        <f>F19</f>
        <v>100</v>
      </c>
      <c r="T19" s="771" t="s">
        <v>21</v>
      </c>
      <c r="U19" s="772">
        <f>H19</f>
        <v>100</v>
      </c>
      <c r="V19" s="771" t="s">
        <v>21</v>
      </c>
      <c r="W19" s="772">
        <f>J19</f>
        <v>100</v>
      </c>
      <c r="X19" s="1808"/>
      <c r="Y19" s="3245"/>
      <c r="Z19" s="1809" t="str">
        <f>Q19</f>
        <v>公共配套设施</v>
      </c>
      <c r="AA19" s="1806">
        <f t="shared" si="3"/>
        <v>1</v>
      </c>
      <c r="AB19" s="1806">
        <f t="shared" si="4"/>
        <v>1</v>
      </c>
      <c r="AC19" s="1806">
        <f t="shared" si="5"/>
        <v>1</v>
      </c>
    </row>
    <row r="20" spans="1:29" ht="15">
      <c r="A20" s="425"/>
      <c r="B20" s="453"/>
      <c r="C20" s="444"/>
      <c r="D20" s="445"/>
      <c r="E20" s="2595"/>
      <c r="F20" s="445"/>
      <c r="G20" s="2596"/>
      <c r="H20" s="445"/>
      <c r="I20" s="2596"/>
      <c r="J20" s="445"/>
      <c r="K20" s="2597"/>
      <c r="L20" s="1135"/>
      <c r="M20" s="1126"/>
      <c r="N20" s="1126"/>
      <c r="O20" s="1126"/>
      <c r="P20" s="3252"/>
      <c r="Q20" s="1805"/>
      <c r="R20" s="771"/>
      <c r="S20" s="772"/>
      <c r="T20" s="771"/>
      <c r="U20" s="772"/>
      <c r="V20" s="771"/>
      <c r="W20" s="772"/>
      <c r="X20" s="1808"/>
      <c r="Y20" s="3245"/>
      <c r="Z20" s="1809"/>
      <c r="AA20" s="1806">
        <v>1</v>
      </c>
      <c r="AB20" s="1806">
        <v>1</v>
      </c>
      <c r="AC20" s="1806">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52"/>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5"/>
      <c r="G22" s="2602"/>
      <c r="H22" s="445"/>
      <c r="I22" s="444"/>
      <c r="J22" s="445"/>
      <c r="K22" s="2603"/>
      <c r="L22" s="1135"/>
      <c r="M22" s="1126"/>
      <c r="N22" s="1126"/>
      <c r="O22" s="1126"/>
      <c r="P22" s="3252"/>
      <c r="Q22" s="1805"/>
      <c r="R22" s="771"/>
      <c r="S22" s="772"/>
      <c r="T22" s="771"/>
      <c r="U22" s="772"/>
      <c r="V22" s="771"/>
      <c r="W22" s="772"/>
      <c r="X22" s="1808"/>
      <c r="Y22" s="3245"/>
      <c r="Z22" s="1809"/>
      <c r="AA22" s="1806">
        <v>1</v>
      </c>
      <c r="AB22" s="1806">
        <v>1</v>
      </c>
      <c r="AC22" s="1806">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52"/>
      <c r="Q23" s="1805" t="str">
        <f>B23</f>
        <v>自然及人文环境</v>
      </c>
      <c r="R23" s="771" t="s">
        <v>21</v>
      </c>
      <c r="S23" s="772">
        <f>F23</f>
        <v>100</v>
      </c>
      <c r="T23" s="771" t="s">
        <v>21</v>
      </c>
      <c r="U23" s="772">
        <f>H23</f>
        <v>100</v>
      </c>
      <c r="V23" s="771" t="s">
        <v>21</v>
      </c>
      <c r="W23" s="772">
        <f>J23</f>
        <v>100</v>
      </c>
      <c r="X23" s="1808"/>
      <c r="Y23" s="3245"/>
      <c r="Z23" s="1809" t="str">
        <f>Q23</f>
        <v>自然及人文环境</v>
      </c>
      <c r="AA23" s="1806">
        <f>D23/F23</f>
        <v>1</v>
      </c>
      <c r="AB23" s="1806">
        <f>D23/H23</f>
        <v>1</v>
      </c>
      <c r="AC23" s="1806">
        <f>D23/J23</f>
        <v>1</v>
      </c>
    </row>
    <row r="24" spans="1:29" ht="15">
      <c r="A24" s="425"/>
      <c r="B24" s="453"/>
      <c r="C24" s="444"/>
      <c r="D24" s="445"/>
      <c r="E24" s="2595"/>
      <c r="F24" s="445"/>
      <c r="G24" s="2596"/>
      <c r="H24" s="445"/>
      <c r="I24" s="2596"/>
      <c r="J24" s="445"/>
      <c r="K24" s="2597"/>
      <c r="L24" s="1135"/>
      <c r="M24" s="1126"/>
      <c r="N24" s="1126"/>
      <c r="O24" s="1126"/>
      <c r="P24" s="3252"/>
      <c r="Q24" s="1805"/>
      <c r="R24" s="771"/>
      <c r="S24" s="772"/>
      <c r="T24" s="771"/>
      <c r="U24" s="772"/>
      <c r="V24" s="771"/>
      <c r="W24" s="772"/>
      <c r="X24" s="1808"/>
      <c r="Y24" s="3245"/>
      <c r="Z24" s="1809"/>
      <c r="AA24" s="1806">
        <v>1</v>
      </c>
      <c r="AB24" s="1806">
        <v>1</v>
      </c>
      <c r="AC24" s="1806">
        <v>1</v>
      </c>
    </row>
    <row r="25" spans="1:29" ht="15">
      <c r="A25" s="425"/>
      <c r="B25" s="419"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252"/>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45"/>
      <c r="Z25" s="1809" t="str">
        <f>Q25</f>
        <v>楼层-1</v>
      </c>
      <c r="AA25" s="1806">
        <f t="shared" ref="AA25:AA46" si="15">D25/F25</f>
        <v>1</v>
      </c>
      <c r="AB25" s="1806">
        <f t="shared" ref="AB25:AB46" si="16">D25/H25</f>
        <v>1</v>
      </c>
      <c r="AC25" s="1806">
        <f t="shared" ref="AC25:AC46" si="17">D25/J25</f>
        <v>1</v>
      </c>
    </row>
    <row r="26" spans="1:29" ht="15">
      <c r="A26" s="425"/>
      <c r="B26" s="419"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252"/>
      <c r="Q26" s="1805" t="str">
        <f t="shared" si="11"/>
        <v>朝向</v>
      </c>
      <c r="R26" s="771" t="s">
        <v>21</v>
      </c>
      <c r="S26" s="772">
        <f t="shared" si="12"/>
        <v>100</v>
      </c>
      <c r="T26" s="771" t="s">
        <v>21</v>
      </c>
      <c r="U26" s="772">
        <f t="shared" si="13"/>
        <v>100</v>
      </c>
      <c r="V26" s="771" t="s">
        <v>21</v>
      </c>
      <c r="W26" s="772">
        <f t="shared" si="14"/>
        <v>100</v>
      </c>
      <c r="X26" s="1808"/>
      <c r="Y26" s="3245"/>
      <c r="Z26" s="1809" t="str">
        <f>Q26</f>
        <v>朝向</v>
      </c>
      <c r="AA26" s="1806">
        <f t="shared" si="15"/>
        <v>1</v>
      </c>
      <c r="AB26" s="1806">
        <f t="shared" si="16"/>
        <v>1</v>
      </c>
      <c r="AC26" s="1806">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252"/>
      <c r="Q27" s="1790">
        <f t="shared" si="11"/>
        <v>111</v>
      </c>
      <c r="R27" s="767" t="s">
        <v>21</v>
      </c>
      <c r="S27" s="768">
        <f t="shared" si="12"/>
        <v>100</v>
      </c>
      <c r="T27" s="767" t="s">
        <v>21</v>
      </c>
      <c r="U27" s="768">
        <f t="shared" si="13"/>
        <v>100</v>
      </c>
      <c r="V27" s="767" t="s">
        <v>21</v>
      </c>
      <c r="W27" s="768">
        <f t="shared" si="14"/>
        <v>100</v>
      </c>
      <c r="X27" s="769"/>
      <c r="Y27" s="3245"/>
      <c r="Z27" s="55">
        <f>Q27</f>
        <v>111</v>
      </c>
      <c r="AA27" s="1806">
        <f t="shared" si="15"/>
        <v>1</v>
      </c>
      <c r="AB27" s="1806">
        <f t="shared" si="16"/>
        <v>1</v>
      </c>
      <c r="AC27" s="1806">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252"/>
      <c r="Q28" s="1805">
        <f t="shared" si="11"/>
        <v>111</v>
      </c>
      <c r="R28" s="771" t="s">
        <v>21</v>
      </c>
      <c r="S28" s="772">
        <f t="shared" si="12"/>
        <v>100</v>
      </c>
      <c r="T28" s="771" t="s">
        <v>21</v>
      </c>
      <c r="U28" s="772">
        <f t="shared" si="13"/>
        <v>100</v>
      </c>
      <c r="V28" s="771" t="s">
        <v>21</v>
      </c>
      <c r="W28" s="772">
        <f t="shared" si="14"/>
        <v>100</v>
      </c>
      <c r="X28" s="1808"/>
      <c r="Y28" s="3245"/>
      <c r="Z28" s="1809">
        <f t="shared" ref="Z28:Z46" si="18">Q28</f>
        <v>111</v>
      </c>
      <c r="AA28" s="1806">
        <f t="shared" si="15"/>
        <v>1</v>
      </c>
      <c r="AB28" s="1806">
        <f t="shared" si="16"/>
        <v>1</v>
      </c>
      <c r="AC28" s="1806">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252"/>
      <c r="Q29" s="1805">
        <f t="shared" si="11"/>
        <v>111</v>
      </c>
      <c r="R29" s="771" t="s">
        <v>21</v>
      </c>
      <c r="S29" s="772">
        <f t="shared" si="12"/>
        <v>100</v>
      </c>
      <c r="T29" s="771" t="s">
        <v>21</v>
      </c>
      <c r="U29" s="772">
        <f t="shared" si="13"/>
        <v>100</v>
      </c>
      <c r="V29" s="771" t="s">
        <v>21</v>
      </c>
      <c r="W29" s="772">
        <f t="shared" si="14"/>
        <v>100</v>
      </c>
      <c r="X29" s="1808"/>
      <c r="Y29" s="3245"/>
      <c r="Z29" s="1809">
        <f t="shared" si="18"/>
        <v>111</v>
      </c>
      <c r="AA29" s="1806">
        <f t="shared" si="15"/>
        <v>1</v>
      </c>
      <c r="AB29" s="1806">
        <f t="shared" si="16"/>
        <v>1</v>
      </c>
      <c r="AC29" s="1806">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252"/>
      <c r="Q30" s="1805">
        <f t="shared" si="11"/>
        <v>111</v>
      </c>
      <c r="R30" s="771" t="s">
        <v>21</v>
      </c>
      <c r="S30" s="772">
        <f t="shared" si="12"/>
        <v>100</v>
      </c>
      <c r="T30" s="771" t="s">
        <v>21</v>
      </c>
      <c r="U30" s="772">
        <f t="shared" si="13"/>
        <v>100</v>
      </c>
      <c r="V30" s="771" t="s">
        <v>21</v>
      </c>
      <c r="W30" s="772">
        <f t="shared" si="14"/>
        <v>100</v>
      </c>
      <c r="X30" s="1808"/>
      <c r="Y30" s="3245"/>
      <c r="Z30" s="1809">
        <f t="shared" si="18"/>
        <v>111</v>
      </c>
      <c r="AA30" s="1806">
        <f t="shared" si="15"/>
        <v>1</v>
      </c>
      <c r="AB30" s="1806">
        <f t="shared" si="16"/>
        <v>1</v>
      </c>
      <c r="AC30" s="1806">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252"/>
      <c r="Q31" s="1805">
        <f t="shared" si="11"/>
        <v>111</v>
      </c>
      <c r="R31" s="771" t="s">
        <v>21</v>
      </c>
      <c r="S31" s="772">
        <f t="shared" si="12"/>
        <v>100</v>
      </c>
      <c r="T31" s="771" t="s">
        <v>21</v>
      </c>
      <c r="U31" s="772">
        <f t="shared" si="13"/>
        <v>100</v>
      </c>
      <c r="V31" s="771" t="s">
        <v>21</v>
      </c>
      <c r="W31" s="772">
        <f t="shared" si="14"/>
        <v>100</v>
      </c>
      <c r="X31" s="1808"/>
      <c r="Y31" s="3245"/>
      <c r="Z31" s="1809">
        <f t="shared" si="18"/>
        <v>111</v>
      </c>
      <c r="AA31" s="1806">
        <f t="shared" si="15"/>
        <v>1</v>
      </c>
      <c r="AB31" s="1806">
        <f t="shared" si="16"/>
        <v>1</v>
      </c>
      <c r="AC31" s="1806">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246" t="s">
        <v>2551</v>
      </c>
      <c r="Q32" s="1805" t="str">
        <f t="shared" si="11"/>
        <v>建筑类型</v>
      </c>
      <c r="R32" s="771" t="s">
        <v>21</v>
      </c>
      <c r="S32" s="772">
        <f t="shared" si="12"/>
        <v>100</v>
      </c>
      <c r="T32" s="771" t="s">
        <v>21</v>
      </c>
      <c r="U32" s="772">
        <f t="shared" si="13"/>
        <v>100</v>
      </c>
      <c r="V32" s="771" t="s">
        <v>21</v>
      </c>
      <c r="W32" s="772">
        <f t="shared" si="14"/>
        <v>100</v>
      </c>
      <c r="X32" s="1808"/>
      <c r="Y32" s="3249" t="s">
        <v>2551</v>
      </c>
      <c r="Z32" s="1809" t="str">
        <f t="shared" si="18"/>
        <v>建筑类型</v>
      </c>
      <c r="AA32" s="1806">
        <f t="shared" si="15"/>
        <v>1</v>
      </c>
      <c r="AB32" s="1806">
        <f t="shared" si="16"/>
        <v>1</v>
      </c>
      <c r="AC32" s="1806">
        <f t="shared" si="17"/>
        <v>1</v>
      </c>
    </row>
    <row r="33" spans="1:29" s="468" customFormat="1" ht="15">
      <c r="A33" s="465"/>
      <c r="B33" s="419" t="s">
        <v>2552</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2"/>
      <c r="L33" s="1133"/>
      <c r="M33" s="1136"/>
      <c r="N33" s="1136"/>
      <c r="O33" s="1136"/>
      <c r="P33" s="3247"/>
      <c r="Q33" s="773" t="str">
        <f t="shared" si="11"/>
        <v>项目建筑规模</v>
      </c>
      <c r="R33" s="774" t="s">
        <v>21</v>
      </c>
      <c r="S33" s="775">
        <f t="shared" si="12"/>
        <v>100</v>
      </c>
      <c r="T33" s="774" t="s">
        <v>21</v>
      </c>
      <c r="U33" s="775">
        <f t="shared" si="13"/>
        <v>100</v>
      </c>
      <c r="V33" s="774" t="s">
        <v>21</v>
      </c>
      <c r="W33" s="775">
        <f t="shared" si="14"/>
        <v>100</v>
      </c>
      <c r="X33" s="776"/>
      <c r="Y33" s="3249"/>
      <c r="Z33" s="777" t="str">
        <f t="shared" si="18"/>
        <v>项目建筑规模</v>
      </c>
      <c r="AA33" s="1806">
        <f t="shared" si="15"/>
        <v>1</v>
      </c>
      <c r="AB33" s="1806">
        <f t="shared" si="16"/>
        <v>1</v>
      </c>
      <c r="AC33" s="1806">
        <f t="shared" si="17"/>
        <v>1</v>
      </c>
    </row>
    <row r="34" spans="1:29" ht="15">
      <c r="A34" s="469"/>
      <c r="B34" s="419"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247"/>
      <c r="Q34" s="1805" t="str">
        <f t="shared" si="11"/>
        <v>建筑结构</v>
      </c>
      <c r="R34" s="771" t="s">
        <v>21</v>
      </c>
      <c r="S34" s="772">
        <f t="shared" si="12"/>
        <v>100</v>
      </c>
      <c r="T34" s="771" t="s">
        <v>21</v>
      </c>
      <c r="U34" s="772">
        <f t="shared" si="13"/>
        <v>100</v>
      </c>
      <c r="V34" s="771" t="s">
        <v>21</v>
      </c>
      <c r="W34" s="772">
        <f t="shared" si="14"/>
        <v>100</v>
      </c>
      <c r="X34" s="1808"/>
      <c r="Y34" s="3249"/>
      <c r="Z34" s="1809" t="str">
        <f t="shared" si="18"/>
        <v>建筑结构</v>
      </c>
      <c r="AA34" s="1806">
        <f t="shared" si="15"/>
        <v>1</v>
      </c>
      <c r="AB34" s="1806">
        <f t="shared" si="16"/>
        <v>1</v>
      </c>
      <c r="AC34" s="1806">
        <f t="shared" si="17"/>
        <v>1</v>
      </c>
    </row>
    <row r="35" spans="1:29" ht="15">
      <c r="A35" s="469"/>
      <c r="B35" s="419"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247"/>
      <c r="Q35" s="1805" t="str">
        <f t="shared" si="11"/>
        <v>建筑品质</v>
      </c>
      <c r="R35" s="771" t="s">
        <v>21</v>
      </c>
      <c r="S35" s="772">
        <f t="shared" si="12"/>
        <v>100</v>
      </c>
      <c r="T35" s="771" t="s">
        <v>21</v>
      </c>
      <c r="U35" s="772">
        <f t="shared" si="13"/>
        <v>100</v>
      </c>
      <c r="V35" s="771" t="s">
        <v>21</v>
      </c>
      <c r="W35" s="772">
        <f t="shared" si="14"/>
        <v>100</v>
      </c>
      <c r="X35" s="1808"/>
      <c r="Y35" s="3249"/>
      <c r="Z35" s="1809" t="str">
        <f t="shared" si="18"/>
        <v>建筑品质</v>
      </c>
      <c r="AA35" s="1806">
        <f t="shared" si="15"/>
        <v>1</v>
      </c>
      <c r="AB35" s="1806">
        <f t="shared" si="16"/>
        <v>1</v>
      </c>
      <c r="AC35" s="1806">
        <f t="shared" si="17"/>
        <v>1</v>
      </c>
    </row>
    <row r="36" spans="1:29" ht="15">
      <c r="A36" s="469"/>
      <c r="B36" s="419"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247"/>
      <c r="Q36" s="1805" t="str">
        <f t="shared" si="11"/>
        <v>公共部分装修</v>
      </c>
      <c r="R36" s="771" t="s">
        <v>21</v>
      </c>
      <c r="S36" s="772">
        <f t="shared" si="12"/>
        <v>100</v>
      </c>
      <c r="T36" s="771" t="s">
        <v>21</v>
      </c>
      <c r="U36" s="772">
        <f t="shared" si="13"/>
        <v>100</v>
      </c>
      <c r="V36" s="771" t="s">
        <v>21</v>
      </c>
      <c r="W36" s="772">
        <f t="shared" si="14"/>
        <v>100</v>
      </c>
      <c r="X36" s="1808"/>
      <c r="Y36" s="3249"/>
      <c r="Z36" s="1809" t="str">
        <f t="shared" si="18"/>
        <v>公共部分装修</v>
      </c>
      <c r="AA36" s="1806">
        <f t="shared" si="15"/>
        <v>1</v>
      </c>
      <c r="AB36" s="1806">
        <f t="shared" si="16"/>
        <v>1</v>
      </c>
      <c r="AC36" s="1806">
        <f t="shared" si="17"/>
        <v>1</v>
      </c>
    </row>
    <row r="37" spans="1:29" s="114" customFormat="1" ht="15">
      <c r="A37" s="470"/>
      <c r="B37" s="419"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247"/>
      <c r="Q37" s="1790" t="str">
        <f t="shared" si="11"/>
        <v>成新度</v>
      </c>
      <c r="R37" s="767" t="s">
        <v>21</v>
      </c>
      <c r="S37" s="768" t="e">
        <f t="shared" si="12"/>
        <v>#N/A</v>
      </c>
      <c r="T37" s="767" t="s">
        <v>21</v>
      </c>
      <c r="U37" s="768" t="e">
        <f t="shared" si="13"/>
        <v>#N/A</v>
      </c>
      <c r="V37" s="767" t="s">
        <v>21</v>
      </c>
      <c r="W37" s="768" t="e">
        <f t="shared" si="14"/>
        <v>#N/A</v>
      </c>
      <c r="X37" s="769"/>
      <c r="Y37" s="3249"/>
      <c r="Z37" s="55" t="str">
        <f t="shared" si="18"/>
        <v>成新度</v>
      </c>
      <c r="AA37" s="770" t="e">
        <f t="shared" si="15"/>
        <v>#N/A</v>
      </c>
      <c r="AB37" s="770" t="e">
        <f t="shared" si="16"/>
        <v>#N/A</v>
      </c>
      <c r="AC37" s="770" t="e">
        <f t="shared" si="17"/>
        <v>#N/A</v>
      </c>
    </row>
    <row r="38" spans="1:29" ht="15">
      <c r="A38" s="469"/>
      <c r="B38" s="419"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247" t="s">
        <v>2551</v>
      </c>
      <c r="Q38" s="1805" t="str">
        <f t="shared" si="11"/>
        <v>物业管理</v>
      </c>
      <c r="R38" s="771" t="s">
        <v>21</v>
      </c>
      <c r="S38" s="772">
        <f t="shared" si="12"/>
        <v>100</v>
      </c>
      <c r="T38" s="771" t="s">
        <v>21</v>
      </c>
      <c r="U38" s="772">
        <f t="shared" si="13"/>
        <v>100</v>
      </c>
      <c r="V38" s="771" t="s">
        <v>21</v>
      </c>
      <c r="W38" s="772">
        <f t="shared" si="14"/>
        <v>100</v>
      </c>
      <c r="X38" s="1808"/>
      <c r="Y38" s="3249" t="s">
        <v>2551</v>
      </c>
      <c r="Z38" s="1809" t="str">
        <f t="shared" si="18"/>
        <v>物业管理</v>
      </c>
      <c r="AA38" s="1806">
        <f t="shared" si="15"/>
        <v>1</v>
      </c>
      <c r="AB38" s="1806">
        <f t="shared" si="16"/>
        <v>1</v>
      </c>
      <c r="AC38" s="1806">
        <f t="shared" si="17"/>
        <v>1</v>
      </c>
    </row>
    <row r="39" spans="1:29" ht="15">
      <c r="A39" s="469"/>
      <c r="B39" s="419"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247"/>
      <c r="Q39" s="1805" t="str">
        <f t="shared" si="11"/>
        <v>市政基础设施</v>
      </c>
      <c r="R39" s="771" t="s">
        <v>21</v>
      </c>
      <c r="S39" s="772">
        <f t="shared" si="12"/>
        <v>100</v>
      </c>
      <c r="T39" s="771" t="s">
        <v>21</v>
      </c>
      <c r="U39" s="772">
        <f t="shared" si="13"/>
        <v>100</v>
      </c>
      <c r="V39" s="771" t="s">
        <v>21</v>
      </c>
      <c r="W39" s="772">
        <f t="shared" si="14"/>
        <v>100</v>
      </c>
      <c r="X39" s="1808"/>
      <c r="Y39" s="3249"/>
      <c r="Z39" s="1809" t="str">
        <f t="shared" si="18"/>
        <v>市政基础设施</v>
      </c>
      <c r="AA39" s="1806">
        <f t="shared" si="15"/>
        <v>1</v>
      </c>
      <c r="AB39" s="1806">
        <f t="shared" si="16"/>
        <v>1</v>
      </c>
      <c r="AC39" s="1806">
        <f t="shared" si="17"/>
        <v>1</v>
      </c>
    </row>
    <row r="40" spans="1:29" ht="15">
      <c r="A40" s="469"/>
      <c r="B40" s="419"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247"/>
      <c r="Q40" s="1805" t="str">
        <f t="shared" si="11"/>
        <v>房型</v>
      </c>
      <c r="R40" s="771" t="s">
        <v>21</v>
      </c>
      <c r="S40" s="772">
        <f t="shared" si="12"/>
        <v>100</v>
      </c>
      <c r="T40" s="771" t="s">
        <v>21</v>
      </c>
      <c r="U40" s="772">
        <f t="shared" si="13"/>
        <v>100</v>
      </c>
      <c r="V40" s="771" t="s">
        <v>21</v>
      </c>
      <c r="W40" s="772">
        <f t="shared" si="14"/>
        <v>100</v>
      </c>
      <c r="X40" s="1808"/>
      <c r="Y40" s="3249"/>
      <c r="Z40" s="1809" t="str">
        <f t="shared" si="18"/>
        <v>房型</v>
      </c>
      <c r="AA40" s="1806">
        <f t="shared" si="15"/>
        <v>1</v>
      </c>
      <c r="AB40" s="1806">
        <f t="shared" si="16"/>
        <v>1</v>
      </c>
      <c r="AC40" s="1806">
        <f t="shared" si="17"/>
        <v>1</v>
      </c>
    </row>
    <row r="41" spans="1:29" s="468" customFormat="1" ht="28.5">
      <c r="A41" s="465"/>
      <c r="B41" s="419"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247"/>
      <c r="Q41" s="773" t="str">
        <f t="shared" si="11"/>
        <v>单套/主力户型建筑面积</v>
      </c>
      <c r="R41" s="774" t="s">
        <v>21</v>
      </c>
      <c r="S41" s="775">
        <f t="shared" si="12"/>
        <v>100</v>
      </c>
      <c r="T41" s="774" t="s">
        <v>21</v>
      </c>
      <c r="U41" s="775">
        <f t="shared" si="13"/>
        <v>100</v>
      </c>
      <c r="V41" s="774" t="s">
        <v>21</v>
      </c>
      <c r="W41" s="775">
        <f t="shared" si="14"/>
        <v>100</v>
      </c>
      <c r="X41" s="776"/>
      <c r="Y41" s="3249"/>
      <c r="Z41" s="777" t="str">
        <f t="shared" si="18"/>
        <v>单套/主力户型建筑面积</v>
      </c>
      <c r="AA41" s="1806">
        <f t="shared" si="15"/>
        <v>1</v>
      </c>
      <c r="AB41" s="1806">
        <f t="shared" si="16"/>
        <v>1</v>
      </c>
      <c r="AC41" s="1806">
        <f t="shared" si="17"/>
        <v>1</v>
      </c>
    </row>
    <row r="42" spans="1:29" ht="15">
      <c r="A42" s="469"/>
      <c r="B42" s="419"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247"/>
      <c r="Q42" s="1805" t="str">
        <f t="shared" si="11"/>
        <v>内部装修</v>
      </c>
      <c r="R42" s="771" t="s">
        <v>21</v>
      </c>
      <c r="S42" s="772">
        <f t="shared" si="12"/>
        <v>100</v>
      </c>
      <c r="T42" s="771" t="s">
        <v>21</v>
      </c>
      <c r="U42" s="772">
        <f t="shared" si="13"/>
        <v>100</v>
      </c>
      <c r="V42" s="771" t="s">
        <v>21</v>
      </c>
      <c r="W42" s="772">
        <f t="shared" si="14"/>
        <v>100</v>
      </c>
      <c r="X42" s="1808"/>
      <c r="Y42" s="3249"/>
      <c r="Z42" s="1809" t="str">
        <f t="shared" si="18"/>
        <v>内部装修</v>
      </c>
      <c r="AA42" s="1806">
        <f t="shared" si="15"/>
        <v>1</v>
      </c>
      <c r="AB42" s="1806">
        <f t="shared" si="16"/>
        <v>1</v>
      </c>
      <c r="AC42" s="1806">
        <f t="shared" si="17"/>
        <v>1</v>
      </c>
    </row>
    <row r="43" spans="1:29" ht="15">
      <c r="A43" s="469"/>
      <c r="B43" s="419"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247"/>
      <c r="Q43" s="1805" t="str">
        <f t="shared" si="11"/>
        <v>内部装修维护情况</v>
      </c>
      <c r="R43" s="771" t="s">
        <v>21</v>
      </c>
      <c r="S43" s="772">
        <f t="shared" si="12"/>
        <v>100</v>
      </c>
      <c r="T43" s="771" t="s">
        <v>21</v>
      </c>
      <c r="U43" s="772">
        <f t="shared" si="13"/>
        <v>100</v>
      </c>
      <c r="V43" s="771" t="s">
        <v>21</v>
      </c>
      <c r="W43" s="772">
        <f t="shared" si="14"/>
        <v>100</v>
      </c>
      <c r="X43" s="1808"/>
      <c r="Y43" s="3249"/>
      <c r="Z43" s="1809" t="str">
        <f t="shared" si="18"/>
        <v>内部装修维护情况</v>
      </c>
      <c r="AA43" s="1806">
        <f t="shared" si="15"/>
        <v>1</v>
      </c>
      <c r="AB43" s="1806">
        <f t="shared" si="16"/>
        <v>1</v>
      </c>
      <c r="AC43" s="1806">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247"/>
      <c r="Q44" s="1790">
        <f t="shared" si="11"/>
        <v>111</v>
      </c>
      <c r="R44" s="767" t="s">
        <v>21</v>
      </c>
      <c r="S44" s="768">
        <f t="shared" si="12"/>
        <v>100</v>
      </c>
      <c r="T44" s="767" t="s">
        <v>21</v>
      </c>
      <c r="U44" s="768">
        <f t="shared" si="13"/>
        <v>100</v>
      </c>
      <c r="V44" s="767" t="s">
        <v>21</v>
      </c>
      <c r="W44" s="768">
        <f t="shared" si="14"/>
        <v>100</v>
      </c>
      <c r="X44" s="769"/>
      <c r="Y44" s="3249"/>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247"/>
      <c r="Q45" s="1805">
        <f t="shared" si="11"/>
        <v>111</v>
      </c>
      <c r="R45" s="771" t="s">
        <v>21</v>
      </c>
      <c r="S45" s="772">
        <f t="shared" si="12"/>
        <v>100</v>
      </c>
      <c r="T45" s="771" t="s">
        <v>21</v>
      </c>
      <c r="U45" s="772">
        <f t="shared" si="13"/>
        <v>100</v>
      </c>
      <c r="V45" s="771" t="s">
        <v>21</v>
      </c>
      <c r="W45" s="772">
        <f t="shared" si="14"/>
        <v>100</v>
      </c>
      <c r="X45" s="1808"/>
      <c r="Y45" s="3249"/>
      <c r="Z45" s="1809">
        <f t="shared" si="18"/>
        <v>111</v>
      </c>
      <c r="AA45" s="1806">
        <f t="shared" si="15"/>
        <v>1</v>
      </c>
      <c r="AB45" s="1806">
        <f t="shared" si="16"/>
        <v>1</v>
      </c>
      <c r="AC45" s="1806">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248"/>
      <c r="Q46" s="1805">
        <f t="shared" si="11"/>
        <v>111</v>
      </c>
      <c r="R46" s="771" t="s">
        <v>20</v>
      </c>
      <c r="S46" s="772">
        <f t="shared" si="12"/>
        <v>100</v>
      </c>
      <c r="T46" s="771" t="s">
        <v>20</v>
      </c>
      <c r="U46" s="772">
        <f t="shared" si="13"/>
        <v>100</v>
      </c>
      <c r="V46" s="771" t="s">
        <v>20</v>
      </c>
      <c r="W46" s="772">
        <f t="shared" si="14"/>
        <v>100</v>
      </c>
      <c r="X46" s="1808"/>
      <c r="Y46" s="3250"/>
      <c r="Z46" s="1809">
        <f t="shared" si="18"/>
        <v>111</v>
      </c>
      <c r="AA46" s="1806">
        <f t="shared" si="15"/>
        <v>1</v>
      </c>
      <c r="AB46" s="1806">
        <f t="shared" si="16"/>
        <v>1</v>
      </c>
      <c r="AC46" s="1806">
        <f t="shared" si="17"/>
        <v>1</v>
      </c>
    </row>
    <row r="47" spans="1:29" ht="15">
      <c r="A47" s="476" t="s">
        <v>2563</v>
      </c>
      <c r="B47" s="477"/>
      <c r="C47" s="1402" t="s">
        <v>19</v>
      </c>
      <c r="D47" s="1403"/>
      <c r="E47" s="1404"/>
      <c r="F47" s="1405"/>
      <c r="G47" s="1406"/>
      <c r="H47" s="1407"/>
      <c r="I47" s="1404"/>
      <c r="J47" s="1407"/>
      <c r="K47" s="2612"/>
      <c r="L47" s="1138"/>
      <c r="M47" s="1139"/>
      <c r="N47" s="1126"/>
      <c r="O47" s="1139"/>
      <c r="P47" s="3242" t="str">
        <f>A47</f>
        <v>成交单价（元/平方米）</v>
      </c>
      <c r="Q47" s="3242"/>
      <c r="R47" s="3243">
        <f>E47</f>
        <v>0</v>
      </c>
      <c r="S47" s="3243"/>
      <c r="T47" s="3243">
        <f>G47</f>
        <v>0</v>
      </c>
      <c r="U47" s="3243"/>
      <c r="V47" s="3243">
        <f>I47</f>
        <v>0</v>
      </c>
      <c r="W47" s="3243"/>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239" t="str">
        <f>A49</f>
        <v>估价对象XX用房的比较价值（楼面单价，元/平方米）</v>
      </c>
      <c r="Q49" s="3240"/>
      <c r="R49" s="3241" t="e">
        <f>IF(F1="售价",ROUND(AVERAGE(R48:V48),0),ROUND(AVERAGE(R48:V48),1))</f>
        <v>#DIV/0!</v>
      </c>
      <c r="S49" s="3241"/>
      <c r="T49" s="3241"/>
      <c r="U49" s="3241"/>
      <c r="V49" s="3241"/>
      <c r="W49" s="3241"/>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v>0</v>
      </c>
      <c r="D68" s="546">
        <v>1</v>
      </c>
      <c r="E68" s="546">
        <v>2</v>
      </c>
      <c r="F68" s="546">
        <v>3</v>
      </c>
      <c r="G68" s="546">
        <v>4</v>
      </c>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0(含)-100</v>
      </c>
      <c r="D102" s="575" t="str">
        <f t="shared" ref="D102:L102" si="27">D103&amp;"(含)"&amp;"-"&amp;E103</f>
        <v>100(含)-200</v>
      </c>
      <c r="E102" s="575" t="str">
        <f t="shared" si="27"/>
        <v>200(含)-300</v>
      </c>
      <c r="F102" s="575" t="str">
        <f t="shared" si="27"/>
        <v>300(含)-400</v>
      </c>
      <c r="G102" s="575" t="str">
        <f t="shared" si="27"/>
        <v>400(含)-500</v>
      </c>
      <c r="H102" s="575" t="str">
        <f t="shared" si="27"/>
        <v>500(含)-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E50" sqref="E50"/>
    </sheetView>
  </sheetViews>
  <sheetFormatPr defaultRowHeight="14.25"/>
  <cols>
    <col min="1" max="1" width="14.375" style="400" customWidth="1"/>
    <col min="2" max="2" width="15.75" style="400" customWidth="1"/>
    <col min="3" max="3" width="25.625" style="400" customWidth="1"/>
    <col min="4" max="4" width="8.625" style="400" customWidth="1"/>
    <col min="5" max="5" width="25.625" style="400" customWidth="1"/>
    <col min="6" max="6" width="8.625" style="400" customWidth="1"/>
    <col min="7" max="7" width="25.625" style="400" customWidth="1"/>
    <col min="8" max="8" width="8.625" style="400" customWidth="1"/>
    <col min="9" max="9" width="25.625" style="400" customWidth="1"/>
    <col min="10" max="10" width="8.625" style="400" customWidth="1"/>
    <col min="11" max="11" width="8.6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1696</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5417</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12" t="s">
        <v>2633</v>
      </c>
      <c r="S4" s="3213"/>
      <c r="T4" s="3212" t="s">
        <v>2634</v>
      </c>
      <c r="U4" s="3213"/>
      <c r="V4" s="3237" t="s">
        <v>2635</v>
      </c>
      <c r="W4" s="3237"/>
      <c r="X4" s="1808"/>
      <c r="Y4" s="3212" t="s">
        <v>2637</v>
      </c>
      <c r="Z4" s="3213"/>
      <c r="AA4" s="3207" t="s">
        <v>2633</v>
      </c>
      <c r="AB4" s="3208" t="s">
        <v>2634</v>
      </c>
      <c r="AC4" s="3207" t="s">
        <v>2635</v>
      </c>
    </row>
    <row r="5" spans="1:30" ht="15">
      <c r="A5" s="401"/>
      <c r="B5" s="402"/>
      <c r="C5" s="3218" t="s">
        <v>2528</v>
      </c>
      <c r="D5" s="3219"/>
      <c r="E5" s="3216" t="str">
        <f>'土地案例（更新）'!A2</f>
        <v>北戴河新区南戴河片区,华贸大道南侧,滨海新大道东侧,规划B1路北侧</v>
      </c>
      <c r="F5" s="3217"/>
      <c r="G5" s="3218" t="str">
        <f>'土地案例（更新）'!A5</f>
        <v>北戴河新区南戴河片区,华贸大道南侧,滨海新大道东侧,规划B1路北侧</v>
      </c>
      <c r="H5" s="3219"/>
      <c r="I5" s="3218" t="str">
        <f>'土地案例（更新）'!A9</f>
        <v>北戴河新区南戴河片区,华贸大道南侧,滨海新大道东侧,规划B1路北侧</v>
      </c>
      <c r="J5" s="3219"/>
      <c r="K5" s="607"/>
      <c r="L5" s="1125"/>
      <c r="M5" s="1126"/>
      <c r="N5" s="1126"/>
      <c r="O5" s="1126"/>
      <c r="P5" s="3231"/>
      <c r="Q5" s="3232"/>
      <c r="R5" s="3214"/>
      <c r="S5" s="3215"/>
      <c r="T5" s="3214"/>
      <c r="U5" s="3215"/>
      <c r="V5" s="3237"/>
      <c r="W5" s="3237"/>
      <c r="X5" s="1808"/>
      <c r="Y5" s="3214"/>
      <c r="Z5" s="3215"/>
      <c r="AA5" s="3208"/>
      <c r="AB5" s="3208"/>
      <c r="AC5" s="3208"/>
    </row>
    <row r="6" spans="1:30" ht="15.75" thickBot="1">
      <c r="A6" s="403"/>
      <c r="B6" s="404"/>
      <c r="C6" s="3220" t="s">
        <v>2532</v>
      </c>
      <c r="D6" s="3221"/>
      <c r="E6" s="3222" t="s">
        <v>2532</v>
      </c>
      <c r="F6" s="3223"/>
      <c r="G6" s="3220" t="s">
        <v>2532</v>
      </c>
      <c r="H6" s="3221"/>
      <c r="I6" s="3220" t="s">
        <v>2532</v>
      </c>
      <c r="J6" s="3221"/>
      <c r="K6" s="607" t="s">
        <v>2533</v>
      </c>
      <c r="L6" s="1125"/>
      <c r="M6" s="1126"/>
      <c r="N6" s="1126"/>
      <c r="O6" s="1126"/>
      <c r="P6" s="3233"/>
      <c r="Q6" s="3234"/>
      <c r="R6" s="3214"/>
      <c r="S6" s="3215"/>
      <c r="T6" s="3235"/>
      <c r="U6" s="3236"/>
      <c r="V6" s="3237"/>
      <c r="W6" s="3237"/>
      <c r="X6" s="1808"/>
      <c r="Y6" s="3235"/>
      <c r="Z6" s="3236"/>
      <c r="AA6" s="3209"/>
      <c r="AB6" s="3209"/>
      <c r="AC6" s="3209"/>
    </row>
    <row r="7" spans="1:30" s="114" customFormat="1" ht="15.75" thickBot="1">
      <c r="A7" s="405" t="s">
        <v>2534</v>
      </c>
      <c r="B7" s="406"/>
      <c r="C7" s="407">
        <f>'数据-取费表'!B2</f>
        <v>43110</v>
      </c>
      <c r="D7" s="408">
        <v>100</v>
      </c>
      <c r="E7" s="409" t="str">
        <f>'土地案例（更新）'!I2</f>
        <v>2017-12-25</v>
      </c>
      <c r="F7" s="410">
        <f>SUMIF(70:70,YEAR(E7)&amp;"-"&amp;INT((MONTH(E7)+2)/3),71:71)</f>
        <v>99.5</v>
      </c>
      <c r="G7" s="2687" t="str">
        <f>'土地案例（更新）'!I5</f>
        <v>2017-12-25</v>
      </c>
      <c r="H7" s="408">
        <f>SUMIF(70:70,YEAR(G7)&amp;"-"&amp;INT((MONTH(G7)+2)/3),71:71)</f>
        <v>99.5</v>
      </c>
      <c r="I7" s="2687" t="str">
        <f>'土地案例（更新）'!I9</f>
        <v>2017-12-25</v>
      </c>
      <c r="J7" s="408">
        <f>SUMIF(70:70,YEAR(I7)&amp;"-"&amp;INT((MONTH(I7)+2)/3),71:71)</f>
        <v>99.5</v>
      </c>
      <c r="K7" s="608"/>
      <c r="L7" s="1127"/>
      <c r="M7" s="1128"/>
      <c r="N7" s="1128"/>
      <c r="O7" s="1128"/>
      <c r="P7" s="3210" t="s">
        <v>2535</v>
      </c>
      <c r="Q7" s="3238"/>
      <c r="R7" s="767" t="s">
        <v>17</v>
      </c>
      <c r="S7" s="768">
        <f t="shared" ref="S7:S15" si="0">F7</f>
        <v>99.5</v>
      </c>
      <c r="T7" s="767" t="s">
        <v>17</v>
      </c>
      <c r="U7" s="768">
        <f t="shared" ref="U7:U15" si="1">H7</f>
        <v>99.5</v>
      </c>
      <c r="V7" s="767" t="s">
        <v>17</v>
      </c>
      <c r="W7" s="768">
        <f t="shared" ref="W7:W15" si="2">J7</f>
        <v>99.5</v>
      </c>
      <c r="X7" s="769"/>
      <c r="Y7" s="3210" t="s">
        <v>2535</v>
      </c>
      <c r="Z7" s="3211"/>
      <c r="AA7" s="770">
        <f>D7/F7</f>
        <v>1.0050251256281406</v>
      </c>
      <c r="AB7" s="770">
        <f>D7/H7</f>
        <v>1.0050251256281406</v>
      </c>
      <c r="AC7" s="770">
        <f>D7/J7</f>
        <v>1.0050251256281406</v>
      </c>
    </row>
    <row r="8" spans="1:30" s="114" customFormat="1" ht="15.75" thickBot="1">
      <c r="A8" s="405" t="s">
        <v>2536</v>
      </c>
      <c r="B8" s="406"/>
      <c r="C8" s="411" t="s">
        <v>3034</v>
      </c>
      <c r="D8" s="408">
        <v>100</v>
      </c>
      <c r="E8" s="411" t="s">
        <v>3034</v>
      </c>
      <c r="F8" s="410">
        <f>SUMIF(73:73,E8,74:74)-SUMIF(73:73,C8,74:74)+100</f>
        <v>100</v>
      </c>
      <c r="G8" s="411" t="s">
        <v>3034</v>
      </c>
      <c r="H8" s="408">
        <f>SUMIF(73:73,G8,74:74)-SUMIF(73:73,C8,74:74)+100</f>
        <v>100</v>
      </c>
      <c r="I8" s="411" t="s">
        <v>3034</v>
      </c>
      <c r="J8" s="408">
        <f>SUMIF(73:73,I8,74:74)-SUMIF(73:73,C8,74:74)+100</f>
        <v>100</v>
      </c>
      <c r="K8" s="608"/>
      <c r="L8" s="1127"/>
      <c r="M8" s="1128"/>
      <c r="N8" s="1128"/>
      <c r="O8" s="1128"/>
      <c r="P8" s="3210" t="s">
        <v>2538</v>
      </c>
      <c r="Q8" s="3211"/>
      <c r="R8" s="767" t="s">
        <v>17</v>
      </c>
      <c r="S8" s="768">
        <f t="shared" si="0"/>
        <v>100</v>
      </c>
      <c r="T8" s="767" t="s">
        <v>17</v>
      </c>
      <c r="U8" s="768">
        <f t="shared" si="1"/>
        <v>100</v>
      </c>
      <c r="V8" s="767" t="s">
        <v>17</v>
      </c>
      <c r="W8" s="768">
        <f t="shared" si="2"/>
        <v>100</v>
      </c>
      <c r="X8" s="769"/>
      <c r="Y8" s="3210" t="s">
        <v>2538</v>
      </c>
      <c r="Z8" s="3211"/>
      <c r="AA8" s="770">
        <f t="shared" ref="AA8:AA45" si="3">D8/F8</f>
        <v>1</v>
      </c>
      <c r="AB8" s="770">
        <f t="shared" ref="AB8:AB45" si="4">D8/H8</f>
        <v>1</v>
      </c>
      <c r="AC8" s="770">
        <f t="shared" ref="AC8:AC45" si="5">D8/J8</f>
        <v>1</v>
      </c>
    </row>
    <row r="9" spans="1:30" s="114" customFormat="1">
      <c r="A9" s="412" t="s">
        <v>2539</v>
      </c>
      <c r="B9" s="71" t="s">
        <v>2540</v>
      </c>
      <c r="C9" s="2690" t="s">
        <v>3287</v>
      </c>
      <c r="D9" s="132">
        <v>100</v>
      </c>
      <c r="E9" s="2690" t="s">
        <v>3287</v>
      </c>
      <c r="F9" s="132">
        <f>SUMIF(75:75,E9,76:76)-SUMIF(75:75,C9,76:76)+100</f>
        <v>100</v>
      </c>
      <c r="G9" s="2690" t="s">
        <v>3287</v>
      </c>
      <c r="H9" s="132">
        <f>SUMIF(75:75,G9,76:76)-SUMIF(75:75,C9,76:76)+100</f>
        <v>100</v>
      </c>
      <c r="I9" s="2690" t="s">
        <v>3287</v>
      </c>
      <c r="J9" s="132">
        <f>SUMIF(75:75,I9,76:76)-SUMIF(75:75,C9,76:76)+100</f>
        <v>100</v>
      </c>
      <c r="K9" s="608"/>
      <c r="L9" s="1127"/>
      <c r="M9" s="1128"/>
      <c r="N9" s="1128"/>
      <c r="O9" s="1129"/>
      <c r="P9" s="3242" t="s">
        <v>2541</v>
      </c>
      <c r="Q9" s="1790" t="str">
        <f t="shared" ref="Q9:Q15" si="6">B9</f>
        <v>用途</v>
      </c>
      <c r="R9" s="767" t="s">
        <v>17</v>
      </c>
      <c r="S9" s="768">
        <f t="shared" si="0"/>
        <v>100</v>
      </c>
      <c r="T9" s="767" t="s">
        <v>17</v>
      </c>
      <c r="U9" s="768">
        <f t="shared" si="1"/>
        <v>100</v>
      </c>
      <c r="V9" s="767" t="s">
        <v>17</v>
      </c>
      <c r="W9" s="768">
        <f t="shared" si="2"/>
        <v>100</v>
      </c>
      <c r="X9" s="769"/>
      <c r="Y9" s="3080" t="s">
        <v>2542</v>
      </c>
      <c r="Z9" s="55" t="str">
        <f t="shared" ref="Z9:Z15" si="7">Q9</f>
        <v>用途</v>
      </c>
      <c r="AA9" s="770">
        <f t="shared" si="3"/>
        <v>1</v>
      </c>
      <c r="AB9" s="770">
        <f t="shared" si="4"/>
        <v>1</v>
      </c>
      <c r="AC9" s="770">
        <f t="shared" si="5"/>
        <v>1</v>
      </c>
    </row>
    <row r="10" spans="1:30" s="424" customFormat="1" ht="27">
      <c r="A10" s="418"/>
      <c r="B10" s="419" t="s">
        <v>2543</v>
      </c>
      <c r="C10" s="429">
        <f>项目基本情况!E15</f>
        <v>36.53</v>
      </c>
      <c r="D10" s="133">
        <v>100</v>
      </c>
      <c r="E10" s="462" t="s">
        <v>3367</v>
      </c>
      <c r="F10" s="133">
        <f>ROUND(100/'数据-取费表'!G16,0)</f>
        <v>103</v>
      </c>
      <c r="G10" s="460" t="s">
        <v>3367</v>
      </c>
      <c r="H10" s="133">
        <f>ROUND(100/'数据-取费表'!G16,0)</f>
        <v>103</v>
      </c>
      <c r="I10" s="460" t="s">
        <v>3367</v>
      </c>
      <c r="J10" s="133">
        <f>ROUND(100/'数据-取费表'!G16,0)</f>
        <v>103</v>
      </c>
      <c r="K10" s="669"/>
      <c r="L10" s="1130"/>
      <c r="M10" s="1131"/>
      <c r="N10" s="1131"/>
      <c r="O10" s="1132"/>
      <c r="P10" s="3242"/>
      <c r="Q10" s="1790" t="str">
        <f t="shared" si="6"/>
        <v>土地使用年限（年）</v>
      </c>
      <c r="R10" s="767" t="s">
        <v>17</v>
      </c>
      <c r="S10" s="768">
        <f t="shared" si="0"/>
        <v>103</v>
      </c>
      <c r="T10" s="767" t="s">
        <v>17</v>
      </c>
      <c r="U10" s="768">
        <f t="shared" si="1"/>
        <v>103</v>
      </c>
      <c r="V10" s="767" t="s">
        <v>17</v>
      </c>
      <c r="W10" s="768">
        <f t="shared" si="2"/>
        <v>103</v>
      </c>
      <c r="X10" s="769"/>
      <c r="Y10" s="3080"/>
      <c r="Z10" s="55" t="str">
        <f t="shared" si="7"/>
        <v>土地使用年限（年）</v>
      </c>
      <c r="AA10" s="770">
        <f t="shared" si="3"/>
        <v>0.970873786407767</v>
      </c>
      <c r="AB10" s="770">
        <f t="shared" si="4"/>
        <v>0.970873786407767</v>
      </c>
      <c r="AC10" s="770">
        <f t="shared" si="5"/>
        <v>0.970873786407767</v>
      </c>
    </row>
    <row r="11" spans="1:30" ht="15">
      <c r="A11" s="425"/>
      <c r="B11" s="419" t="s">
        <v>2544</v>
      </c>
      <c r="C11" s="426">
        <f>'数据-汇总表'!I5</f>
        <v>0.34</v>
      </c>
      <c r="D11" s="133">
        <v>100</v>
      </c>
      <c r="E11" s="426">
        <v>1.1000000000000001</v>
      </c>
      <c r="F11" s="133">
        <f>LOOKUP(E11,80:80,81:81)-LOOKUP(C11,80:80,81:81)+100</f>
        <v>108</v>
      </c>
      <c r="G11" s="427">
        <v>1.1000000000000001</v>
      </c>
      <c r="H11" s="133">
        <f>LOOKUP(G11,80:80,81:81)-LOOKUP(C11,80:80,81:81)+100</f>
        <v>108</v>
      </c>
      <c r="I11" s="426">
        <v>1.1000000000000001</v>
      </c>
      <c r="J11" s="133">
        <f>LOOKUP(I11,80:80,81:81)-LOOKUP(C11,80:80,81:81)+100</f>
        <v>108</v>
      </c>
      <c r="K11" s="670">
        <v>1</v>
      </c>
      <c r="L11" s="1133"/>
      <c r="M11" s="1126"/>
      <c r="N11" s="1126"/>
      <c r="O11" s="1134"/>
      <c r="P11" s="3242"/>
      <c r="Q11" s="1790" t="str">
        <f t="shared" si="6"/>
        <v>容积率</v>
      </c>
      <c r="R11" s="767" t="s">
        <v>17</v>
      </c>
      <c r="S11" s="768">
        <f t="shared" si="0"/>
        <v>108</v>
      </c>
      <c r="T11" s="767" t="s">
        <v>17</v>
      </c>
      <c r="U11" s="768">
        <f t="shared" si="1"/>
        <v>108</v>
      </c>
      <c r="V11" s="767" t="s">
        <v>17</v>
      </c>
      <c r="W11" s="768">
        <f t="shared" si="2"/>
        <v>108</v>
      </c>
      <c r="X11" s="769"/>
      <c r="Y11" s="3080"/>
      <c r="Z11" s="55" t="str">
        <f t="shared" si="7"/>
        <v>容积率</v>
      </c>
      <c r="AA11" s="770">
        <f t="shared" si="3"/>
        <v>0.92592592592592593</v>
      </c>
      <c r="AB11" s="770">
        <f t="shared" si="4"/>
        <v>0.92592592592592593</v>
      </c>
      <c r="AC11" s="770">
        <f t="shared" si="5"/>
        <v>0.92592592592592593</v>
      </c>
    </row>
    <row r="12" spans="1:30" s="114" customFormat="1" ht="15" hidden="1">
      <c r="A12" s="428"/>
      <c r="B12" s="2591"/>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242"/>
      <c r="Q12" s="1790">
        <f t="shared" si="6"/>
        <v>0</v>
      </c>
      <c r="R12" s="767" t="s">
        <v>17</v>
      </c>
      <c r="S12" s="768">
        <f t="shared" si="0"/>
        <v>100</v>
      </c>
      <c r="T12" s="767" t="s">
        <v>17</v>
      </c>
      <c r="U12" s="768">
        <f t="shared" si="1"/>
        <v>100</v>
      </c>
      <c r="V12" s="767" t="s">
        <v>17</v>
      </c>
      <c r="W12" s="768">
        <f t="shared" si="2"/>
        <v>100</v>
      </c>
      <c r="X12" s="769"/>
      <c r="Y12" s="3080"/>
      <c r="Z12" s="55">
        <f t="shared" si="7"/>
        <v>0</v>
      </c>
      <c r="AA12" s="770">
        <f>D12/F12</f>
        <v>1</v>
      </c>
      <c r="AB12" s="770">
        <f>D12/H12</f>
        <v>1</v>
      </c>
      <c r="AC12" s="770">
        <f>D12/J12</f>
        <v>1</v>
      </c>
    </row>
    <row r="13" spans="1:30" ht="15" hidden="1">
      <c r="A13" s="425"/>
      <c r="B13" s="2591"/>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242"/>
      <c r="Q13" s="1790">
        <f t="shared" si="6"/>
        <v>0</v>
      </c>
      <c r="R13" s="767" t="s">
        <v>17</v>
      </c>
      <c r="S13" s="768">
        <f t="shared" si="0"/>
        <v>100</v>
      </c>
      <c r="T13" s="767" t="s">
        <v>17</v>
      </c>
      <c r="U13" s="768">
        <f t="shared" si="1"/>
        <v>100</v>
      </c>
      <c r="V13" s="767" t="s">
        <v>17</v>
      </c>
      <c r="W13" s="768">
        <f t="shared" si="2"/>
        <v>100</v>
      </c>
      <c r="X13" s="769"/>
      <c r="Y13" s="3080"/>
      <c r="Z13" s="55">
        <f t="shared" si="7"/>
        <v>0</v>
      </c>
      <c r="AA13" s="770">
        <f>D13/F13</f>
        <v>1</v>
      </c>
      <c r="AB13" s="770">
        <f>D13/H13</f>
        <v>1</v>
      </c>
      <c r="AC13" s="770">
        <f>D13/J13</f>
        <v>1</v>
      </c>
    </row>
    <row r="14" spans="1:30" ht="15.75" hidden="1" thickBot="1">
      <c r="A14" s="433"/>
      <c r="B14" s="2593"/>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242"/>
      <c r="Q14" s="1790">
        <f t="shared" si="6"/>
        <v>0</v>
      </c>
      <c r="R14" s="767" t="s">
        <v>17</v>
      </c>
      <c r="S14" s="768">
        <f t="shared" si="0"/>
        <v>100</v>
      </c>
      <c r="T14" s="767" t="s">
        <v>17</v>
      </c>
      <c r="U14" s="768">
        <f t="shared" si="1"/>
        <v>100</v>
      </c>
      <c r="V14" s="767" t="s">
        <v>17</v>
      </c>
      <c r="W14" s="768">
        <f t="shared" si="2"/>
        <v>100</v>
      </c>
      <c r="X14" s="769"/>
      <c r="Y14" s="3080"/>
      <c r="Z14" s="55">
        <f t="shared" si="7"/>
        <v>0</v>
      </c>
      <c r="AA14" s="770">
        <f>D14/F14</f>
        <v>1</v>
      </c>
      <c r="AB14" s="770">
        <f>D14/H14</f>
        <v>1</v>
      </c>
      <c r="AC14" s="770">
        <f>D14/J14</f>
        <v>1</v>
      </c>
    </row>
    <row r="15" spans="1:30" ht="57" hidden="1">
      <c r="A15" s="437" t="s">
        <v>2545</v>
      </c>
      <c r="B15" s="69" t="s">
        <v>2070</v>
      </c>
      <c r="C15" s="2594"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244" t="s">
        <v>2546</v>
      </c>
      <c r="Q15" s="1805" t="str">
        <f t="shared" si="6"/>
        <v>居住社区成熟度</v>
      </c>
      <c r="R15" s="771" t="s">
        <v>17</v>
      </c>
      <c r="S15" s="772">
        <f t="shared" si="0"/>
        <v>100</v>
      </c>
      <c r="T15" s="771" t="s">
        <v>17</v>
      </c>
      <c r="U15" s="772">
        <f t="shared" si="1"/>
        <v>100</v>
      </c>
      <c r="V15" s="771" t="s">
        <v>17</v>
      </c>
      <c r="W15" s="772">
        <f t="shared" si="2"/>
        <v>100</v>
      </c>
      <c r="X15" s="1808"/>
      <c r="Y15" s="3244" t="s">
        <v>2546</v>
      </c>
      <c r="Z15" s="1809" t="str">
        <f t="shared" si="7"/>
        <v>居住社区成熟度</v>
      </c>
      <c r="AA15" s="1806">
        <f t="shared" si="3"/>
        <v>1</v>
      </c>
      <c r="AB15" s="1806">
        <f t="shared" si="4"/>
        <v>1</v>
      </c>
      <c r="AC15" s="1806">
        <f t="shared" si="5"/>
        <v>1</v>
      </c>
    </row>
    <row r="16" spans="1:30" ht="15" hidden="1">
      <c r="A16" s="425"/>
      <c r="B16" s="443"/>
      <c r="C16" s="444"/>
      <c r="D16" s="445"/>
      <c r="E16" s="2596"/>
      <c r="F16" s="445"/>
      <c r="G16" s="2596"/>
      <c r="H16" s="447"/>
      <c r="I16" s="2595"/>
      <c r="J16" s="445"/>
      <c r="K16" s="669"/>
      <c r="L16" s="1135"/>
      <c r="M16" s="1126"/>
      <c r="N16" s="1126"/>
      <c r="O16" s="1134"/>
      <c r="P16" s="3245"/>
      <c r="Q16" s="1805"/>
      <c r="R16" s="771"/>
      <c r="S16" s="772"/>
      <c r="T16" s="771"/>
      <c r="U16" s="772"/>
      <c r="V16" s="771"/>
      <c r="W16" s="772"/>
      <c r="X16" s="1808"/>
      <c r="Y16" s="3245"/>
      <c r="Z16" s="1809"/>
      <c r="AA16" s="1806">
        <v>1</v>
      </c>
      <c r="AB16" s="1806">
        <v>1</v>
      </c>
      <c r="AC16" s="1806">
        <v>1</v>
      </c>
    </row>
    <row r="17" spans="1:29" ht="42.75">
      <c r="A17" s="425"/>
      <c r="B17" s="448" t="s">
        <v>2639</v>
      </c>
      <c r="C17" s="2655"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49"/>
      <c r="J17" s="452">
        <f>SUMIF(90:90,I18,91:91)-SUMIF(90:90,C18,91:91)+100</f>
        <v>100</v>
      </c>
      <c r="K17" s="670">
        <v>5</v>
      </c>
      <c r="L17" s="1135"/>
      <c r="M17" s="1126"/>
      <c r="N17" s="1126"/>
      <c r="O17" s="1134"/>
      <c r="P17" s="3245"/>
      <c r="Q17" s="1805" t="str">
        <f>B17</f>
        <v>商业繁华度</v>
      </c>
      <c r="R17" s="771" t="s">
        <v>17</v>
      </c>
      <c r="S17" s="772">
        <f>F17</f>
        <v>100</v>
      </c>
      <c r="T17" s="771" t="s">
        <v>17</v>
      </c>
      <c r="U17" s="772">
        <f>H17</f>
        <v>100</v>
      </c>
      <c r="V17" s="771" t="s">
        <v>17</v>
      </c>
      <c r="W17" s="772">
        <f>J17</f>
        <v>100</v>
      </c>
      <c r="X17" s="1808"/>
      <c r="Y17" s="3245"/>
      <c r="Z17" s="1809" t="str">
        <f>Q17</f>
        <v>商业繁华度</v>
      </c>
      <c r="AA17" s="1806">
        <f t="shared" si="3"/>
        <v>1</v>
      </c>
      <c r="AB17" s="1806">
        <f t="shared" si="4"/>
        <v>1</v>
      </c>
      <c r="AC17" s="1806">
        <f t="shared" si="5"/>
        <v>1</v>
      </c>
    </row>
    <row r="18" spans="1:29" ht="15">
      <c r="A18" s="425"/>
      <c r="B18" s="453"/>
      <c r="C18" s="2599" t="s">
        <v>3380</v>
      </c>
      <c r="D18" s="447"/>
      <c r="E18" s="2601" t="s">
        <v>3380</v>
      </c>
      <c r="F18" s="447"/>
      <c r="G18" s="2601" t="s">
        <v>3380</v>
      </c>
      <c r="H18" s="445"/>
      <c r="I18" s="2601" t="s">
        <v>3380</v>
      </c>
      <c r="J18" s="445"/>
      <c r="K18" s="669"/>
      <c r="L18" s="1135"/>
      <c r="M18" s="1126"/>
      <c r="N18" s="1126"/>
      <c r="O18" s="1134"/>
      <c r="P18" s="3245"/>
      <c r="Q18" s="1805"/>
      <c r="R18" s="771"/>
      <c r="S18" s="772"/>
      <c r="T18" s="771"/>
      <c r="U18" s="772"/>
      <c r="V18" s="771"/>
      <c r="W18" s="772"/>
      <c r="X18" s="1808"/>
      <c r="Y18" s="3245"/>
      <c r="Z18" s="1809"/>
      <c r="AA18" s="1806">
        <v>1</v>
      </c>
      <c r="AB18" s="1806">
        <v>1</v>
      </c>
      <c r="AC18" s="1806">
        <v>1</v>
      </c>
    </row>
    <row r="19" spans="1:29" ht="42.75" hidden="1">
      <c r="A19" s="425"/>
      <c r="B19" s="448" t="s">
        <v>2673</v>
      </c>
      <c r="C19" s="2655"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5"/>
      <c r="M19" s="1126"/>
      <c r="N19" s="1126"/>
      <c r="O19" s="1134"/>
      <c r="P19" s="3245"/>
      <c r="Q19" s="1805" t="str">
        <f>B19</f>
        <v>办公集聚程度</v>
      </c>
      <c r="R19" s="771" t="s">
        <v>17</v>
      </c>
      <c r="S19" s="772">
        <f>F19</f>
        <v>100</v>
      </c>
      <c r="T19" s="771" t="s">
        <v>17</v>
      </c>
      <c r="U19" s="772">
        <f>H19</f>
        <v>100</v>
      </c>
      <c r="V19" s="771" t="s">
        <v>17</v>
      </c>
      <c r="W19" s="772">
        <f>J19</f>
        <v>100</v>
      </c>
      <c r="X19" s="1808"/>
      <c r="Y19" s="3245"/>
      <c r="Z19" s="1809" t="str">
        <f>Q19</f>
        <v>办公集聚程度</v>
      </c>
      <c r="AA19" s="1806">
        <f t="shared" si="3"/>
        <v>1</v>
      </c>
      <c r="AB19" s="1806">
        <f t="shared" si="4"/>
        <v>1</v>
      </c>
      <c r="AC19" s="1806">
        <f t="shared" si="5"/>
        <v>1</v>
      </c>
    </row>
    <row r="20" spans="1:29" ht="15" hidden="1">
      <c r="A20" s="425"/>
      <c r="B20" s="453"/>
      <c r="C20" s="444"/>
      <c r="D20" s="445"/>
      <c r="E20" s="2596"/>
      <c r="F20" s="445"/>
      <c r="G20" s="2596"/>
      <c r="H20" s="445"/>
      <c r="I20" s="2596"/>
      <c r="J20" s="445"/>
      <c r="K20" s="669"/>
      <c r="L20" s="1135"/>
      <c r="M20" s="1126"/>
      <c r="N20" s="1126"/>
      <c r="O20" s="1134"/>
      <c r="P20" s="3245"/>
      <c r="Q20" s="1805"/>
      <c r="R20" s="771"/>
      <c r="S20" s="772"/>
      <c r="T20" s="771"/>
      <c r="U20" s="772"/>
      <c r="V20" s="771"/>
      <c r="W20" s="772"/>
      <c r="X20" s="1808"/>
      <c r="Y20" s="3245"/>
      <c r="Z20" s="1809"/>
      <c r="AA20" s="1806">
        <v>1</v>
      </c>
      <c r="AB20" s="1806">
        <v>1</v>
      </c>
      <c r="AC20" s="1806">
        <v>1</v>
      </c>
    </row>
    <row r="21" spans="1:29" ht="42.75">
      <c r="A21" s="425"/>
      <c r="B21" s="448" t="s">
        <v>2695</v>
      </c>
      <c r="C21" s="2598"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245"/>
      <c r="Q21" s="1805" t="str">
        <f>B21</f>
        <v>交通便捷度</v>
      </c>
      <c r="R21" s="771" t="s">
        <v>17</v>
      </c>
      <c r="S21" s="772">
        <f>F21</f>
        <v>100</v>
      </c>
      <c r="T21" s="771" t="s">
        <v>17</v>
      </c>
      <c r="U21" s="772">
        <f>H21</f>
        <v>100</v>
      </c>
      <c r="V21" s="771" t="s">
        <v>17</v>
      </c>
      <c r="W21" s="772">
        <f>J21</f>
        <v>100</v>
      </c>
      <c r="X21" s="1808"/>
      <c r="Y21" s="3245"/>
      <c r="Z21" s="1809" t="str">
        <f>Q21</f>
        <v>交通便捷度</v>
      </c>
      <c r="AA21" s="1806">
        <f t="shared" si="3"/>
        <v>1</v>
      </c>
      <c r="AB21" s="1806">
        <f t="shared" si="4"/>
        <v>1</v>
      </c>
      <c r="AC21" s="1806">
        <f t="shared" si="5"/>
        <v>1</v>
      </c>
    </row>
    <row r="22" spans="1:29" ht="15">
      <c r="A22" s="425"/>
      <c r="B22" s="1379"/>
      <c r="C22" s="444" t="s">
        <v>3380</v>
      </c>
      <c r="D22" s="447"/>
      <c r="E22" s="2596" t="s">
        <v>3380</v>
      </c>
      <c r="F22" s="445"/>
      <c r="G22" s="2596" t="s">
        <v>3380</v>
      </c>
      <c r="H22" s="445"/>
      <c r="I22" s="2596" t="s">
        <v>3380</v>
      </c>
      <c r="J22" s="445"/>
      <c r="K22" s="669"/>
      <c r="L22" s="1135"/>
      <c r="M22" s="1126"/>
      <c r="N22" s="1126"/>
      <c r="O22" s="1134"/>
      <c r="P22" s="3245"/>
      <c r="Q22" s="1805"/>
      <c r="R22" s="771"/>
      <c r="S22" s="772"/>
      <c r="T22" s="771"/>
      <c r="U22" s="772"/>
      <c r="V22" s="771"/>
      <c r="W22" s="772"/>
      <c r="X22" s="1808"/>
      <c r="Y22" s="3245"/>
      <c r="Z22" s="1809"/>
      <c r="AA22" s="1806">
        <v>1</v>
      </c>
      <c r="AB22" s="1806">
        <v>1</v>
      </c>
      <c r="AC22" s="1806">
        <v>1</v>
      </c>
    </row>
    <row r="23" spans="1:29" ht="15">
      <c r="A23" s="401"/>
      <c r="B23" s="448" t="s">
        <v>2733</v>
      </c>
      <c r="C23" s="1384">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5</v>
      </c>
      <c r="L23" s="1135"/>
      <c r="M23" s="1126"/>
      <c r="N23" s="1126"/>
      <c r="O23" s="1134"/>
      <c r="P23" s="3245"/>
      <c r="Q23" s="1805" t="str">
        <f t="shared" ref="Q23:Q37" si="8">B23</f>
        <v>区域土地利用方向</v>
      </c>
      <c r="R23" s="771" t="s">
        <v>17</v>
      </c>
      <c r="S23" s="772">
        <f>F23</f>
        <v>100</v>
      </c>
      <c r="T23" s="771" t="s">
        <v>17</v>
      </c>
      <c r="U23" s="772">
        <f>H23</f>
        <v>100</v>
      </c>
      <c r="V23" s="771" t="s">
        <v>17</v>
      </c>
      <c r="W23" s="772">
        <f>J23</f>
        <v>100</v>
      </c>
      <c r="X23" s="1808"/>
      <c r="Y23" s="3245"/>
      <c r="Z23" s="1809" t="str">
        <f>Q23</f>
        <v>区域土地利用方向</v>
      </c>
      <c r="AA23" s="1806">
        <f t="shared" si="3"/>
        <v>1</v>
      </c>
      <c r="AB23" s="1806">
        <f t="shared" si="4"/>
        <v>1</v>
      </c>
      <c r="AC23" s="1806">
        <f t="shared" si="5"/>
        <v>1</v>
      </c>
    </row>
    <row r="24" spans="1:29" ht="15">
      <c r="A24" s="401"/>
      <c r="B24" s="453"/>
      <c r="C24" s="613" t="s">
        <v>3368</v>
      </c>
      <c r="D24" s="445"/>
      <c r="E24" s="2596" t="s">
        <v>3368</v>
      </c>
      <c r="F24" s="445"/>
      <c r="G24" s="2596" t="s">
        <v>3368</v>
      </c>
      <c r="H24" s="445"/>
      <c r="I24" s="2596" t="s">
        <v>3368</v>
      </c>
      <c r="J24" s="445"/>
      <c r="K24" s="804"/>
      <c r="L24" s="1135"/>
      <c r="M24" s="1126"/>
      <c r="N24" s="1126"/>
      <c r="O24" s="1134"/>
      <c r="P24" s="3245"/>
      <c r="Q24" s="1805"/>
      <c r="R24" s="771"/>
      <c r="S24" s="772"/>
      <c r="T24" s="771"/>
      <c r="U24" s="772"/>
      <c r="V24" s="771"/>
      <c r="W24" s="772"/>
      <c r="X24" s="1808"/>
      <c r="Y24" s="3245"/>
      <c r="Z24" s="1809"/>
      <c r="AA24" s="1806"/>
      <c r="AB24" s="1806"/>
      <c r="AC24" s="1806"/>
    </row>
    <row r="25" spans="1:29" ht="28.5">
      <c r="A25" s="401"/>
      <c r="B25" s="1379" t="s">
        <v>2734</v>
      </c>
      <c r="C25" s="2655" t="str">
        <f>估价对象房地状况!C20</f>
        <v>区域自然环境：；人文环境；综合评价环境状况一般</v>
      </c>
      <c r="D25" s="447">
        <v>100</v>
      </c>
      <c r="E25" s="449"/>
      <c r="F25" s="447">
        <f>SUMIF(98:98,E26,99:99)-SUMIF(98:98,C26,99:99)+100</f>
        <v>100</v>
      </c>
      <c r="G25" s="449"/>
      <c r="H25" s="447">
        <f>SUMIF(98:98,G26,99:99)-SUMIF(98:98,C26,99:99)+100</f>
        <v>100</v>
      </c>
      <c r="I25" s="449"/>
      <c r="J25" s="447">
        <f>SUMIF(98:98,I26,99:99)-SUMIF(98:98,C26,99:99)+100</f>
        <v>100</v>
      </c>
      <c r="K25" s="670">
        <v>5</v>
      </c>
      <c r="L25" s="1135"/>
      <c r="M25" s="1126"/>
      <c r="N25" s="1126"/>
      <c r="O25" s="1134"/>
      <c r="P25" s="3245"/>
      <c r="Q25" s="1805" t="str">
        <f t="shared" si="8"/>
        <v>自然及人文环境状况</v>
      </c>
      <c r="R25" s="771" t="s">
        <v>17</v>
      </c>
      <c r="S25" s="772">
        <f>F25</f>
        <v>100</v>
      </c>
      <c r="T25" s="771" t="s">
        <v>17</v>
      </c>
      <c r="U25" s="772">
        <f>H25</f>
        <v>100</v>
      </c>
      <c r="V25" s="771" t="s">
        <v>17</v>
      </c>
      <c r="W25" s="772">
        <f>J25</f>
        <v>100</v>
      </c>
      <c r="X25" s="1808"/>
      <c r="Y25" s="3245"/>
      <c r="Z25" s="1809" t="str">
        <f>Q25</f>
        <v>自然及人文环境状况</v>
      </c>
      <c r="AA25" s="1806">
        <f t="shared" si="3"/>
        <v>1</v>
      </c>
      <c r="AB25" s="1806">
        <f t="shared" si="4"/>
        <v>1</v>
      </c>
      <c r="AC25" s="1806">
        <f t="shared" si="5"/>
        <v>1</v>
      </c>
    </row>
    <row r="26" spans="1:29" ht="15">
      <c r="A26" s="401"/>
      <c r="B26" s="453"/>
      <c r="C26" s="444" t="s">
        <v>3368</v>
      </c>
      <c r="D26" s="445"/>
      <c r="E26" s="2602" t="s">
        <v>3368</v>
      </c>
      <c r="F26" s="445"/>
      <c r="G26" s="2602" t="s">
        <v>3368</v>
      </c>
      <c r="H26" s="445"/>
      <c r="I26" s="2602" t="s">
        <v>3368</v>
      </c>
      <c r="J26" s="445"/>
      <c r="K26" s="669"/>
      <c r="L26" s="1135"/>
      <c r="M26" s="1126"/>
      <c r="N26" s="1126"/>
      <c r="O26" s="1134"/>
      <c r="P26" s="3245"/>
      <c r="Q26" s="1805"/>
      <c r="R26" s="771"/>
      <c r="S26" s="772"/>
      <c r="T26" s="771"/>
      <c r="U26" s="772"/>
      <c r="V26" s="771"/>
      <c r="W26" s="772"/>
      <c r="X26" s="1808"/>
      <c r="Y26" s="3245"/>
      <c r="Z26" s="1809"/>
      <c r="AA26" s="1806">
        <v>1</v>
      </c>
      <c r="AB26" s="1806">
        <v>1</v>
      </c>
      <c r="AC26" s="1806">
        <v>1</v>
      </c>
    </row>
    <row r="27" spans="1:29" s="114" customFormat="1" ht="28.5">
      <c r="A27" s="646"/>
      <c r="B27" s="1379" t="s">
        <v>2640</v>
      </c>
      <c r="C27" s="2598" t="str">
        <f>估价对象房地状况!C21</f>
        <v>估价对象所在区域公共配套设施齐备情况</v>
      </c>
      <c r="D27" s="447">
        <v>100</v>
      </c>
      <c r="E27" s="449"/>
      <c r="F27" s="447">
        <f>SUMIF(100:100,E28,101:101)-SUMIF(100:100,C28,101:101)+100</f>
        <v>110</v>
      </c>
      <c r="G27" s="449"/>
      <c r="H27" s="447">
        <f>SUMIF(100:100,G28,101:101)-SUMIF(100:100,C28,101:101)+100</f>
        <v>110</v>
      </c>
      <c r="I27" s="449"/>
      <c r="J27" s="447">
        <f>SUMIF(100:100,I28,101:101)-SUMIF(100:100,C28,101:101)+100</f>
        <v>110</v>
      </c>
      <c r="K27" s="670">
        <v>10</v>
      </c>
      <c r="L27" s="1127"/>
      <c r="M27" s="1128"/>
      <c r="N27" s="1128"/>
      <c r="O27" s="1129"/>
      <c r="P27" s="3245"/>
      <c r="Q27" s="1790" t="str">
        <f t="shared" si="8"/>
        <v>公共配套设施</v>
      </c>
      <c r="R27" s="767" t="s">
        <v>17</v>
      </c>
      <c r="S27" s="768">
        <f>F27</f>
        <v>110</v>
      </c>
      <c r="T27" s="767" t="s">
        <v>17</v>
      </c>
      <c r="U27" s="768">
        <f>H27</f>
        <v>110</v>
      </c>
      <c r="V27" s="767" t="s">
        <v>17</v>
      </c>
      <c r="W27" s="768">
        <f>J27</f>
        <v>110</v>
      </c>
      <c r="X27" s="769"/>
      <c r="Y27" s="3245"/>
      <c r="Z27" s="55" t="str">
        <f>Q27</f>
        <v>公共配套设施</v>
      </c>
      <c r="AA27" s="1806">
        <f>D27/F27</f>
        <v>0.90909090909090906</v>
      </c>
      <c r="AB27" s="1806">
        <f>D27/H27</f>
        <v>0.90909090909090906</v>
      </c>
      <c r="AC27" s="1806">
        <f>D27/J27</f>
        <v>0.90909090909090906</v>
      </c>
    </row>
    <row r="28" spans="1:29" s="114" customFormat="1" ht="15">
      <c r="A28" s="646"/>
      <c r="B28" s="453"/>
      <c r="C28" s="2691" t="s">
        <v>3382</v>
      </c>
      <c r="D28" s="445"/>
      <c r="E28" s="2602" t="s">
        <v>3380</v>
      </c>
      <c r="F28" s="445"/>
      <c r="G28" s="2602" t="s">
        <v>3380</v>
      </c>
      <c r="H28" s="445"/>
      <c r="I28" s="2602" t="s">
        <v>3380</v>
      </c>
      <c r="J28" s="445"/>
      <c r="K28" s="669"/>
      <c r="L28" s="1127"/>
      <c r="M28" s="1128"/>
      <c r="N28" s="1128"/>
      <c r="O28" s="1129"/>
      <c r="P28" s="3245"/>
      <c r="Q28" s="1790"/>
      <c r="R28" s="767"/>
      <c r="S28" s="768"/>
      <c r="T28" s="767"/>
      <c r="U28" s="768"/>
      <c r="V28" s="767"/>
      <c r="W28" s="768"/>
      <c r="X28" s="769"/>
      <c r="Y28" s="3245"/>
      <c r="Z28" s="55"/>
      <c r="AA28" s="1806">
        <v>1</v>
      </c>
      <c r="AB28" s="1806">
        <v>1</v>
      </c>
      <c r="AC28" s="1806">
        <v>1</v>
      </c>
    </row>
    <row r="29" spans="1:29" s="114" customFormat="1" ht="28.5">
      <c r="A29" s="646"/>
      <c r="B29" s="1379" t="s">
        <v>2641</v>
      </c>
      <c r="C29" s="2598"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245"/>
      <c r="Q29" s="1790" t="str">
        <f t="shared" ref="Q29" si="9">B29</f>
        <v>基础设施水平</v>
      </c>
      <c r="R29" s="767" t="s">
        <v>17</v>
      </c>
      <c r="S29" s="768">
        <f>F29</f>
        <v>100</v>
      </c>
      <c r="T29" s="767" t="s">
        <v>17</v>
      </c>
      <c r="U29" s="768">
        <f>H29</f>
        <v>100</v>
      </c>
      <c r="V29" s="767" t="s">
        <v>17</v>
      </c>
      <c r="W29" s="768">
        <f>J29</f>
        <v>100</v>
      </c>
      <c r="X29" s="769"/>
      <c r="Y29" s="3245"/>
      <c r="Z29" s="55" t="str">
        <f>Q29</f>
        <v>基础设施水平</v>
      </c>
      <c r="AA29" s="1806">
        <f>D29/F29</f>
        <v>1</v>
      </c>
      <c r="AB29" s="1806">
        <f>D29/H29</f>
        <v>1</v>
      </c>
      <c r="AC29" s="1806">
        <f>D29/J29</f>
        <v>1</v>
      </c>
    </row>
    <row r="30" spans="1:29" s="114" customFormat="1" ht="15">
      <c r="A30" s="646"/>
      <c r="B30" s="453"/>
      <c r="C30" s="2691" t="s">
        <v>3379</v>
      </c>
      <c r="D30" s="445"/>
      <c r="E30" s="2692" t="s">
        <v>3379</v>
      </c>
      <c r="F30" s="445"/>
      <c r="G30" s="2692" t="s">
        <v>3379</v>
      </c>
      <c r="H30" s="445"/>
      <c r="I30" s="2692" t="s">
        <v>3379</v>
      </c>
      <c r="J30" s="445"/>
      <c r="K30" s="669"/>
      <c r="L30" s="1127"/>
      <c r="M30" s="1128"/>
      <c r="N30" s="1128"/>
      <c r="O30" s="1129"/>
      <c r="P30" s="3245"/>
      <c r="Q30" s="1790"/>
      <c r="R30" s="767"/>
      <c r="S30" s="768"/>
      <c r="T30" s="767"/>
      <c r="U30" s="768"/>
      <c r="V30" s="767"/>
      <c r="W30" s="768"/>
      <c r="X30" s="769"/>
      <c r="Y30" s="3245"/>
      <c r="Z30" s="55"/>
      <c r="AA30" s="1806">
        <v>1</v>
      </c>
      <c r="AB30" s="1806">
        <v>1</v>
      </c>
      <c r="AC30" s="1806">
        <v>1</v>
      </c>
    </row>
    <row r="31" spans="1:29" ht="15" hidden="1">
      <c r="A31" s="425"/>
      <c r="B31" s="453" t="s">
        <v>2642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245"/>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45"/>
      <c r="Z31" s="1809" t="str">
        <f t="shared" ref="Z31:Z45" si="13">Q31</f>
        <v>临街状况</v>
      </c>
      <c r="AA31" s="1806">
        <f t="shared" si="3"/>
        <v>1</v>
      </c>
      <c r="AB31" s="1806">
        <f t="shared" si="4"/>
        <v>1</v>
      </c>
      <c r="AC31" s="1806">
        <f t="shared" si="5"/>
        <v>1</v>
      </c>
    </row>
    <row r="32" spans="1:29" ht="27">
      <c r="A32" s="425"/>
      <c r="B32" s="1379" t="s">
        <v>2677</v>
      </c>
      <c r="C32" s="3007" t="s">
        <v>3378</v>
      </c>
      <c r="D32" s="447">
        <v>100</v>
      </c>
      <c r="E32" s="449"/>
      <c r="F32" s="447">
        <f>SUMIF(106:106,E33,107:107)-SUMIF(106:106,C33,107:107)+100</f>
        <v>100</v>
      </c>
      <c r="G32" s="449"/>
      <c r="H32" s="447">
        <f>SUMIF(106:106,G33,107:107)-SUMIF(106:106,C33,107:107)+100</f>
        <v>100</v>
      </c>
      <c r="I32" s="449"/>
      <c r="J32" s="447">
        <f>SUMIF(106:106,I33,107:107)-SUMIF(106:106,C33,107:107)+100</f>
        <v>100</v>
      </c>
      <c r="K32" s="670">
        <v>2</v>
      </c>
      <c r="L32" s="1135"/>
      <c r="M32" s="1126"/>
      <c r="N32" s="1126"/>
      <c r="O32" s="1134"/>
      <c r="P32" s="3245"/>
      <c r="Q32" s="1805" t="str">
        <f t="shared" si="8"/>
        <v>毗邻道路的类型与等级</v>
      </c>
      <c r="R32" s="771" t="s">
        <v>17</v>
      </c>
      <c r="S32" s="772">
        <f t="shared" si="10"/>
        <v>100</v>
      </c>
      <c r="T32" s="771" t="s">
        <v>17</v>
      </c>
      <c r="U32" s="772">
        <f t="shared" si="11"/>
        <v>100</v>
      </c>
      <c r="V32" s="771" t="s">
        <v>17</v>
      </c>
      <c r="W32" s="772">
        <f t="shared" si="12"/>
        <v>100</v>
      </c>
      <c r="X32" s="1808"/>
      <c r="Y32" s="3245"/>
      <c r="Z32" s="1809" t="str">
        <f t="shared" si="13"/>
        <v>毗邻道路的类型与等级</v>
      </c>
      <c r="AA32" s="1806">
        <f t="shared" si="3"/>
        <v>1</v>
      </c>
      <c r="AB32" s="1806">
        <f t="shared" si="4"/>
        <v>1</v>
      </c>
      <c r="AC32" s="1806">
        <f t="shared" si="5"/>
        <v>1</v>
      </c>
    </row>
    <row r="33" spans="1:29" ht="15.75" thickBot="1">
      <c r="A33" s="425"/>
      <c r="B33" s="453"/>
      <c r="C33" s="444" t="s">
        <v>3375</v>
      </c>
      <c r="D33" s="445"/>
      <c r="E33" s="2602" t="s">
        <v>3375</v>
      </c>
      <c r="F33" s="445"/>
      <c r="G33" s="2602" t="s">
        <v>3375</v>
      </c>
      <c r="H33" s="445"/>
      <c r="I33" s="2602" t="s">
        <v>3375</v>
      </c>
      <c r="J33" s="445"/>
      <c r="K33" s="610"/>
      <c r="L33" s="1135"/>
      <c r="M33" s="1126"/>
      <c r="N33" s="1126"/>
      <c r="O33" s="1134"/>
      <c r="P33" s="3245"/>
      <c r="Q33" s="1805"/>
      <c r="R33" s="771"/>
      <c r="S33" s="772"/>
      <c r="T33" s="771"/>
      <c r="U33" s="772"/>
      <c r="V33" s="771"/>
      <c r="W33" s="772"/>
      <c r="X33" s="1808"/>
      <c r="Y33" s="3245"/>
      <c r="Z33" s="1809"/>
      <c r="AA33" s="1806">
        <v>1</v>
      </c>
      <c r="AB33" s="1806">
        <v>1</v>
      </c>
      <c r="AC33" s="1806">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245"/>
      <c r="Q34" s="1805" t="str">
        <f t="shared" si="8"/>
        <v>土地级别</v>
      </c>
      <c r="R34" s="771" t="s">
        <v>17</v>
      </c>
      <c r="S34" s="772">
        <f t="shared" si="10"/>
        <v>100</v>
      </c>
      <c r="T34" s="771" t="s">
        <v>17</v>
      </c>
      <c r="U34" s="772">
        <f t="shared" si="11"/>
        <v>100</v>
      </c>
      <c r="V34" s="771" t="s">
        <v>17</v>
      </c>
      <c r="W34" s="772">
        <f t="shared" si="12"/>
        <v>100</v>
      </c>
      <c r="X34" s="1808"/>
      <c r="Y34" s="3245"/>
      <c r="Z34" s="1809" t="str">
        <f t="shared" si="13"/>
        <v>土地级别</v>
      </c>
      <c r="AA34" s="1806">
        <f t="shared" si="3"/>
        <v>1</v>
      </c>
      <c r="AB34" s="1806">
        <f t="shared" si="4"/>
        <v>1</v>
      </c>
      <c r="AC34" s="1806">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245"/>
      <c r="Q35" s="1805">
        <f t="shared" si="8"/>
        <v>0</v>
      </c>
      <c r="R35" s="771" t="s">
        <v>17</v>
      </c>
      <c r="S35" s="772">
        <f t="shared" si="10"/>
        <v>100</v>
      </c>
      <c r="T35" s="771" t="s">
        <v>17</v>
      </c>
      <c r="U35" s="772">
        <f t="shared" si="11"/>
        <v>100</v>
      </c>
      <c r="V35" s="771" t="s">
        <v>17</v>
      </c>
      <c r="W35" s="772">
        <f t="shared" si="12"/>
        <v>100</v>
      </c>
      <c r="X35" s="1808"/>
      <c r="Y35" s="3245"/>
      <c r="Z35" s="1809">
        <f t="shared" si="13"/>
        <v>0</v>
      </c>
      <c r="AA35" s="1806">
        <f t="shared" si="3"/>
        <v>1</v>
      </c>
      <c r="AB35" s="1806">
        <f t="shared" si="4"/>
        <v>1</v>
      </c>
      <c r="AC35" s="1806">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53" t="s">
        <v>2551</v>
      </c>
      <c r="Q36" s="1805">
        <f t="shared" si="8"/>
        <v>0</v>
      </c>
      <c r="R36" s="771" t="s">
        <v>17</v>
      </c>
      <c r="S36" s="772">
        <f t="shared" si="10"/>
        <v>100</v>
      </c>
      <c r="T36" s="771" t="s">
        <v>17</v>
      </c>
      <c r="U36" s="772">
        <f t="shared" si="11"/>
        <v>100</v>
      </c>
      <c r="V36" s="771" t="s">
        <v>17</v>
      </c>
      <c r="W36" s="772">
        <f t="shared" si="12"/>
        <v>100</v>
      </c>
      <c r="X36" s="1808"/>
      <c r="Y36" s="3249" t="s">
        <v>2551</v>
      </c>
      <c r="Z36" s="1809">
        <f t="shared" si="13"/>
        <v>0</v>
      </c>
      <c r="AA36" s="1806">
        <f t="shared" si="3"/>
        <v>1</v>
      </c>
      <c r="AB36" s="1806">
        <f t="shared" si="4"/>
        <v>1</v>
      </c>
      <c r="AC36" s="1806">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249"/>
      <c r="Q37" s="1805">
        <f t="shared" si="8"/>
        <v>0</v>
      </c>
      <c r="R37" s="774" t="s">
        <v>17</v>
      </c>
      <c r="S37" s="775">
        <f t="shared" si="10"/>
        <v>100</v>
      </c>
      <c r="T37" s="774" t="s">
        <v>17</v>
      </c>
      <c r="U37" s="775">
        <f t="shared" si="11"/>
        <v>100</v>
      </c>
      <c r="V37" s="774" t="s">
        <v>17</v>
      </c>
      <c r="W37" s="775">
        <f t="shared" si="12"/>
        <v>100</v>
      </c>
      <c r="X37" s="776"/>
      <c r="Y37" s="3249"/>
      <c r="Z37" s="777">
        <f t="shared" si="13"/>
        <v>0</v>
      </c>
      <c r="AA37" s="1806">
        <f t="shared" si="3"/>
        <v>1</v>
      </c>
      <c r="AB37" s="1806">
        <f t="shared" si="4"/>
        <v>1</v>
      </c>
      <c r="AC37" s="1806">
        <f t="shared" si="5"/>
        <v>1</v>
      </c>
    </row>
    <row r="38" spans="1:29" ht="15">
      <c r="A38" s="469" t="s">
        <v>2549</v>
      </c>
      <c r="B38" s="453" t="s">
        <v>2736</v>
      </c>
      <c r="C38" s="676">
        <v>92517.4</v>
      </c>
      <c r="D38" s="464">
        <v>100</v>
      </c>
      <c r="E38" s="676">
        <f>'土地案例（更新）'!F2</f>
        <v>32273.06</v>
      </c>
      <c r="F38" s="464">
        <f>LOOKUP(E38,117:117,118:118)-LOOKUP(C38,117:117,118:118)+100</f>
        <v>100</v>
      </c>
      <c r="G38" s="676">
        <f>'土地案例（更新）'!F5</f>
        <v>19273.46</v>
      </c>
      <c r="H38" s="464">
        <f>LOOKUP(G38,117:117,118:118)-LOOKUP(C38,117:117,118:118)+100</f>
        <v>100</v>
      </c>
      <c r="I38" s="527">
        <f>'土地案例（更新）'!F9</f>
        <v>37341.760000000002</v>
      </c>
      <c r="J38" s="464">
        <f>LOOKUP(I38,117:117,118:118)-LOOKUP(C38,117:117,118:118)+100</f>
        <v>100</v>
      </c>
      <c r="K38" s="610"/>
      <c r="L38" s="1135"/>
      <c r="M38" s="1126"/>
      <c r="N38" s="1126"/>
      <c r="O38" s="1134"/>
      <c r="P38" s="3249"/>
      <c r="Q38" s="1805" t="str">
        <f>B38</f>
        <v>宗地面积</v>
      </c>
      <c r="R38" s="771" t="s">
        <v>17</v>
      </c>
      <c r="S38" s="772">
        <f t="shared" si="10"/>
        <v>100</v>
      </c>
      <c r="T38" s="771" t="s">
        <v>17</v>
      </c>
      <c r="U38" s="772">
        <f t="shared" si="11"/>
        <v>100</v>
      </c>
      <c r="V38" s="771" t="s">
        <v>17</v>
      </c>
      <c r="W38" s="772">
        <f t="shared" si="12"/>
        <v>100</v>
      </c>
      <c r="X38" s="1808"/>
      <c r="Y38" s="3249"/>
      <c r="Z38" s="1809" t="str">
        <f t="shared" si="13"/>
        <v>宗地面积</v>
      </c>
      <c r="AA38" s="1806">
        <f t="shared" si="3"/>
        <v>1</v>
      </c>
      <c r="AB38" s="1806">
        <f t="shared" si="4"/>
        <v>1</v>
      </c>
      <c r="AC38" s="1806">
        <f t="shared" si="5"/>
        <v>1</v>
      </c>
    </row>
    <row r="39" spans="1:29" ht="15">
      <c r="A39" s="469"/>
      <c r="B39" s="419" t="s">
        <v>2737</v>
      </c>
      <c r="C39" s="2604" t="s">
        <v>3370</v>
      </c>
      <c r="D39" s="432">
        <v>100</v>
      </c>
      <c r="E39" s="2604" t="s">
        <v>3370</v>
      </c>
      <c r="F39" s="432">
        <f>SUMIF(119:119,E39,120:120)-SUMIF(119:119,C39,120:120)+100</f>
        <v>100</v>
      </c>
      <c r="G39" s="2604" t="s">
        <v>3370</v>
      </c>
      <c r="H39" s="432">
        <f>SUMIF(119:119,G39,120:120)-SUMIF(119:119,C39,120:120)+100</f>
        <v>100</v>
      </c>
      <c r="I39" s="2604" t="s">
        <v>3370</v>
      </c>
      <c r="J39" s="432">
        <f>SUMIF(119:119,I39,120:120)-SUMIF(119:119,C39,120:120)+100</f>
        <v>100</v>
      </c>
      <c r="K39" s="609">
        <v>1</v>
      </c>
      <c r="L39" s="1135"/>
      <c r="M39" s="1126"/>
      <c r="N39" s="1126"/>
      <c r="O39" s="1134"/>
      <c r="P39" s="3249"/>
      <c r="Q39" s="1805" t="str">
        <f t="shared" ref="Q39:Q45" si="14">B39</f>
        <v>宗地形状</v>
      </c>
      <c r="R39" s="771" t="s">
        <v>17</v>
      </c>
      <c r="S39" s="772">
        <f t="shared" si="10"/>
        <v>100</v>
      </c>
      <c r="T39" s="771" t="s">
        <v>17</v>
      </c>
      <c r="U39" s="772">
        <f t="shared" si="11"/>
        <v>100</v>
      </c>
      <c r="V39" s="771" t="s">
        <v>17</v>
      </c>
      <c r="W39" s="772">
        <f t="shared" si="12"/>
        <v>100</v>
      </c>
      <c r="X39" s="1808"/>
      <c r="Y39" s="3249"/>
      <c r="Z39" s="1809" t="str">
        <f t="shared" si="13"/>
        <v>宗地形状</v>
      </c>
      <c r="AA39" s="1806">
        <f t="shared" si="3"/>
        <v>1</v>
      </c>
      <c r="AB39" s="1806">
        <f t="shared" si="4"/>
        <v>1</v>
      </c>
      <c r="AC39" s="1806">
        <f t="shared" si="5"/>
        <v>1</v>
      </c>
    </row>
    <row r="40" spans="1:29" ht="15" hidden="1">
      <c r="A40" s="469"/>
      <c r="B40" s="419" t="s">
        <v>2738</v>
      </c>
      <c r="C40" s="2604"/>
      <c r="D40" s="432">
        <v>100</v>
      </c>
      <c r="E40" s="2604"/>
      <c r="F40" s="432">
        <f>SUMIF(121:121,E40,122:122)-SUMIF(121:121,C40,122:122)+100</f>
        <v>100</v>
      </c>
      <c r="G40" s="2604"/>
      <c r="H40" s="432">
        <f>SUMIF(121:121,G40,122:122)-SUMIF(121:121,C40,122:122)+100</f>
        <v>100</v>
      </c>
      <c r="I40" s="2604"/>
      <c r="J40" s="432">
        <f>SUMIF(121:121,I40,122:122)-SUMIF(121:121,C40,122:122)+100</f>
        <v>100</v>
      </c>
      <c r="K40" s="609"/>
      <c r="L40" s="1135"/>
      <c r="M40" s="1126"/>
      <c r="N40" s="1126"/>
      <c r="O40" s="1134"/>
      <c r="P40" s="3249"/>
      <c r="Q40" s="1805" t="str">
        <f t="shared" si="14"/>
        <v>临街宽度及深度</v>
      </c>
      <c r="R40" s="771" t="s">
        <v>17</v>
      </c>
      <c r="S40" s="772">
        <f t="shared" si="10"/>
        <v>100</v>
      </c>
      <c r="T40" s="771" t="s">
        <v>17</v>
      </c>
      <c r="U40" s="772">
        <f t="shared" si="11"/>
        <v>100</v>
      </c>
      <c r="V40" s="771" t="s">
        <v>17</v>
      </c>
      <c r="W40" s="772">
        <f t="shared" si="12"/>
        <v>100</v>
      </c>
      <c r="X40" s="1808"/>
      <c r="Y40" s="3249"/>
      <c r="Z40" s="1809" t="str">
        <f t="shared" si="13"/>
        <v>临街宽度及深度</v>
      </c>
      <c r="AA40" s="1806">
        <f t="shared" si="3"/>
        <v>1</v>
      </c>
      <c r="AB40" s="1806">
        <f t="shared" si="4"/>
        <v>1</v>
      </c>
      <c r="AC40" s="1806">
        <f t="shared" si="5"/>
        <v>1</v>
      </c>
    </row>
    <row r="41" spans="1:29" s="114" customFormat="1" ht="15">
      <c r="A41" s="470"/>
      <c r="B41" s="419" t="s">
        <v>2739</v>
      </c>
      <c r="C41" s="2693"/>
      <c r="D41" s="133">
        <v>100</v>
      </c>
      <c r="E41" s="2693"/>
      <c r="F41" s="432">
        <f>SUMIF(123:123,E41,124:124)-SUMIF(123:123,C41,124:124)+100</f>
        <v>100</v>
      </c>
      <c r="G41" s="2693"/>
      <c r="H41" s="432">
        <f>SUMIF(123:123,G41,124:124)-SUMIF(123:123,C41,124:124)+100</f>
        <v>100</v>
      </c>
      <c r="I41" s="2693"/>
      <c r="J41" s="432">
        <f>SUMIF(123:123,I41,124:124)-SUMIF(123:123,C41,124:124)+100</f>
        <v>100</v>
      </c>
      <c r="K41" s="609">
        <v>1</v>
      </c>
      <c r="L41" s="1127"/>
      <c r="M41" s="1128"/>
      <c r="N41" s="1128"/>
      <c r="O41" s="1129"/>
      <c r="P41" s="3249"/>
      <c r="Q41" s="1805" t="str">
        <f t="shared" si="14"/>
        <v>宗地开发程度</v>
      </c>
      <c r="R41" s="767" t="s">
        <v>17</v>
      </c>
      <c r="S41" s="768">
        <f t="shared" si="10"/>
        <v>100</v>
      </c>
      <c r="T41" s="767" t="s">
        <v>17</v>
      </c>
      <c r="U41" s="768">
        <f t="shared" si="11"/>
        <v>100</v>
      </c>
      <c r="V41" s="767" t="s">
        <v>17</v>
      </c>
      <c r="W41" s="768">
        <f t="shared" si="12"/>
        <v>100</v>
      </c>
      <c r="X41" s="769"/>
      <c r="Y41" s="3249"/>
      <c r="Z41" s="55" t="str">
        <f t="shared" si="13"/>
        <v>宗地开发程度</v>
      </c>
      <c r="AA41" s="770">
        <f t="shared" si="3"/>
        <v>1</v>
      </c>
      <c r="AB41" s="770">
        <f t="shared" si="4"/>
        <v>1</v>
      </c>
      <c r="AC41" s="770">
        <f t="shared" si="5"/>
        <v>1</v>
      </c>
    </row>
    <row r="42" spans="1:29" ht="15.75" thickBot="1">
      <c r="A42" s="469"/>
      <c r="B42" s="419" t="s">
        <v>2740</v>
      </c>
      <c r="C42" s="2604" t="s">
        <v>3368</v>
      </c>
      <c r="D42" s="432">
        <v>100</v>
      </c>
      <c r="E42" s="2604" t="s">
        <v>3368</v>
      </c>
      <c r="F42" s="432">
        <f>SUMIF(125:125,E42,126:126)-SUMIF(125:125,C42,126:126)+100</f>
        <v>100</v>
      </c>
      <c r="G42" s="2604" t="s">
        <v>3368</v>
      </c>
      <c r="H42" s="432">
        <f>SUMIF(125:125,G42,126:126)-SUMIF(125:125,C42,126:126)+100</f>
        <v>100</v>
      </c>
      <c r="I42" s="2604" t="s">
        <v>3368</v>
      </c>
      <c r="J42" s="432">
        <f>SUMIF(125:125,I42,126:126)-SUMIF(125:125,C42,126:126)+100</f>
        <v>100</v>
      </c>
      <c r="K42" s="609">
        <v>1</v>
      </c>
      <c r="L42" s="1135"/>
      <c r="M42" s="1126"/>
      <c r="N42" s="1126"/>
      <c r="O42" s="1134"/>
      <c r="P42" s="3249" t="s">
        <v>2551</v>
      </c>
      <c r="Q42" s="1805" t="str">
        <f t="shared" si="14"/>
        <v>工程地质条件</v>
      </c>
      <c r="R42" s="771" t="s">
        <v>17</v>
      </c>
      <c r="S42" s="772">
        <f t="shared" si="10"/>
        <v>100</v>
      </c>
      <c r="T42" s="771" t="s">
        <v>17</v>
      </c>
      <c r="U42" s="772">
        <f t="shared" si="11"/>
        <v>100</v>
      </c>
      <c r="V42" s="771" t="s">
        <v>17</v>
      </c>
      <c r="W42" s="772">
        <f t="shared" si="12"/>
        <v>100</v>
      </c>
      <c r="X42" s="1808"/>
      <c r="Y42" s="3249" t="s">
        <v>2551</v>
      </c>
      <c r="Z42" s="1809" t="str">
        <f t="shared" si="13"/>
        <v>工程地质条件</v>
      </c>
      <c r="AA42" s="1806">
        <f t="shared" si="3"/>
        <v>1</v>
      </c>
      <c r="AB42" s="1806">
        <f t="shared" si="4"/>
        <v>1</v>
      </c>
      <c r="AC42" s="1806">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249"/>
      <c r="Q43" s="1805">
        <f t="shared" si="14"/>
        <v>0</v>
      </c>
      <c r="R43" s="771" t="s">
        <v>17</v>
      </c>
      <c r="S43" s="772">
        <f t="shared" si="10"/>
        <v>100</v>
      </c>
      <c r="T43" s="771" t="s">
        <v>17</v>
      </c>
      <c r="U43" s="772">
        <f t="shared" si="11"/>
        <v>100</v>
      </c>
      <c r="V43" s="771" t="s">
        <v>17</v>
      </c>
      <c r="W43" s="772">
        <f t="shared" si="12"/>
        <v>100</v>
      </c>
      <c r="X43" s="1808"/>
      <c r="Y43" s="3249"/>
      <c r="Z43" s="1809">
        <f t="shared" si="13"/>
        <v>0</v>
      </c>
      <c r="AA43" s="1806">
        <f t="shared" si="3"/>
        <v>1</v>
      </c>
      <c r="AB43" s="1806">
        <f t="shared" si="4"/>
        <v>1</v>
      </c>
      <c r="AC43" s="1806">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249"/>
      <c r="Q44" s="1805">
        <f t="shared" si="14"/>
        <v>0</v>
      </c>
      <c r="R44" s="771" t="s">
        <v>17</v>
      </c>
      <c r="S44" s="772">
        <f t="shared" si="10"/>
        <v>100</v>
      </c>
      <c r="T44" s="771" t="s">
        <v>17</v>
      </c>
      <c r="U44" s="772">
        <f t="shared" si="11"/>
        <v>100</v>
      </c>
      <c r="V44" s="771" t="s">
        <v>17</v>
      </c>
      <c r="W44" s="772">
        <f t="shared" si="12"/>
        <v>100</v>
      </c>
      <c r="X44" s="1808"/>
      <c r="Y44" s="3249"/>
      <c r="Z44" s="1809">
        <f t="shared" si="13"/>
        <v>0</v>
      </c>
      <c r="AA44" s="1806">
        <f t="shared" si="3"/>
        <v>1</v>
      </c>
      <c r="AB44" s="1806">
        <f t="shared" si="4"/>
        <v>1</v>
      </c>
      <c r="AC44" s="1806">
        <f t="shared" si="5"/>
        <v>1</v>
      </c>
    </row>
    <row r="45" spans="1:29" s="468" customFormat="1" ht="15.75" hidden="1" thickBot="1">
      <c r="A45" s="465"/>
      <c r="B45" s="1382"/>
      <c r="C45" s="269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249"/>
      <c r="Q45" s="1805">
        <f t="shared" si="14"/>
        <v>0</v>
      </c>
      <c r="R45" s="774" t="s">
        <v>17</v>
      </c>
      <c r="S45" s="775">
        <f t="shared" si="10"/>
        <v>100</v>
      </c>
      <c r="T45" s="774" t="s">
        <v>17</v>
      </c>
      <c r="U45" s="775">
        <f t="shared" si="11"/>
        <v>100</v>
      </c>
      <c r="V45" s="774" t="s">
        <v>17</v>
      </c>
      <c r="W45" s="775">
        <f t="shared" si="12"/>
        <v>100</v>
      </c>
      <c r="X45" s="776"/>
      <c r="Y45" s="3249"/>
      <c r="Z45" s="777">
        <f t="shared" si="13"/>
        <v>0</v>
      </c>
      <c r="AA45" s="1806">
        <f t="shared" si="3"/>
        <v>1</v>
      </c>
      <c r="AB45" s="1806">
        <f t="shared" si="4"/>
        <v>1</v>
      </c>
      <c r="AC45" s="1806">
        <f t="shared" si="5"/>
        <v>1</v>
      </c>
    </row>
    <row r="46" spans="1:29" ht="15">
      <c r="A46" s="476" t="s">
        <v>2706</v>
      </c>
      <c r="B46" s="2695" t="s">
        <v>3060</v>
      </c>
      <c r="C46" s="679" t="s">
        <v>1</v>
      </c>
      <c r="D46" s="478"/>
      <c r="E46" s="479">
        <f>'土地案例（更新）'!O2</f>
        <v>2265</v>
      </c>
      <c r="F46" s="480"/>
      <c r="G46" s="481">
        <f>'土地案例（更新）'!O5</f>
        <v>2265</v>
      </c>
      <c r="H46" s="482"/>
      <c r="I46" s="479">
        <f>'土地案例（更新）'!O9</f>
        <v>2265</v>
      </c>
      <c r="J46" s="482"/>
      <c r="K46" s="780"/>
      <c r="L46" s="1138"/>
      <c r="M46" s="1139"/>
      <c r="N46" s="1126"/>
      <c r="O46" s="1139"/>
      <c r="P46" s="3242" t="str">
        <f>A46</f>
        <v>成交单价</v>
      </c>
      <c r="Q46" s="3242"/>
      <c r="R46" s="3237">
        <f>E46</f>
        <v>2265</v>
      </c>
      <c r="S46" s="3237"/>
      <c r="T46" s="3237">
        <f>G46</f>
        <v>2265</v>
      </c>
      <c r="U46" s="3237"/>
      <c r="V46" s="3237">
        <f>I46</f>
        <v>2265</v>
      </c>
      <c r="W46" s="3237"/>
      <c r="X46" s="756"/>
      <c r="Y46" s="778"/>
      <c r="Z46" s="756"/>
      <c r="AA46" s="756"/>
      <c r="AB46" s="756"/>
      <c r="AC46" s="756"/>
    </row>
    <row r="47" spans="1:29" ht="15.75" thickBot="1">
      <c r="A47" s="483" t="s">
        <v>2655</v>
      </c>
      <c r="B47" s="680"/>
      <c r="C47" s="487">
        <f>R48</f>
        <v>1860</v>
      </c>
      <c r="D47" s="486"/>
      <c r="E47" s="487">
        <f>R47</f>
        <v>1860</v>
      </c>
      <c r="F47" s="488"/>
      <c r="G47" s="485">
        <f>T47</f>
        <v>1860</v>
      </c>
      <c r="H47" s="486"/>
      <c r="I47" s="487">
        <f>V47</f>
        <v>1860</v>
      </c>
      <c r="J47" s="486"/>
      <c r="K47" s="781"/>
      <c r="L47" s="1138"/>
      <c r="M47" s="1139"/>
      <c r="N47" s="1139"/>
      <c r="O47" s="1139"/>
      <c r="P47" s="3242" t="str">
        <f>A47</f>
        <v>比较价值（元/平方米）</v>
      </c>
      <c r="Q47" s="3242"/>
      <c r="R47" s="3254">
        <f>ROUND(PRODUCT(R46,AA7:AA45),0)</f>
        <v>1860</v>
      </c>
      <c r="S47" s="3254"/>
      <c r="T47" s="3254">
        <f>ROUND(PRODUCT(T46,AB7:AB45),0)</f>
        <v>1860</v>
      </c>
      <c r="U47" s="3254"/>
      <c r="V47" s="3254">
        <f>ROUND(PRODUCT(V46,AC7:AC45),0)</f>
        <v>1860</v>
      </c>
      <c r="W47" s="3254"/>
      <c r="X47" s="756"/>
      <c r="Y47" s="756"/>
      <c r="Z47" s="756"/>
      <c r="AA47" s="756"/>
      <c r="AB47" s="756"/>
      <c r="AC47" s="756"/>
    </row>
    <row r="48" spans="1:29" ht="15.75" thickBot="1">
      <c r="A48" s="489" t="s">
        <v>2741</v>
      </c>
      <c r="B48" s="490"/>
      <c r="C48" s="491">
        <f>R48</f>
        <v>1860</v>
      </c>
      <c r="D48" s="491"/>
      <c r="E48" s="491"/>
      <c r="F48" s="491"/>
      <c r="G48" s="491"/>
      <c r="H48" s="491"/>
      <c r="I48" s="491"/>
      <c r="J48" s="491"/>
      <c r="K48" s="782"/>
      <c r="L48" s="1138"/>
      <c r="M48" s="1139"/>
      <c r="N48" s="1139"/>
      <c r="O48" s="1139"/>
      <c r="P48" s="3239" t="str">
        <f>A48</f>
        <v>估价对象XX用房的比较价值（楼面单价，元/平方米）</v>
      </c>
      <c r="Q48" s="3240"/>
      <c r="R48" s="3255">
        <f>ROUND(AVERAGE(R47:V47),0)</f>
        <v>1860</v>
      </c>
      <c r="S48" s="3255"/>
      <c r="T48" s="3255"/>
      <c r="U48" s="3255"/>
      <c r="V48" s="3255"/>
      <c r="W48" s="3255"/>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2657</v>
      </c>
      <c r="D51" s="495"/>
      <c r="E51" s="496">
        <f>IF(E46&lt;E47,E47/E46-1,E46/E47-1)</f>
        <v>0.217741935483871</v>
      </c>
      <c r="F51" s="497" t="str">
        <f>IF(OR(E51&gt;=0.3,E51&lt;=-0.3),"超过30%","")</f>
        <v/>
      </c>
      <c r="G51" s="496">
        <f>IF(G46&lt;G47,G47/G46-1,G46/G47-1)</f>
        <v>0.217741935483871</v>
      </c>
      <c r="H51" s="497" t="str">
        <f>IF(OR(G51&gt;=0.3,G51&lt;=-0.3),"超过30%","")</f>
        <v/>
      </c>
      <c r="I51" s="496">
        <f>IF(I46&lt;I47,I47/I46-1,I46/I47-1)</f>
        <v>0.217741935483871</v>
      </c>
      <c r="J51" s="497" t="str">
        <f>IF(OR(I51&gt;=0.3,I51&lt;=-0.3),"超过30%","")</f>
        <v/>
      </c>
      <c r="K51" s="1100"/>
      <c r="L51" s="1101"/>
      <c r="M51" s="1139"/>
      <c r="N51" s="1139"/>
      <c r="O51" s="1139"/>
    </row>
    <row r="52" spans="1:15" ht="13.5" customHeight="1">
      <c r="A52" s="1139"/>
      <c r="B52" s="1139"/>
      <c r="C52" s="494" t="s">
        <v>2658</v>
      </c>
      <c r="D52" s="498"/>
      <c r="E52" s="496">
        <f>IF(E47&lt;G47,G47/E47-1,E47/G47-1)</f>
        <v>0</v>
      </c>
      <c r="F52" s="497" t="str">
        <f>IF(OR(E52&gt;=0.2,E52&lt;=-0.2),"超过20%","")</f>
        <v/>
      </c>
      <c r="G52" s="496">
        <f>IF(G47&lt;I47,I47/G47-1,G47/I47-1)</f>
        <v>0</v>
      </c>
      <c r="H52" s="497" t="str">
        <f>IF(OR(G52&gt;=0.2,G52&lt;=-0.2),"超过20%","")</f>
        <v/>
      </c>
      <c r="I52" s="496">
        <f>IF(I47&lt;E47,E47/I47-1,I47/E47-1)</f>
        <v>0</v>
      </c>
      <c r="J52" s="497" t="str">
        <f>IF(OR(I52&gt;=0.2,I52&lt;=-0.2),"超过20%","")</f>
        <v/>
      </c>
      <c r="K52" s="1100"/>
      <c r="L52" s="1101"/>
      <c r="M52" s="1139"/>
      <c r="N52" s="1139"/>
      <c r="O52" s="1139"/>
    </row>
    <row r="53" spans="1:15" s="499" customFormat="1" ht="13.5" customHeight="1">
      <c r="A53" s="1140"/>
      <c r="B53" s="1140"/>
      <c r="C53" s="494" t="s">
        <v>2659</v>
      </c>
      <c r="D53" s="498"/>
      <c r="E53" s="496">
        <f>IF(E46&lt;G46,G46/E46-1,E46/G46-1)</f>
        <v>0</v>
      </c>
      <c r="F53" s="497" t="str">
        <f>IF(OR(E53&gt;=0.3,E53&lt;=-0.3),"超过30%","")</f>
        <v/>
      </c>
      <c r="G53" s="496">
        <f>IF(G46&lt;I46,I46/G46-1,G46/I46-1)</f>
        <v>0</v>
      </c>
      <c r="H53" s="497" t="str">
        <f>IF(OR(G53&gt;=0.3,G53&lt;=-0.3),"超过30%","")</f>
        <v/>
      </c>
      <c r="I53" s="496">
        <f>IF(I46&lt;E46,E46/I46-1,I46/E46-1)</f>
        <v>0</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2742</v>
      </c>
      <c r="B55" s="682" t="s">
        <v>2743</v>
      </c>
      <c r="C55" s="2696" t="s">
        <v>3061</v>
      </c>
      <c r="D55" s="2697" t="s">
        <v>2745</v>
      </c>
      <c r="E55" s="683" t="s">
        <v>2746</v>
      </c>
      <c r="F55" s="1102" t="s">
        <v>2747</v>
      </c>
      <c r="G55" s="3225" t="s">
        <v>2748</v>
      </c>
      <c r="H55" s="3256"/>
      <c r="I55" s="141" t="s">
        <v>2749</v>
      </c>
      <c r="J55" s="2698" t="str">
        <f>项目基本情况!F35</f>
        <v>河北省秦皇岛市北戴河新区</v>
      </c>
      <c r="K55" s="2699" t="s">
        <v>2750</v>
      </c>
      <c r="L55" s="1101"/>
      <c r="M55" s="1139"/>
      <c r="N55" s="1139"/>
      <c r="O55" s="1139"/>
    </row>
    <row r="56" spans="1:15" s="689" customFormat="1">
      <c r="A56" s="685" t="s">
        <v>2751</v>
      </c>
      <c r="B56" s="686">
        <f>C48</f>
        <v>1860</v>
      </c>
      <c r="C56" s="687">
        <v>1</v>
      </c>
      <c r="D56" s="1158">
        <v>1</v>
      </c>
      <c r="E56" s="687">
        <f>'数据-汇总表'!E8+'数据-汇总表'!E9</f>
        <v>3130.82</v>
      </c>
      <c r="F56" s="1098">
        <f t="shared" ref="F56:F65" si="15">ROUND(B56*E56/10000,0)</f>
        <v>582</v>
      </c>
      <c r="G56" s="3224"/>
      <c r="H56" s="3242"/>
      <c r="I56" s="1103">
        <v>1</v>
      </c>
      <c r="J56" s="1106">
        <v>1</v>
      </c>
      <c r="K56" s="1140"/>
      <c r="L56" s="936"/>
      <c r="M56" s="936"/>
      <c r="N56" s="936"/>
      <c r="O56" s="936"/>
    </row>
    <row r="57" spans="1:15" s="689" customFormat="1">
      <c r="A57" s="690" t="s">
        <v>2752</v>
      </c>
      <c r="B57" s="259">
        <f>ROUND($C$48*C57*D57,0)</f>
        <v>0</v>
      </c>
      <c r="C57" s="197">
        <f t="shared" ref="C57:C65" si="16">IF($C$55="北京市系数",I57,J57)</f>
        <v>0</v>
      </c>
      <c r="D57" s="1159">
        <v>0.25</v>
      </c>
      <c r="E57" s="691"/>
      <c r="F57" s="1098">
        <f t="shared" si="15"/>
        <v>0</v>
      </c>
      <c r="G57" s="3257" t="s">
        <v>2753</v>
      </c>
      <c r="H57" s="1099">
        <f>项目基本情况!B37</f>
        <v>0</v>
      </c>
      <c r="I57" s="1103">
        <f>SUMIF(修正!A45:A56,H57,修正!B45:B56)</f>
        <v>0</v>
      </c>
      <c r="J57" s="1107"/>
      <c r="K57" s="1139"/>
      <c r="L57" s="936"/>
      <c r="M57" s="936"/>
      <c r="N57" s="936"/>
      <c r="O57" s="936"/>
    </row>
    <row r="58" spans="1:15" s="689" customFormat="1">
      <c r="A58" s="690" t="s">
        <v>2754</v>
      </c>
      <c r="B58" s="259">
        <f t="shared" ref="B58:B65" si="17">ROUND($C$48*C58*D58,0)</f>
        <v>0</v>
      </c>
      <c r="C58" s="197">
        <f t="shared" si="16"/>
        <v>0</v>
      </c>
      <c r="D58" s="1159">
        <v>0.25</v>
      </c>
      <c r="E58" s="691"/>
      <c r="F58" s="1098">
        <f t="shared" si="15"/>
        <v>0</v>
      </c>
      <c r="G58" s="3257"/>
      <c r="H58" s="1099">
        <f>项目基本情况!B37</f>
        <v>0</v>
      </c>
      <c r="I58" s="1103">
        <f>SUMIF(修正!A45:A56,H58,修正!C45:C56)</f>
        <v>0</v>
      </c>
      <c r="J58" s="1107"/>
      <c r="K58" s="1140"/>
      <c r="L58" s="936"/>
      <c r="M58" s="936"/>
      <c r="N58" s="936"/>
      <c r="O58" s="936"/>
    </row>
    <row r="59" spans="1:15" s="689" customFormat="1">
      <c r="A59" s="690" t="s">
        <v>2755</v>
      </c>
      <c r="B59" s="259">
        <f t="shared" si="17"/>
        <v>0</v>
      </c>
      <c r="C59" s="197">
        <f t="shared" si="16"/>
        <v>0</v>
      </c>
      <c r="D59" s="1159">
        <v>0.25</v>
      </c>
      <c r="E59" s="691"/>
      <c r="F59" s="1098">
        <f t="shared" si="15"/>
        <v>0</v>
      </c>
      <c r="G59" s="3257"/>
      <c r="H59" s="1099">
        <f>项目基本情况!B37</f>
        <v>0</v>
      </c>
      <c r="I59" s="1103">
        <f>SUMIF(修正!A45:A56,H59,修正!D45:D56)</f>
        <v>0</v>
      </c>
      <c r="J59" s="1107"/>
      <c r="K59" s="1139"/>
      <c r="L59" s="936"/>
      <c r="M59" s="936"/>
      <c r="N59" s="936"/>
      <c r="O59" s="936"/>
    </row>
    <row r="60" spans="1:15" s="689" customFormat="1">
      <c r="A60" s="690" t="s">
        <v>2756</v>
      </c>
      <c r="B60" s="259">
        <f t="shared" si="17"/>
        <v>0</v>
      </c>
      <c r="C60" s="197">
        <f t="shared" si="16"/>
        <v>0</v>
      </c>
      <c r="D60" s="1159">
        <v>0.25</v>
      </c>
      <c r="E60" s="691"/>
      <c r="F60" s="1098">
        <f t="shared" si="15"/>
        <v>0</v>
      </c>
      <c r="G60" s="3257"/>
      <c r="H60" s="1099">
        <f>项目基本情况!B37</f>
        <v>0</v>
      </c>
      <c r="I60" s="1103">
        <f>SUMIF(修正!A45:A56,H60,修正!E45:E56)</f>
        <v>0</v>
      </c>
      <c r="J60" s="1107"/>
      <c r="K60" s="1140"/>
      <c r="L60" s="936"/>
      <c r="M60" s="936"/>
      <c r="N60" s="936"/>
      <c r="O60" s="936"/>
    </row>
    <row r="61" spans="1:15" s="689" customFormat="1">
      <c r="A61" s="690" t="s">
        <v>2757</v>
      </c>
      <c r="B61" s="259">
        <f t="shared" si="17"/>
        <v>0</v>
      </c>
      <c r="C61" s="197">
        <f t="shared" si="16"/>
        <v>0</v>
      </c>
      <c r="D61" s="1159">
        <v>0.25</v>
      </c>
      <c r="E61" s="258">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9" customFormat="1">
      <c r="A62" s="690" t="s">
        <v>2759</v>
      </c>
      <c r="B62" s="259">
        <f t="shared" si="17"/>
        <v>0</v>
      </c>
      <c r="C62" s="197">
        <f t="shared" si="16"/>
        <v>0</v>
      </c>
      <c r="D62" s="1159">
        <v>0.25</v>
      </c>
      <c r="E62" s="258">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2761</v>
      </c>
      <c r="B63" s="259">
        <f t="shared" si="17"/>
        <v>0</v>
      </c>
      <c r="C63" s="197">
        <f t="shared" si="16"/>
        <v>0</v>
      </c>
      <c r="D63" s="1159">
        <v>0.25</v>
      </c>
      <c r="E63" s="258">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2763</v>
      </c>
      <c r="B64" s="259">
        <f t="shared" si="17"/>
        <v>0</v>
      </c>
      <c r="C64" s="197">
        <f t="shared" si="16"/>
        <v>0</v>
      </c>
      <c r="D64" s="1159">
        <v>0.25</v>
      </c>
      <c r="E64" s="258">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9" customFormat="1" ht="15" thickBot="1">
      <c r="A65" s="690" t="s">
        <v>2764</v>
      </c>
      <c r="B65" s="259">
        <f t="shared" si="17"/>
        <v>0</v>
      </c>
      <c r="C65" s="197">
        <f t="shared" si="16"/>
        <v>0</v>
      </c>
      <c r="D65" s="1159">
        <v>0.25</v>
      </c>
      <c r="E65" s="258">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9" customFormat="1" ht="13.5" thickBot="1">
      <c r="A66" s="692" t="s">
        <v>2765</v>
      </c>
      <c r="B66" s="693" t="s">
        <v>28</v>
      </c>
      <c r="C66" s="693" t="s">
        <v>29</v>
      </c>
      <c r="D66" s="693" t="s">
        <v>1029</v>
      </c>
      <c r="E66" s="693">
        <f>IF(B46="楼面地价",SUM(E56:E65),'数据-汇总表'!D3)</f>
        <v>9119.9</v>
      </c>
      <c r="F66" s="694">
        <f>IF(B46="楼面地价",SUM(F56:F65),ROUND(C48*E66/10000,0))</f>
        <v>1696</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2660</v>
      </c>
      <c r="B69" s="756"/>
      <c r="C69" s="761"/>
      <c r="D69" s="761"/>
      <c r="E69" s="761"/>
      <c r="F69" s="762"/>
      <c r="G69" s="762"/>
      <c r="H69" s="761"/>
      <c r="I69" s="761"/>
      <c r="J69" s="1154"/>
      <c r="K69" s="1155"/>
      <c r="L69" s="1156"/>
      <c r="M69" s="1154"/>
      <c r="N69" s="1154"/>
      <c r="O69" s="1154"/>
      <c r="P69" s="500"/>
      <c r="Q69" s="501"/>
    </row>
    <row r="70" spans="1:17" s="505" customFormat="1" ht="15">
      <c r="A70" s="2702" t="s">
        <v>2766</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4"/>
    </row>
    <row r="71" spans="1:17" s="114" customFormat="1" ht="30" customHeight="1">
      <c r="A71" s="2703" t="s">
        <v>1378</v>
      </c>
      <c r="B71" s="329" t="str">
        <f>"北京市平均增长率"&amp;TEXT(SUMIF(基准地价修正!N21:N25,A71,基准地价修正!P21:P25),"0.00%")</f>
        <v>北京市平均增长率0.00%</v>
      </c>
      <c r="C71" s="600">
        <v>100</v>
      </c>
      <c r="D71" s="592">
        <f>C71-$C$72</f>
        <v>99.5</v>
      </c>
      <c r="E71" s="592">
        <f t="shared" ref="E71:O71" si="20">D71-$C$72</f>
        <v>99</v>
      </c>
      <c r="F71" s="592">
        <f t="shared" si="20"/>
        <v>98.5</v>
      </c>
      <c r="G71" s="592">
        <f t="shared" si="20"/>
        <v>98</v>
      </c>
      <c r="H71" s="592">
        <f t="shared" si="20"/>
        <v>97.5</v>
      </c>
      <c r="I71" s="592">
        <f t="shared" si="20"/>
        <v>97</v>
      </c>
      <c r="J71" s="592">
        <f t="shared" si="20"/>
        <v>96.5</v>
      </c>
      <c r="K71" s="592">
        <f t="shared" si="20"/>
        <v>96</v>
      </c>
      <c r="L71" s="592">
        <f t="shared" si="20"/>
        <v>95.5</v>
      </c>
      <c r="M71" s="592">
        <f t="shared" si="20"/>
        <v>95</v>
      </c>
      <c r="N71" s="592">
        <f t="shared" si="20"/>
        <v>94.5</v>
      </c>
      <c r="O71" s="592">
        <f t="shared" si="20"/>
        <v>94</v>
      </c>
      <c r="P71" s="501"/>
    </row>
    <row r="72" spans="1:17" s="114" customFormat="1" ht="15.75" thickBot="1">
      <c r="A72" s="512" t="s">
        <v>2571</v>
      </c>
      <c r="B72" s="513"/>
      <c r="C72" s="514">
        <v>0.5</v>
      </c>
      <c r="D72" s="515"/>
      <c r="E72" s="515"/>
      <c r="F72" s="515"/>
      <c r="G72" s="515"/>
      <c r="H72" s="515"/>
      <c r="I72" s="515"/>
      <c r="J72" s="515"/>
      <c r="K72" s="515"/>
      <c r="L72" s="515"/>
      <c r="M72" s="516"/>
      <c r="N72" s="515"/>
      <c r="O72" s="1157"/>
      <c r="P72" s="501"/>
      <c r="Q72" s="501"/>
    </row>
    <row r="73" spans="1:17" s="114" customFormat="1" ht="15">
      <c r="A73" s="518" t="s">
        <v>2536</v>
      </c>
      <c r="B73" s="507"/>
      <c r="C73" s="519" t="s">
        <v>2638</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2574</v>
      </c>
      <c r="B75" s="525" t="s">
        <v>2540</v>
      </c>
      <c r="C75" s="527" t="s">
        <v>3287</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2543</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43.5" thickTop="1">
      <c r="A79" s="531"/>
      <c r="B79" s="543" t="s">
        <v>2544</v>
      </c>
      <c r="C79" s="544" t="str">
        <f>C80&amp;"（含）"&amp;"-"&amp;D80</f>
        <v>0.2（含）-0.3</v>
      </c>
      <c r="D79" s="544" t="str">
        <f t="shared" ref="D79:L79" si="21">D80&amp;"（含）"&amp;"-"&amp;E80</f>
        <v>0.3（含）-0.4</v>
      </c>
      <c r="E79" s="544" t="str">
        <f t="shared" si="21"/>
        <v>0.4（含）-0.5</v>
      </c>
      <c r="F79" s="544" t="str">
        <f t="shared" si="21"/>
        <v>0.5（含）-0.6</v>
      </c>
      <c r="G79" s="544" t="str">
        <f t="shared" si="21"/>
        <v>0.6（含）-0.7</v>
      </c>
      <c r="H79" s="544" t="str">
        <f t="shared" si="21"/>
        <v>0.7（含）-0.8</v>
      </c>
      <c r="I79" s="544" t="str">
        <f t="shared" si="21"/>
        <v>0.8（含）-0.9</v>
      </c>
      <c r="J79" s="544" t="str">
        <f t="shared" si="21"/>
        <v>0.9（含）-1</v>
      </c>
      <c r="K79" s="544" t="str">
        <f t="shared" si="21"/>
        <v>1（含）-1.1</v>
      </c>
      <c r="L79" s="544" t="str">
        <f t="shared" si="21"/>
        <v>1.1（含）-1.2</v>
      </c>
      <c r="M79" s="445" t="str">
        <f>M80&amp;"（含）"&amp;"-"&amp;P80</f>
        <v>1.2（含）-</v>
      </c>
      <c r="N79" s="1148"/>
      <c r="O79" s="1148"/>
      <c r="P79" s="45"/>
      <c r="Q79" s="501"/>
    </row>
    <row r="80" spans="1:17" ht="15">
      <c r="A80" s="531"/>
      <c r="B80" s="545"/>
      <c r="C80" s="546">
        <v>0.2</v>
      </c>
      <c r="D80" s="546">
        <f>C80+0.1</f>
        <v>0.30000000000000004</v>
      </c>
      <c r="E80" s="546">
        <f t="shared" ref="E80:M80" si="22">D80+0.1</f>
        <v>0.4</v>
      </c>
      <c r="F80" s="546">
        <f t="shared" si="22"/>
        <v>0.5</v>
      </c>
      <c r="G80" s="546">
        <f t="shared" si="22"/>
        <v>0.6</v>
      </c>
      <c r="H80" s="546">
        <f t="shared" si="22"/>
        <v>0.7</v>
      </c>
      <c r="I80" s="546">
        <f t="shared" si="22"/>
        <v>0.79999999999999993</v>
      </c>
      <c r="J80" s="546">
        <f t="shared" si="22"/>
        <v>0.89999999999999991</v>
      </c>
      <c r="K80" s="546">
        <f t="shared" si="22"/>
        <v>0.99999999999999989</v>
      </c>
      <c r="L80" s="546">
        <f t="shared" si="22"/>
        <v>1.0999999999999999</v>
      </c>
      <c r="M80" s="546">
        <f t="shared" si="22"/>
        <v>1.2</v>
      </c>
      <c r="N80" s="1147"/>
      <c r="O80" s="1147"/>
      <c r="P80" s="45"/>
      <c r="Q80" s="501"/>
    </row>
    <row r="81" spans="1:17" ht="15.75" thickBot="1">
      <c r="A81" s="531"/>
      <c r="B81" s="532"/>
      <c r="C81" s="541">
        <v>100</v>
      </c>
      <c r="D81" s="541">
        <f t="shared" ref="D81:M81" si="23">IF($B$46="单位面积地价",C81+$K11,C81-$K11)</f>
        <v>101</v>
      </c>
      <c r="E81" s="541">
        <f t="shared" si="23"/>
        <v>102</v>
      </c>
      <c r="F81" s="541">
        <f t="shared" si="23"/>
        <v>103</v>
      </c>
      <c r="G81" s="541">
        <f t="shared" si="23"/>
        <v>104</v>
      </c>
      <c r="H81" s="541">
        <f t="shared" si="23"/>
        <v>105</v>
      </c>
      <c r="I81" s="541">
        <f t="shared" si="23"/>
        <v>106</v>
      </c>
      <c r="J81" s="541">
        <f t="shared" si="23"/>
        <v>107</v>
      </c>
      <c r="K81" s="541">
        <f t="shared" si="23"/>
        <v>108</v>
      </c>
      <c r="L81" s="541">
        <f t="shared" si="23"/>
        <v>109</v>
      </c>
      <c r="M81" s="541">
        <f t="shared" si="23"/>
        <v>110</v>
      </c>
      <c r="N81" s="1148"/>
      <c r="O81" s="1148"/>
      <c r="P81" s="45"/>
      <c r="Q81" s="501"/>
    </row>
    <row r="82" spans="1:17" s="468" customFormat="1" ht="15.75" hidden="1" thickTop="1">
      <c r="A82" s="550"/>
      <c r="B82" s="535">
        <f>B12</f>
        <v>0</v>
      </c>
      <c r="C82" s="551"/>
      <c r="D82" s="551"/>
      <c r="E82" s="551"/>
      <c r="F82" s="551"/>
      <c r="G82" s="551"/>
      <c r="H82" s="552"/>
      <c r="I82" s="552"/>
      <c r="J82" s="552"/>
      <c r="K82" s="552"/>
      <c r="L82" s="553"/>
      <c r="M82" s="554"/>
      <c r="N82" s="1149"/>
      <c r="O82" s="1149"/>
      <c r="P82" s="555"/>
      <c r="Q82" s="556"/>
    </row>
    <row r="83" spans="1:17" s="468" customFormat="1" ht="15.75" hidden="1" thickBot="1">
      <c r="A83" s="550"/>
      <c r="B83" s="540"/>
      <c r="C83" s="557"/>
      <c r="D83" s="533"/>
      <c r="E83" s="533"/>
      <c r="F83" s="533"/>
      <c r="G83" s="533"/>
      <c r="H83" s="533"/>
      <c r="I83" s="533"/>
      <c r="J83" s="533"/>
      <c r="K83" s="533"/>
      <c r="L83" s="533"/>
      <c r="M83" s="534"/>
      <c r="N83" s="1148"/>
      <c r="O83" s="1148"/>
      <c r="P83" s="555"/>
      <c r="Q83" s="556"/>
    </row>
    <row r="84" spans="1:17" s="468" customFormat="1" ht="15.75" hidden="1" thickTop="1">
      <c r="A84" s="550"/>
      <c r="B84" s="535">
        <f>B13</f>
        <v>0</v>
      </c>
      <c r="C84" s="551"/>
      <c r="D84" s="551"/>
      <c r="E84" s="551"/>
      <c r="F84" s="551"/>
      <c r="G84" s="551"/>
      <c r="H84" s="552"/>
      <c r="I84" s="552"/>
      <c r="J84" s="552"/>
      <c r="K84" s="552"/>
      <c r="L84" s="553"/>
      <c r="M84" s="554"/>
      <c r="N84" s="1149"/>
      <c r="O84" s="1149"/>
      <c r="P84" s="467"/>
      <c r="Q84" s="558"/>
    </row>
    <row r="85" spans="1:17" s="468" customFormat="1" ht="15.75" hidden="1" thickBot="1">
      <c r="A85" s="550"/>
      <c r="B85" s="540"/>
      <c r="C85" s="557"/>
      <c r="D85" s="557"/>
      <c r="E85" s="557"/>
      <c r="F85" s="557"/>
      <c r="G85" s="557"/>
      <c r="H85" s="559"/>
      <c r="I85" s="559"/>
      <c r="J85" s="559"/>
      <c r="K85" s="559"/>
      <c r="L85" s="559"/>
      <c r="M85" s="560"/>
      <c r="N85" s="1149"/>
      <c r="O85" s="1149"/>
      <c r="P85" s="555"/>
      <c r="Q85" s="556"/>
    </row>
    <row r="86" spans="1:17" s="468" customFormat="1" ht="15.75" hidden="1" thickTop="1">
      <c r="A86" s="550"/>
      <c r="B86" s="543">
        <f>B14</f>
        <v>0</v>
      </c>
      <c r="C86" s="520"/>
      <c r="D86" s="520"/>
      <c r="E86" s="520"/>
      <c r="F86" s="520"/>
      <c r="G86" s="520"/>
      <c r="H86" s="561"/>
      <c r="I86" s="561"/>
      <c r="J86" s="561"/>
      <c r="K86" s="561"/>
      <c r="L86" s="562"/>
      <c r="M86" s="563"/>
      <c r="N86" s="1149"/>
      <c r="O86" s="1149"/>
      <c r="P86" s="564"/>
      <c r="Q86" s="556"/>
    </row>
    <row r="87" spans="1:17" s="468" customFormat="1" ht="15.75" hidden="1" thickBot="1">
      <c r="A87" s="565"/>
      <c r="B87" s="566"/>
      <c r="C87" s="567"/>
      <c r="D87" s="567"/>
      <c r="E87" s="567"/>
      <c r="F87" s="567"/>
      <c r="G87" s="567"/>
      <c r="H87" s="568"/>
      <c r="I87" s="568"/>
      <c r="J87" s="568"/>
      <c r="K87" s="568"/>
      <c r="L87" s="568"/>
      <c r="M87" s="569"/>
      <c r="N87" s="1149"/>
      <c r="O87" s="1149"/>
      <c r="P87" s="555"/>
      <c r="Q87" s="556"/>
    </row>
    <row r="88" spans="1:17" hidden="1">
      <c r="A88" s="524" t="s">
        <v>2545</v>
      </c>
      <c r="B88" s="525" t="s">
        <v>2582</v>
      </c>
      <c r="C88" s="570" t="s">
        <v>2583</v>
      </c>
      <c r="D88" s="570" t="s">
        <v>2584</v>
      </c>
      <c r="E88" s="570" t="s">
        <v>2585</v>
      </c>
      <c r="F88" s="570" t="s">
        <v>2586</v>
      </c>
      <c r="G88" s="570" t="s">
        <v>2587</v>
      </c>
      <c r="H88" s="526"/>
      <c r="I88" s="526"/>
      <c r="J88" s="526"/>
      <c r="K88" s="571"/>
      <c r="L88" s="572"/>
      <c r="M88" s="573"/>
      <c r="N88" s="1147"/>
      <c r="O88" s="1147"/>
      <c r="P88" s="574"/>
      <c r="Q88" s="501"/>
    </row>
    <row r="89" spans="1:17" ht="15.75" hidden="1"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2767</v>
      </c>
      <c r="C90" s="575" t="s">
        <v>2583</v>
      </c>
      <c r="D90" s="575" t="s">
        <v>2584</v>
      </c>
      <c r="E90" s="575" t="s">
        <v>2585</v>
      </c>
      <c r="F90" s="575" t="s">
        <v>2586</v>
      </c>
      <c r="G90" s="575" t="s">
        <v>2587</v>
      </c>
      <c r="H90" s="536"/>
      <c r="I90" s="536"/>
      <c r="J90" s="536"/>
      <c r="K90" s="537"/>
      <c r="L90" s="538"/>
      <c r="M90" s="539"/>
      <c r="N90" s="1147"/>
      <c r="O90" s="1147"/>
      <c r="P90" s="45"/>
      <c r="Q90" s="501"/>
    </row>
    <row r="91" spans="1:17" ht="15.75" thickBot="1">
      <c r="A91" s="531"/>
      <c r="B91" s="540"/>
      <c r="C91" s="541">
        <v>100</v>
      </c>
      <c r="D91" s="541">
        <f>C91-$K17</f>
        <v>95</v>
      </c>
      <c r="E91" s="541">
        <f>D91-$K17</f>
        <v>90</v>
      </c>
      <c r="F91" s="541">
        <f>E91-$K17</f>
        <v>85</v>
      </c>
      <c r="G91" s="541">
        <f>F91-$K17</f>
        <v>80</v>
      </c>
      <c r="H91" s="541"/>
      <c r="I91" s="541"/>
      <c r="J91" s="541"/>
      <c r="K91" s="541"/>
      <c r="L91" s="541"/>
      <c r="M91" s="542"/>
      <c r="N91" s="1148"/>
      <c r="O91" s="1148"/>
      <c r="P91" s="45"/>
      <c r="Q91" s="501"/>
    </row>
    <row r="92" spans="1:17" ht="15.75" hidden="1" thickTop="1">
      <c r="A92" s="531"/>
      <c r="B92" s="535" t="s">
        <v>2683</v>
      </c>
      <c r="C92" s="575" t="s">
        <v>2583</v>
      </c>
      <c r="D92" s="575" t="s">
        <v>2584</v>
      </c>
      <c r="E92" s="575" t="s">
        <v>2585</v>
      </c>
      <c r="F92" s="575" t="s">
        <v>2586</v>
      </c>
      <c r="G92" s="575" t="s">
        <v>2587</v>
      </c>
      <c r="H92" s="536"/>
      <c r="I92" s="536"/>
      <c r="J92" s="536"/>
      <c r="K92" s="537"/>
      <c r="L92" s="538"/>
      <c r="M92" s="539"/>
      <c r="N92" s="1147"/>
      <c r="O92" s="1147"/>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2768</v>
      </c>
      <c r="C96" s="575" t="s">
        <v>2583</v>
      </c>
      <c r="D96" s="575" t="s">
        <v>2584</v>
      </c>
      <c r="E96" s="575" t="s">
        <v>2585</v>
      </c>
      <c r="F96" s="575" t="s">
        <v>2586</v>
      </c>
      <c r="G96" s="575" t="s">
        <v>2587</v>
      </c>
      <c r="H96" s="575"/>
      <c r="I96" s="575"/>
      <c r="J96" s="575"/>
      <c r="K96" s="575"/>
      <c r="L96" s="695"/>
      <c r="M96" s="619"/>
      <c r="N96" s="1146"/>
      <c r="O96" s="1146"/>
      <c r="P96" s="45"/>
      <c r="Q96" s="501"/>
    </row>
    <row r="97" spans="1:17" s="114" customFormat="1" ht="15.75" thickBot="1">
      <c r="A97" s="576"/>
      <c r="B97" s="540"/>
      <c r="C97" s="579">
        <v>100</v>
      </c>
      <c r="D97" s="541">
        <f>C97-$K23</f>
        <v>95</v>
      </c>
      <c r="E97" s="541">
        <f>D97-$K23</f>
        <v>90</v>
      </c>
      <c r="F97" s="541">
        <f>E97-$K23</f>
        <v>85</v>
      </c>
      <c r="G97" s="541">
        <f>F97-$K23</f>
        <v>80</v>
      </c>
      <c r="H97" s="541"/>
      <c r="I97" s="541"/>
      <c r="J97" s="541"/>
      <c r="K97" s="541"/>
      <c r="L97" s="541"/>
      <c r="M97" s="542"/>
      <c r="N97" s="1148"/>
      <c r="O97" s="1148"/>
      <c r="P97" s="45"/>
      <c r="Q97" s="501"/>
    </row>
    <row r="98" spans="1:17" s="114" customFormat="1" ht="27.75" thickTop="1">
      <c r="A98" s="576"/>
      <c r="B98" s="535" t="s">
        <v>2769</v>
      </c>
      <c r="C98" s="570" t="s">
        <v>2583</v>
      </c>
      <c r="D98" s="570" t="s">
        <v>2584</v>
      </c>
      <c r="E98" s="570" t="s">
        <v>2585</v>
      </c>
      <c r="F98" s="570" t="s">
        <v>2586</v>
      </c>
      <c r="G98" s="570" t="s">
        <v>2587</v>
      </c>
      <c r="H98" s="575"/>
      <c r="I98" s="575"/>
      <c r="J98" s="575"/>
      <c r="K98" s="575"/>
      <c r="L98" s="575"/>
      <c r="M98" s="619"/>
      <c r="N98" s="1146"/>
      <c r="O98" s="1146"/>
      <c r="P98" s="45"/>
      <c r="Q98" s="501"/>
    </row>
    <row r="99" spans="1:17" s="114" customFormat="1" ht="15.75" thickBot="1">
      <c r="A99" s="576"/>
      <c r="B99" s="540"/>
      <c r="C99" s="541">
        <v>100</v>
      </c>
      <c r="D99" s="541">
        <f>C99-$K25</f>
        <v>95</v>
      </c>
      <c r="E99" s="541">
        <f>D99-$K25</f>
        <v>90</v>
      </c>
      <c r="F99" s="541">
        <f>E99-$K25</f>
        <v>85</v>
      </c>
      <c r="G99" s="541">
        <f>F99-$K25</f>
        <v>80</v>
      </c>
      <c r="H99" s="541"/>
      <c r="I99" s="541"/>
      <c r="J99" s="541"/>
      <c r="K99" s="541"/>
      <c r="L99" s="541"/>
      <c r="M99" s="542"/>
      <c r="N99" s="1148"/>
      <c r="O99" s="1148"/>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49"/>
      <c r="O100" s="1149"/>
      <c r="P100" s="555"/>
      <c r="Q100" s="556"/>
    </row>
    <row r="101" spans="1:17" s="468" customFormat="1" ht="15.75" thickBot="1">
      <c r="A101" s="550"/>
      <c r="B101" s="540"/>
      <c r="C101" s="541">
        <v>100</v>
      </c>
      <c r="D101" s="541">
        <f>C101-$K27</f>
        <v>90</v>
      </c>
      <c r="E101" s="541">
        <f>D101-$K27</f>
        <v>80</v>
      </c>
      <c r="F101" s="541">
        <f>E101-$K27</f>
        <v>70</v>
      </c>
      <c r="G101" s="541">
        <f>F101-$K27</f>
        <v>60</v>
      </c>
      <c r="H101" s="604"/>
      <c r="I101" s="604"/>
      <c r="J101" s="604"/>
      <c r="K101" s="604"/>
      <c r="L101" s="604"/>
      <c r="M101" s="605"/>
      <c r="N101" s="1149"/>
      <c r="O101" s="1149"/>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hidden="1" thickTop="1">
      <c r="A104" s="531"/>
      <c r="B104" s="535" t="str">
        <f>B31</f>
        <v>临街状况</v>
      </c>
      <c r="C104" s="536" t="s">
        <v>2770</v>
      </c>
      <c r="D104" s="536" t="s">
        <v>2771</v>
      </c>
      <c r="E104" s="536" t="s">
        <v>2772</v>
      </c>
      <c r="F104" s="536" t="s">
        <v>2773</v>
      </c>
      <c r="G104" s="536"/>
      <c r="H104" s="536"/>
      <c r="I104" s="536"/>
      <c r="J104" s="536"/>
      <c r="K104" s="537"/>
      <c r="L104" s="538"/>
      <c r="M104" s="539"/>
      <c r="N104" s="1147"/>
      <c r="O104" s="1147"/>
      <c r="P104" s="45"/>
      <c r="Q104" s="501"/>
    </row>
    <row r="105" spans="1:17" ht="15.75" hidden="1"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48"/>
      <c r="O105" s="1148"/>
      <c r="P105" s="45"/>
      <c r="Q105" s="501"/>
    </row>
    <row r="106" spans="1:17" ht="27.75" thickTop="1">
      <c r="A106" s="531"/>
      <c r="B106" s="535" t="s">
        <v>2677</v>
      </c>
      <c r="C106" s="3005" t="s">
        <v>3372</v>
      </c>
      <c r="D106" s="3005" t="s">
        <v>3373</v>
      </c>
      <c r="E106" s="3005" t="s">
        <v>3374</v>
      </c>
      <c r="F106" s="3005" t="s">
        <v>3376</v>
      </c>
      <c r="G106" s="3005" t="s">
        <v>3377</v>
      </c>
      <c r="H106" s="580"/>
      <c r="I106" s="580"/>
      <c r="J106" s="580"/>
      <c r="K106" s="581"/>
      <c r="L106" s="582"/>
      <c r="M106" s="583"/>
      <c r="N106" s="1147"/>
      <c r="O106" s="1147"/>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48"/>
      <c r="O107" s="1148"/>
      <c r="P107" s="45"/>
      <c r="Q107" s="501"/>
    </row>
    <row r="108" spans="1:17" ht="15.75" hidden="1" thickTop="1">
      <c r="A108" s="531"/>
      <c r="B108" s="535" t="s">
        <v>2735</v>
      </c>
      <c r="C108" s="580"/>
      <c r="D108" s="580"/>
      <c r="E108" s="580"/>
      <c r="F108" s="580"/>
      <c r="G108" s="580"/>
      <c r="H108" s="580"/>
      <c r="I108" s="580"/>
      <c r="J108" s="580"/>
      <c r="K108" s="581"/>
      <c r="L108" s="582"/>
      <c r="M108" s="583"/>
      <c r="N108" s="1147"/>
      <c r="O108" s="1147"/>
      <c r="P108" s="45"/>
      <c r="Q108" s="501"/>
    </row>
    <row r="109" spans="1:17" ht="15.75" hidden="1"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48"/>
      <c r="O109" s="1148"/>
      <c r="P109" s="45"/>
      <c r="Q109" s="501"/>
    </row>
    <row r="110" spans="1:17" ht="15.75" hidden="1" thickTop="1">
      <c r="A110" s="531"/>
      <c r="B110" s="543">
        <f>B35</f>
        <v>0</v>
      </c>
      <c r="C110" s="551"/>
      <c r="D110" s="551"/>
      <c r="E110" s="551"/>
      <c r="F110" s="551"/>
      <c r="G110" s="584"/>
      <c r="H110" s="584"/>
      <c r="I110" s="584"/>
      <c r="J110" s="584"/>
      <c r="K110" s="585"/>
      <c r="L110" s="586"/>
      <c r="M110" s="587"/>
      <c r="N110" s="1147"/>
      <c r="O110" s="1147"/>
      <c r="P110" s="45"/>
      <c r="Q110" s="501"/>
    </row>
    <row r="111" spans="1:17" ht="15.75" hidden="1" thickBot="1">
      <c r="A111" s="531"/>
      <c r="B111" s="566"/>
      <c r="C111" s="557"/>
      <c r="D111" s="557"/>
      <c r="E111" s="557"/>
      <c r="F111" s="557"/>
      <c r="G111" s="588"/>
      <c r="H111" s="588"/>
      <c r="I111" s="588"/>
      <c r="J111" s="588"/>
      <c r="K111" s="588"/>
      <c r="L111" s="588"/>
      <c r="M111" s="589"/>
      <c r="N111" s="1148"/>
      <c r="O111" s="1148"/>
      <c r="P111" s="45"/>
      <c r="Q111" s="501"/>
    </row>
    <row r="112" spans="1:17" ht="15" hidden="1" thickTop="1">
      <c r="A112" s="672"/>
      <c r="B112" s="535">
        <f>B36</f>
        <v>0</v>
      </c>
      <c r="C112" s="520"/>
      <c r="D112" s="520"/>
      <c r="E112" s="520"/>
      <c r="F112" s="520"/>
      <c r="G112" s="580"/>
      <c r="H112" s="580"/>
      <c r="I112" s="580"/>
      <c r="J112" s="580"/>
      <c r="K112" s="581"/>
      <c r="L112" s="582"/>
      <c r="M112" s="583"/>
      <c r="N112" s="1147"/>
      <c r="O112" s="1147"/>
      <c r="P112" s="45"/>
      <c r="Q112" s="501"/>
    </row>
    <row r="113" spans="1:17" ht="15.75" hidden="1" thickBot="1">
      <c r="A113" s="531"/>
      <c r="B113" s="540"/>
      <c r="C113" s="567"/>
      <c r="D113" s="567"/>
      <c r="E113" s="567"/>
      <c r="F113" s="567"/>
      <c r="G113" s="533"/>
      <c r="H113" s="533"/>
      <c r="I113" s="533"/>
      <c r="J113" s="533"/>
      <c r="K113" s="533"/>
      <c r="L113" s="533"/>
      <c r="M113" s="534"/>
      <c r="N113" s="1148"/>
      <c r="O113" s="1148"/>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hidden="1" thickBot="1">
      <c r="A115" s="550"/>
      <c r="B115" s="543"/>
      <c r="C115" s="509"/>
      <c r="D115" s="674"/>
      <c r="E115" s="674"/>
      <c r="F115" s="674"/>
      <c r="G115" s="674"/>
      <c r="H115" s="674"/>
      <c r="I115" s="674"/>
      <c r="J115" s="674"/>
      <c r="K115" s="674"/>
      <c r="L115" s="674"/>
      <c r="M115" s="696"/>
      <c r="N115" s="1148"/>
      <c r="O115" s="1148"/>
      <c r="P115" s="555"/>
      <c r="Q115" s="556"/>
    </row>
    <row r="116" spans="1:17" ht="15" thickTop="1">
      <c r="A116" s="524" t="s">
        <v>2549</v>
      </c>
      <c r="B116" s="525" t="s">
        <v>2774</v>
      </c>
      <c r="C116" s="526" t="str">
        <f>C117&amp;"(含)"&amp;"-"&amp;D117</f>
        <v>0(含)-</v>
      </c>
      <c r="D116" s="526" t="str">
        <f t="shared" ref="D116:M116" si="27">D117&amp;"(含)"&amp;"-"&amp;E117</f>
        <v>(含)-</v>
      </c>
      <c r="E116" s="526" t="str">
        <f t="shared" si="27"/>
        <v>(含)-</v>
      </c>
      <c r="F116" s="526" t="str">
        <f t="shared" si="27"/>
        <v>(含)-</v>
      </c>
      <c r="G116" s="526" t="str">
        <f t="shared" si="27"/>
        <v>(含)-</v>
      </c>
      <c r="H116" s="526" t="str">
        <f t="shared" si="27"/>
        <v>(含)-</v>
      </c>
      <c r="I116" s="526" t="str">
        <f t="shared" si="27"/>
        <v>(含)-</v>
      </c>
      <c r="J116" s="526" t="str">
        <f t="shared" si="27"/>
        <v>(含)-</v>
      </c>
      <c r="K116" s="526" t="str">
        <f t="shared" si="27"/>
        <v>(含)-</v>
      </c>
      <c r="L116" s="526" t="str">
        <f t="shared" si="27"/>
        <v>(含)-</v>
      </c>
      <c r="M116" s="526" t="str">
        <f t="shared" si="27"/>
        <v>(含)-</v>
      </c>
      <c r="N116" s="1147"/>
      <c r="O116" s="1147"/>
      <c r="P116" s="45"/>
      <c r="Q116" s="501"/>
    </row>
    <row r="117" spans="1:17" ht="15">
      <c r="A117" s="531"/>
      <c r="B117" s="543"/>
      <c r="C117" s="592">
        <v>0</v>
      </c>
      <c r="D117" s="592"/>
      <c r="E117" s="592"/>
      <c r="F117" s="592"/>
      <c r="G117" s="592"/>
      <c r="H117" s="592"/>
      <c r="I117" s="592"/>
      <c r="J117" s="593"/>
      <c r="K117" s="593"/>
      <c r="L117" s="594"/>
      <c r="M117" s="595"/>
      <c r="N117" s="1147"/>
      <c r="O117" s="1147"/>
      <c r="P117" s="45"/>
      <c r="Q117" s="501"/>
    </row>
    <row r="118" spans="1:17" ht="15.75" thickBot="1">
      <c r="A118" s="531"/>
      <c r="B118" s="540"/>
      <c r="C118" s="567"/>
      <c r="D118" s="588"/>
      <c r="E118" s="588"/>
      <c r="F118" s="588"/>
      <c r="G118" s="588"/>
      <c r="H118" s="588"/>
      <c r="I118" s="588"/>
      <c r="J118" s="588"/>
      <c r="K118" s="588"/>
      <c r="L118" s="588"/>
      <c r="M118" s="589"/>
      <c r="N118" s="1148"/>
      <c r="O118" s="1148"/>
      <c r="P118" s="45"/>
      <c r="Q118" s="501"/>
    </row>
    <row r="119" spans="1:17" ht="15" thickTop="1">
      <c r="A119" s="596"/>
      <c r="B119" s="535" t="s">
        <v>2775</v>
      </c>
      <c r="C119" s="3006" t="s">
        <v>3371</v>
      </c>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8">C120-$K39</f>
        <v>99</v>
      </c>
      <c r="E120" s="541">
        <f t="shared" si="28"/>
        <v>98</v>
      </c>
      <c r="F120" s="541">
        <f t="shared" si="28"/>
        <v>97</v>
      </c>
      <c r="G120" s="541">
        <f t="shared" si="28"/>
        <v>96</v>
      </c>
      <c r="H120" s="541">
        <f t="shared" si="28"/>
        <v>95</v>
      </c>
      <c r="I120" s="541">
        <f t="shared" si="28"/>
        <v>94</v>
      </c>
      <c r="J120" s="541">
        <f t="shared" si="28"/>
        <v>93</v>
      </c>
      <c r="K120" s="541">
        <f t="shared" si="28"/>
        <v>92</v>
      </c>
      <c r="L120" s="541">
        <f t="shared" si="28"/>
        <v>91</v>
      </c>
      <c r="M120" s="542">
        <f t="shared" si="28"/>
        <v>90</v>
      </c>
      <c r="N120" s="1148"/>
      <c r="O120" s="1148"/>
      <c r="P120" s="45"/>
      <c r="Q120" s="501"/>
    </row>
    <row r="121" spans="1:17" ht="15" hidden="1" thickTop="1">
      <c r="A121" s="596"/>
      <c r="B121" s="535" t="s">
        <v>2776</v>
      </c>
      <c r="C121" s="551"/>
      <c r="D121" s="551"/>
      <c r="E121" s="551"/>
      <c r="F121" s="580"/>
      <c r="G121" s="580"/>
      <c r="H121" s="580"/>
      <c r="I121" s="580"/>
      <c r="J121" s="580"/>
      <c r="K121" s="581"/>
      <c r="L121" s="582"/>
      <c r="M121" s="583"/>
      <c r="N121" s="1147"/>
      <c r="O121" s="1147"/>
      <c r="P121" s="45"/>
      <c r="Q121" s="501"/>
    </row>
    <row r="122" spans="1:17" ht="15.75" hidden="1"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8"/>
      <c r="O122" s="1148"/>
      <c r="P122" s="45"/>
      <c r="Q122" s="501"/>
    </row>
    <row r="123" spans="1:17" s="468" customFormat="1" ht="15" thickTop="1">
      <c r="A123" s="590"/>
      <c r="B123" s="535" t="s">
        <v>2777</v>
      </c>
      <c r="C123" s="551"/>
      <c r="D123" s="551"/>
      <c r="E123" s="551"/>
      <c r="F123" s="551"/>
      <c r="G123" s="551"/>
      <c r="H123" s="580"/>
      <c r="I123" s="580"/>
      <c r="J123" s="580"/>
      <c r="K123" s="581"/>
      <c r="L123" s="582"/>
      <c r="M123" s="583"/>
      <c r="N123" s="1149"/>
      <c r="O123" s="1149"/>
      <c r="P123" s="555"/>
      <c r="Q123" s="556"/>
    </row>
    <row r="124" spans="1:17" s="468" customFormat="1" ht="15.75"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49"/>
      <c r="O124" s="1149"/>
      <c r="P124" s="555"/>
      <c r="Q124" s="556"/>
    </row>
    <row r="125" spans="1:17" ht="15" thickTop="1">
      <c r="A125" s="596"/>
      <c r="B125" s="535" t="s">
        <v>2778</v>
      </c>
      <c r="C125" s="3005" t="s">
        <v>3369</v>
      </c>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8"/>
      <c r="O126" s="1148"/>
      <c r="P126" s="45"/>
      <c r="Q126" s="501"/>
    </row>
    <row r="127" spans="1:17" ht="15" hidden="1" thickTop="1">
      <c r="A127" s="596"/>
      <c r="B127" s="535">
        <f>B43</f>
        <v>0</v>
      </c>
      <c r="C127" s="551"/>
      <c r="D127" s="551"/>
      <c r="E127" s="551"/>
      <c r="F127" s="551"/>
      <c r="G127" s="551"/>
      <c r="H127" s="580"/>
      <c r="I127" s="580"/>
      <c r="J127" s="580"/>
      <c r="K127" s="581"/>
      <c r="L127" s="582"/>
      <c r="M127" s="583"/>
      <c r="N127" s="1147"/>
      <c r="O127" s="1147"/>
      <c r="P127" s="45"/>
      <c r="Q127" s="501"/>
    </row>
    <row r="128" spans="1:17" ht="15.75" hidden="1" thickBot="1">
      <c r="A128" s="531"/>
      <c r="B128" s="540"/>
      <c r="C128" s="557"/>
      <c r="D128" s="557"/>
      <c r="E128" s="557"/>
      <c r="F128" s="557"/>
      <c r="G128" s="533"/>
      <c r="H128" s="533"/>
      <c r="I128" s="533"/>
      <c r="J128" s="533"/>
      <c r="K128" s="533"/>
      <c r="L128" s="533"/>
      <c r="M128" s="534"/>
      <c r="N128" s="1148"/>
      <c r="O128" s="1148"/>
      <c r="P128" s="45"/>
      <c r="Q128" s="501"/>
    </row>
    <row r="129" spans="1:17" ht="15" hidden="1" thickTop="1">
      <c r="A129" s="596"/>
      <c r="B129" s="535">
        <f>B44</f>
        <v>0</v>
      </c>
      <c r="C129" s="520"/>
      <c r="D129" s="520"/>
      <c r="E129" s="520"/>
      <c r="F129" s="520"/>
      <c r="G129" s="580"/>
      <c r="H129" s="580"/>
      <c r="I129" s="580"/>
      <c r="J129" s="580"/>
      <c r="K129" s="581"/>
      <c r="L129" s="582"/>
      <c r="M129" s="583"/>
      <c r="N129" s="1147"/>
      <c r="O129" s="1147"/>
      <c r="P129" s="45"/>
      <c r="Q129" s="501"/>
    </row>
    <row r="130" spans="1:17" ht="15.75" hidden="1" thickBot="1">
      <c r="A130" s="531"/>
      <c r="B130" s="540"/>
      <c r="C130" s="567"/>
      <c r="D130" s="567"/>
      <c r="E130" s="567"/>
      <c r="F130" s="567"/>
      <c r="G130" s="533"/>
      <c r="H130" s="533"/>
      <c r="I130" s="533"/>
      <c r="J130" s="533"/>
      <c r="K130" s="533"/>
      <c r="L130" s="533"/>
      <c r="M130" s="534"/>
      <c r="N130" s="1148"/>
      <c r="O130" s="1148"/>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hidden="1" thickBot="1">
      <c r="A132" s="565"/>
      <c r="B132" s="697"/>
      <c r="C132" s="567"/>
      <c r="D132" s="567"/>
      <c r="E132" s="567"/>
      <c r="F132" s="567"/>
      <c r="G132" s="588"/>
      <c r="H132" s="588"/>
      <c r="I132" s="588"/>
      <c r="J132" s="588"/>
      <c r="K132" s="588"/>
      <c r="L132" s="588"/>
      <c r="M132" s="589"/>
      <c r="N132" s="1149"/>
      <c r="O132" s="1149"/>
      <c r="P132" s="555"/>
      <c r="Q132" s="556"/>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E2" sqref="E2"/>
    </sheetView>
  </sheetViews>
  <sheetFormatPr defaultRowHeight="13.5"/>
  <cols>
    <col min="1" max="1" width="74.25" style="2990" customWidth="1"/>
    <col min="2" max="2" width="12.375" style="2990" hidden="1" customWidth="1"/>
    <col min="3" max="3" width="15.875" style="2990" hidden="1" customWidth="1"/>
    <col min="4" max="4" width="9.375" style="2990" customWidth="1"/>
    <col min="5" max="5" width="15.75" style="2990" customWidth="1"/>
    <col min="6" max="6" width="17.5" style="2990" customWidth="1"/>
    <col min="7" max="7" width="20.875" style="2990" customWidth="1"/>
    <col min="8" max="8" width="15" style="2990" customWidth="1"/>
    <col min="9" max="9" width="13.5" style="2990" customWidth="1"/>
    <col min="10" max="10" width="36.125" style="2990" customWidth="1"/>
    <col min="11" max="12" width="18.25" style="2990" customWidth="1"/>
    <col min="13" max="16384" width="9" style="2990"/>
  </cols>
  <sheetData>
    <row r="1" spans="1:15" s="2983" customFormat="1">
      <c r="A1" s="2983" t="s">
        <v>3268</v>
      </c>
      <c r="B1" s="2983" t="s">
        <v>3269</v>
      </c>
      <c r="C1" s="2983" t="s">
        <v>3270</v>
      </c>
      <c r="D1" s="2983" t="s">
        <v>3271</v>
      </c>
      <c r="E1" s="2983" t="s">
        <v>3272</v>
      </c>
      <c r="F1" s="2983" t="s">
        <v>3273</v>
      </c>
      <c r="G1" s="2983" t="s">
        <v>3274</v>
      </c>
      <c r="H1" s="2983" t="s">
        <v>3275</v>
      </c>
      <c r="I1" s="2983" t="s">
        <v>3276</v>
      </c>
      <c r="J1" s="2983" t="s">
        <v>3277</v>
      </c>
      <c r="K1" s="2983" t="s">
        <v>3278</v>
      </c>
      <c r="L1" s="2983" t="s">
        <v>3279</v>
      </c>
      <c r="M1" s="2983" t="s">
        <v>3280</v>
      </c>
      <c r="N1" s="2983" t="s">
        <v>3281</v>
      </c>
      <c r="O1" s="2984" t="s">
        <v>3282</v>
      </c>
    </row>
    <row r="2" spans="1:15" s="2985" customFormat="1">
      <c r="A2" s="2985" t="s">
        <v>3283</v>
      </c>
      <c r="B2" s="2985" t="s">
        <v>3284</v>
      </c>
      <c r="C2" s="2985" t="s">
        <v>3285</v>
      </c>
      <c r="D2" s="2985" t="s">
        <v>3286</v>
      </c>
      <c r="E2" s="2985" t="s">
        <v>3287</v>
      </c>
      <c r="F2" s="2985">
        <v>32273.06</v>
      </c>
      <c r="G2" s="2985">
        <v>35500.370000000003</v>
      </c>
      <c r="H2" s="2985" t="s">
        <v>3288</v>
      </c>
      <c r="I2" s="2985" t="s">
        <v>3289</v>
      </c>
      <c r="J2" s="2985" t="s">
        <v>3290</v>
      </c>
      <c r="K2" s="2985">
        <v>7309.85</v>
      </c>
      <c r="L2" s="2985">
        <v>2059.09</v>
      </c>
      <c r="M2" s="2985">
        <v>0.67</v>
      </c>
      <c r="N2" s="2985" t="s">
        <v>3291</v>
      </c>
      <c r="O2" s="2985">
        <f>ROUND(K2*10000/F2,0)</f>
        <v>2265</v>
      </c>
    </row>
    <row r="3" spans="1:15" s="2983" customFormat="1">
      <c r="A3" s="2983" t="s">
        <v>3283</v>
      </c>
      <c r="B3" s="2983" t="s">
        <v>3284</v>
      </c>
      <c r="C3" s="2983" t="s">
        <v>3285</v>
      </c>
      <c r="D3" s="2983" t="s">
        <v>3286</v>
      </c>
      <c r="E3" s="2983" t="s">
        <v>3287</v>
      </c>
      <c r="F3" s="2983">
        <v>54453.81</v>
      </c>
      <c r="G3" s="2983">
        <v>70789.95</v>
      </c>
      <c r="H3" s="2983" t="s">
        <v>3292</v>
      </c>
      <c r="I3" s="2983" t="s">
        <v>3289</v>
      </c>
      <c r="J3" s="2983" t="s">
        <v>3290</v>
      </c>
      <c r="K3" s="2983">
        <v>12987.22</v>
      </c>
      <c r="L3" s="2983">
        <v>1834.6</v>
      </c>
      <c r="M3" s="2983">
        <v>0.63</v>
      </c>
      <c r="N3" s="2983" t="s">
        <v>3291</v>
      </c>
      <c r="O3" s="2983">
        <f t="shared" ref="O3:O33" si="0">ROUND(K3*10000/F3,0)</f>
        <v>2385</v>
      </c>
    </row>
    <row r="4" spans="1:15" s="2983" customFormat="1">
      <c r="A4" s="2983" t="s">
        <v>3283</v>
      </c>
      <c r="B4" s="2983" t="s">
        <v>3284</v>
      </c>
      <c r="C4" s="2983" t="s">
        <v>3285</v>
      </c>
      <c r="D4" s="2983" t="s">
        <v>3286</v>
      </c>
      <c r="E4" s="2983" t="s">
        <v>3287</v>
      </c>
      <c r="F4" s="2983">
        <v>68947.710000000006</v>
      </c>
      <c r="G4" s="2983">
        <v>89632.02</v>
      </c>
      <c r="H4" s="2983" t="s">
        <v>3292</v>
      </c>
      <c r="I4" s="2983" t="s">
        <v>3289</v>
      </c>
      <c r="J4" s="2983" t="s">
        <v>3290</v>
      </c>
      <c r="K4" s="2983">
        <v>16444.02</v>
      </c>
      <c r="L4" s="2983">
        <v>1834.61</v>
      </c>
      <c r="M4" s="2983">
        <v>0.63</v>
      </c>
      <c r="N4" s="2983" t="s">
        <v>3291</v>
      </c>
      <c r="O4" s="2983">
        <f t="shared" si="0"/>
        <v>2385</v>
      </c>
    </row>
    <row r="5" spans="1:15" s="2985" customFormat="1">
      <c r="A5" s="2985" t="s">
        <v>3283</v>
      </c>
      <c r="B5" s="2985" t="s">
        <v>3284</v>
      </c>
      <c r="C5" s="2985" t="s">
        <v>3285</v>
      </c>
      <c r="D5" s="2985" t="s">
        <v>3286</v>
      </c>
      <c r="E5" s="2985" t="s">
        <v>3287</v>
      </c>
      <c r="F5" s="2985">
        <v>19273.46</v>
      </c>
      <c r="G5" s="2985">
        <v>21200.81</v>
      </c>
      <c r="H5" s="2985" t="s">
        <v>3288</v>
      </c>
      <c r="I5" s="2985" t="s">
        <v>3289</v>
      </c>
      <c r="J5" s="2985" t="s">
        <v>3290</v>
      </c>
      <c r="K5" s="2985">
        <v>4365.43</v>
      </c>
      <c r="L5" s="2985">
        <v>2059.09</v>
      </c>
      <c r="M5" s="2985">
        <v>0.67</v>
      </c>
      <c r="N5" s="2985" t="s">
        <v>3291</v>
      </c>
      <c r="O5" s="2985">
        <f t="shared" si="0"/>
        <v>2265</v>
      </c>
    </row>
    <row r="6" spans="1:15" s="2983" customFormat="1">
      <c r="A6" s="2983" t="s">
        <v>3283</v>
      </c>
      <c r="B6" s="2983" t="s">
        <v>3284</v>
      </c>
      <c r="C6" s="2983" t="s">
        <v>3285</v>
      </c>
      <c r="D6" s="2983" t="s">
        <v>3286</v>
      </c>
      <c r="E6" s="2983" t="s">
        <v>3287</v>
      </c>
      <c r="F6" s="2983">
        <v>61852.36</v>
      </c>
      <c r="G6" s="2983">
        <v>68037.600000000006</v>
      </c>
      <c r="H6" s="2983" t="s">
        <v>3288</v>
      </c>
      <c r="I6" s="2983" t="s">
        <v>3289</v>
      </c>
      <c r="J6" s="2983" t="s">
        <v>3290</v>
      </c>
      <c r="K6" s="2983">
        <v>14009.55</v>
      </c>
      <c r="L6" s="2983">
        <v>2059.09</v>
      </c>
      <c r="M6" s="2983">
        <v>0.67</v>
      </c>
      <c r="N6" s="2983" t="s">
        <v>3291</v>
      </c>
      <c r="O6" s="2983">
        <f t="shared" si="0"/>
        <v>2265</v>
      </c>
    </row>
    <row r="7" spans="1:15" s="2983" customFormat="1">
      <c r="A7" s="2983" t="s">
        <v>3283</v>
      </c>
      <c r="B7" s="2983" t="s">
        <v>3284</v>
      </c>
      <c r="C7" s="2983" t="s">
        <v>3285</v>
      </c>
      <c r="D7" s="2983" t="s">
        <v>3286</v>
      </c>
      <c r="E7" s="2983" t="s">
        <v>3287</v>
      </c>
      <c r="F7" s="2983">
        <v>99336.66</v>
      </c>
      <c r="G7" s="2983">
        <v>129137.7</v>
      </c>
      <c r="H7" s="2983" t="s">
        <v>3292</v>
      </c>
      <c r="I7" s="2983" t="s">
        <v>3289</v>
      </c>
      <c r="J7" s="2983" t="s">
        <v>3290</v>
      </c>
      <c r="K7" s="2983">
        <v>23691.79</v>
      </c>
      <c r="L7" s="2983">
        <v>1834.6</v>
      </c>
      <c r="M7" s="2983">
        <v>0.63</v>
      </c>
      <c r="N7" s="2983" t="s">
        <v>3291</v>
      </c>
      <c r="O7" s="2983">
        <f t="shared" si="0"/>
        <v>2385</v>
      </c>
    </row>
    <row r="8" spans="1:15" s="2983" customFormat="1">
      <c r="A8" s="2983" t="s">
        <v>3283</v>
      </c>
      <c r="B8" s="2983" t="s">
        <v>3284</v>
      </c>
      <c r="C8" s="2983" t="s">
        <v>3285</v>
      </c>
      <c r="D8" s="2983" t="s">
        <v>3286</v>
      </c>
      <c r="E8" s="2983" t="s">
        <v>3287</v>
      </c>
      <c r="F8" s="2983">
        <v>59427.16</v>
      </c>
      <c r="G8" s="2983">
        <v>77255.31</v>
      </c>
      <c r="H8" s="2983" t="s">
        <v>3292</v>
      </c>
      <c r="I8" s="2983" t="s">
        <v>3289</v>
      </c>
      <c r="J8" s="2983" t="s">
        <v>3290</v>
      </c>
      <c r="K8" s="2983">
        <v>14173.37</v>
      </c>
      <c r="L8" s="2983">
        <v>1834.61</v>
      </c>
      <c r="M8" s="2983">
        <v>0.63</v>
      </c>
      <c r="N8" s="2983" t="s">
        <v>3291</v>
      </c>
      <c r="O8" s="2983">
        <f t="shared" si="0"/>
        <v>2385</v>
      </c>
    </row>
    <row r="9" spans="1:15" s="2985" customFormat="1">
      <c r="A9" s="2985" t="s">
        <v>3283</v>
      </c>
      <c r="B9" s="2985" t="s">
        <v>3284</v>
      </c>
      <c r="C9" s="2985" t="s">
        <v>3285</v>
      </c>
      <c r="D9" s="2985" t="s">
        <v>3286</v>
      </c>
      <c r="E9" s="2985" t="s">
        <v>3287</v>
      </c>
      <c r="F9" s="2985">
        <v>37341.760000000002</v>
      </c>
      <c r="G9" s="2985">
        <v>41075.94</v>
      </c>
      <c r="H9" s="2985" t="s">
        <v>3288</v>
      </c>
      <c r="I9" s="2985" t="s">
        <v>3289</v>
      </c>
      <c r="J9" s="2985" t="s">
        <v>3290</v>
      </c>
      <c r="K9" s="2985">
        <v>8457.9</v>
      </c>
      <c r="L9" s="2985">
        <v>2059.09</v>
      </c>
      <c r="M9" s="2985">
        <v>0.67</v>
      </c>
      <c r="N9" s="2985" t="s">
        <v>3291</v>
      </c>
      <c r="O9" s="2985">
        <f t="shared" si="0"/>
        <v>2265</v>
      </c>
    </row>
    <row r="10" spans="1:15" s="2983" customFormat="1" hidden="1">
      <c r="A10" s="2983" t="s">
        <v>3293</v>
      </c>
      <c r="B10" s="2983" t="s">
        <v>3284</v>
      </c>
      <c r="C10" s="2983" t="s">
        <v>3285</v>
      </c>
      <c r="D10" s="2983" t="s">
        <v>3286</v>
      </c>
      <c r="E10" s="2983" t="s">
        <v>3294</v>
      </c>
      <c r="F10" s="2983">
        <v>27398.62</v>
      </c>
      <c r="G10" s="2983">
        <v>32878.339999999997</v>
      </c>
      <c r="H10" s="2983" t="s">
        <v>3295</v>
      </c>
      <c r="I10" s="2983" t="s">
        <v>3296</v>
      </c>
      <c r="J10" s="2983" t="s">
        <v>3297</v>
      </c>
      <c r="K10" s="2983">
        <v>4150.8900000000003</v>
      </c>
      <c r="L10" s="2983">
        <v>1262.5</v>
      </c>
      <c r="M10" s="2983">
        <v>1</v>
      </c>
      <c r="N10" s="2983" t="s">
        <v>3291</v>
      </c>
      <c r="O10" s="2983">
        <f t="shared" si="0"/>
        <v>1515</v>
      </c>
    </row>
    <row r="11" spans="1:15" s="2983" customFormat="1" hidden="1">
      <c r="A11" s="2983" t="s">
        <v>3298</v>
      </c>
      <c r="B11" s="2983" t="s">
        <v>3284</v>
      </c>
      <c r="C11" s="2983" t="s">
        <v>3285</v>
      </c>
      <c r="D11" s="2983" t="s">
        <v>3286</v>
      </c>
      <c r="E11" s="2983" t="s">
        <v>3294</v>
      </c>
      <c r="F11" s="2983">
        <v>5351.07</v>
      </c>
      <c r="G11" s="2983">
        <v>8026.6</v>
      </c>
      <c r="H11" s="2983" t="s">
        <v>3299</v>
      </c>
      <c r="I11" s="2983" t="s">
        <v>3300</v>
      </c>
      <c r="J11" s="2983" t="s">
        <v>3301</v>
      </c>
      <c r="K11" s="2983">
        <v>2408.09</v>
      </c>
      <c r="L11" s="2983">
        <v>3000.15</v>
      </c>
      <c r="M11" s="2983">
        <v>15.39</v>
      </c>
      <c r="N11" s="2983" t="s">
        <v>3291</v>
      </c>
      <c r="O11" s="2983">
        <f t="shared" si="0"/>
        <v>4500</v>
      </c>
    </row>
    <row r="12" spans="1:15" s="2983" customFormat="1">
      <c r="A12" s="2983" t="s">
        <v>3302</v>
      </c>
      <c r="B12" s="2983" t="s">
        <v>3284</v>
      </c>
      <c r="C12" s="2983" t="s">
        <v>3285</v>
      </c>
      <c r="D12" s="2983" t="s">
        <v>3286</v>
      </c>
      <c r="E12" s="2983" t="s">
        <v>3287</v>
      </c>
      <c r="F12" s="2983">
        <v>71791.460000000006</v>
      </c>
      <c r="G12" s="2983">
        <v>21537.439999999999</v>
      </c>
      <c r="H12" s="2983" t="s">
        <v>3303</v>
      </c>
      <c r="I12" s="2983" t="s">
        <v>3304</v>
      </c>
      <c r="J12" s="2983" t="s">
        <v>3305</v>
      </c>
      <c r="K12" s="2983">
        <v>12491.7</v>
      </c>
      <c r="L12" s="2983">
        <v>5800</v>
      </c>
      <c r="M12" s="2983">
        <v>0.87</v>
      </c>
      <c r="N12" s="2983" t="s">
        <v>3291</v>
      </c>
      <c r="O12" s="2983">
        <f t="shared" si="0"/>
        <v>1740</v>
      </c>
    </row>
    <row r="13" spans="1:15" s="2983" customFormat="1" hidden="1">
      <c r="A13" s="2983" t="s">
        <v>3306</v>
      </c>
      <c r="B13" s="2983" t="s">
        <v>3284</v>
      </c>
      <c r="C13" s="2983" t="s">
        <v>3285</v>
      </c>
      <c r="D13" s="2983" t="s">
        <v>3286</v>
      </c>
      <c r="E13" s="2983" t="s">
        <v>3287</v>
      </c>
      <c r="F13" s="2983">
        <v>142557</v>
      </c>
      <c r="G13" s="2983">
        <v>299369.7</v>
      </c>
      <c r="H13" s="2983" t="s">
        <v>3307</v>
      </c>
      <c r="I13" s="2983" t="s">
        <v>3308</v>
      </c>
      <c r="J13" s="2983" t="s">
        <v>3309</v>
      </c>
      <c r="K13" s="2983">
        <v>10691.78</v>
      </c>
      <c r="L13" s="2983">
        <v>357.13</v>
      </c>
      <c r="M13" s="2983">
        <v>2.04</v>
      </c>
      <c r="N13" s="2983" t="s">
        <v>3291</v>
      </c>
      <c r="O13" s="2983">
        <f t="shared" si="0"/>
        <v>750</v>
      </c>
    </row>
    <row r="14" spans="1:15" s="2986" customFormat="1">
      <c r="A14" s="2986" t="s">
        <v>3310</v>
      </c>
      <c r="B14" s="2986" t="s">
        <v>3284</v>
      </c>
      <c r="C14" s="2986" t="s">
        <v>3285</v>
      </c>
      <c r="D14" s="2986" t="s">
        <v>3286</v>
      </c>
      <c r="E14" s="2986" t="s">
        <v>3287</v>
      </c>
      <c r="F14" s="2986">
        <v>11724.93</v>
      </c>
      <c r="G14" s="2986">
        <v>8207.4500000000007</v>
      </c>
      <c r="H14" s="2986" t="s">
        <v>3311</v>
      </c>
      <c r="I14" s="2986" t="s">
        <v>3312</v>
      </c>
      <c r="J14" s="2987" t="s">
        <v>3313</v>
      </c>
      <c r="K14" s="2986">
        <v>1530.09</v>
      </c>
      <c r="L14" s="2986">
        <v>1864.27</v>
      </c>
      <c r="M14" s="2986">
        <v>1.1599999999999999</v>
      </c>
      <c r="N14" s="2986" t="s">
        <v>3291</v>
      </c>
      <c r="O14" s="2986">
        <f t="shared" si="0"/>
        <v>1305</v>
      </c>
    </row>
    <row r="15" spans="1:15" s="2983" customFormat="1">
      <c r="A15" s="2983" t="s">
        <v>3314</v>
      </c>
      <c r="B15" s="2983" t="s">
        <v>3284</v>
      </c>
      <c r="C15" s="2983" t="s">
        <v>3285</v>
      </c>
      <c r="D15" s="2983" t="s">
        <v>3286</v>
      </c>
      <c r="E15" s="2983" t="s">
        <v>3287</v>
      </c>
      <c r="F15" s="2983">
        <v>25190.26</v>
      </c>
      <c r="G15" s="2983">
        <v>8816.59</v>
      </c>
      <c r="H15" s="2983" t="s">
        <v>3315</v>
      </c>
      <c r="I15" s="2983" t="s">
        <v>3312</v>
      </c>
      <c r="J15" s="2983" t="s">
        <v>3316</v>
      </c>
      <c r="K15" s="2983">
        <v>2326.21</v>
      </c>
      <c r="L15" s="2983">
        <v>2638.44</v>
      </c>
      <c r="M15" s="2983">
        <v>2.61</v>
      </c>
      <c r="N15" s="2983" t="s">
        <v>3291</v>
      </c>
      <c r="O15" s="2983">
        <f t="shared" si="0"/>
        <v>923</v>
      </c>
    </row>
    <row r="16" spans="1:15" s="2988" customFormat="1">
      <c r="A16" s="2988" t="s">
        <v>3314</v>
      </c>
      <c r="B16" s="2988" t="s">
        <v>3284</v>
      </c>
      <c r="C16" s="2988" t="s">
        <v>3285</v>
      </c>
      <c r="D16" s="2988" t="s">
        <v>3286</v>
      </c>
      <c r="E16" s="2988" t="s">
        <v>3287</v>
      </c>
      <c r="F16" s="2988">
        <v>18244.79</v>
      </c>
      <c r="G16" s="2988">
        <v>13683.59</v>
      </c>
      <c r="H16" s="2988" t="s">
        <v>3317</v>
      </c>
      <c r="I16" s="2988" t="s">
        <v>3312</v>
      </c>
      <c r="J16" s="2988" t="s">
        <v>3316</v>
      </c>
      <c r="K16" s="2988">
        <v>2304.9</v>
      </c>
      <c r="L16" s="2988">
        <v>1684.43</v>
      </c>
      <c r="M16" s="2988">
        <v>0.26</v>
      </c>
      <c r="N16" s="2988" t="s">
        <v>3291</v>
      </c>
      <c r="O16" s="2988">
        <f>ROUND(K16*10000/F16,0)</f>
        <v>1263</v>
      </c>
    </row>
    <row r="17" spans="1:15" s="2988" customFormat="1">
      <c r="A17" s="2988" t="s">
        <v>3318</v>
      </c>
      <c r="B17" s="2988" t="s">
        <v>3284</v>
      </c>
      <c r="C17" s="2988" t="s">
        <v>3285</v>
      </c>
      <c r="D17" s="2988" t="s">
        <v>3286</v>
      </c>
      <c r="E17" s="2988" t="s">
        <v>3287</v>
      </c>
      <c r="F17" s="2988">
        <v>8962.4599999999991</v>
      </c>
      <c r="G17" s="2988">
        <v>10754.95</v>
      </c>
      <c r="H17" s="2988" t="s">
        <v>3295</v>
      </c>
      <c r="I17" s="2988" t="s">
        <v>3319</v>
      </c>
      <c r="J17" s="2988" t="s">
        <v>3320</v>
      </c>
      <c r="K17" s="2988">
        <v>1156.1600000000001</v>
      </c>
      <c r="L17" s="2988">
        <v>1075</v>
      </c>
      <c r="M17" s="2988">
        <v>0</v>
      </c>
      <c r="N17" s="2988" t="s">
        <v>3291</v>
      </c>
      <c r="O17" s="2988">
        <f t="shared" si="0"/>
        <v>1290</v>
      </c>
    </row>
    <row r="18" spans="1:15" s="2983" customFormat="1">
      <c r="A18" s="2983" t="s">
        <v>3318</v>
      </c>
      <c r="B18" s="2983" t="s">
        <v>3284</v>
      </c>
      <c r="C18" s="2983" t="s">
        <v>3285</v>
      </c>
      <c r="D18" s="2983" t="s">
        <v>3286</v>
      </c>
      <c r="E18" s="2983" t="s">
        <v>3287</v>
      </c>
      <c r="F18" s="2983">
        <v>5055.51</v>
      </c>
      <c r="G18" s="2983">
        <v>5561.06</v>
      </c>
      <c r="H18" s="2983" t="s">
        <v>3288</v>
      </c>
      <c r="I18" s="2983" t="s">
        <v>3319</v>
      </c>
      <c r="J18" s="2983" t="s">
        <v>3320</v>
      </c>
      <c r="K18" s="2983">
        <v>326.07</v>
      </c>
      <c r="L18" s="2983">
        <v>586.36</v>
      </c>
      <c r="M18" s="2983">
        <v>0</v>
      </c>
      <c r="N18" s="2983" t="s">
        <v>3291</v>
      </c>
      <c r="O18" s="2983">
        <f t="shared" si="0"/>
        <v>645</v>
      </c>
    </row>
    <row r="19" spans="1:15" s="2986" customFormat="1">
      <c r="A19" s="2986" t="s">
        <v>3321</v>
      </c>
      <c r="B19" s="2986" t="s">
        <v>3284</v>
      </c>
      <c r="C19" s="2986" t="s">
        <v>3285</v>
      </c>
      <c r="D19" s="2986" t="s">
        <v>3286</v>
      </c>
      <c r="E19" s="2986" t="s">
        <v>3287</v>
      </c>
      <c r="F19" s="2986">
        <v>128890.9</v>
      </c>
      <c r="G19" s="2986">
        <v>51556.37</v>
      </c>
      <c r="H19" s="2986" t="s">
        <v>3322</v>
      </c>
      <c r="I19" s="2986" t="s">
        <v>3323</v>
      </c>
      <c r="J19" s="2986" t="s">
        <v>3038</v>
      </c>
      <c r="K19" s="2986">
        <v>21267</v>
      </c>
      <c r="L19" s="2986">
        <v>4125</v>
      </c>
      <c r="M19" s="2986">
        <v>0</v>
      </c>
      <c r="N19" s="2986" t="s">
        <v>3291</v>
      </c>
      <c r="O19" s="2986">
        <f t="shared" si="0"/>
        <v>1650</v>
      </c>
    </row>
    <row r="20" spans="1:15" s="2983" customFormat="1">
      <c r="A20" s="2983" t="s">
        <v>3324</v>
      </c>
      <c r="B20" s="2983" t="s">
        <v>3284</v>
      </c>
      <c r="C20" s="2983" t="s">
        <v>3285</v>
      </c>
      <c r="D20" s="2983" t="s">
        <v>3286</v>
      </c>
      <c r="E20" s="2983" t="s">
        <v>3287</v>
      </c>
      <c r="F20" s="2983">
        <v>6964.4</v>
      </c>
      <c r="G20" s="2983">
        <v>3482.2</v>
      </c>
      <c r="H20" s="2983" t="s">
        <v>3325</v>
      </c>
      <c r="I20" s="2983" t="s">
        <v>3326</v>
      </c>
      <c r="J20" s="2983" t="s">
        <v>3327</v>
      </c>
      <c r="K20" s="2983">
        <v>658.13</v>
      </c>
      <c r="L20" s="2983">
        <v>1890</v>
      </c>
      <c r="M20" s="2983">
        <v>6.78</v>
      </c>
      <c r="N20" s="2983" t="s">
        <v>3291</v>
      </c>
      <c r="O20" s="2983">
        <f t="shared" si="0"/>
        <v>945</v>
      </c>
    </row>
    <row r="21" spans="1:15" s="2983" customFormat="1">
      <c r="A21" s="2983" t="s">
        <v>3324</v>
      </c>
      <c r="B21" s="2983" t="s">
        <v>3284</v>
      </c>
      <c r="C21" s="2983" t="s">
        <v>3285</v>
      </c>
      <c r="D21" s="2983" t="s">
        <v>3286</v>
      </c>
      <c r="E21" s="2983" t="s">
        <v>3287</v>
      </c>
      <c r="F21" s="2983">
        <v>181658.7</v>
      </c>
      <c r="G21" s="2983">
        <v>90829.35</v>
      </c>
      <c r="H21" s="2983" t="s">
        <v>3325</v>
      </c>
      <c r="I21" s="2983" t="s">
        <v>3326</v>
      </c>
      <c r="J21" s="2983" t="s">
        <v>3327</v>
      </c>
      <c r="K21" s="2983">
        <v>17166.75</v>
      </c>
      <c r="L21" s="2983">
        <v>1890</v>
      </c>
      <c r="M21" s="2983">
        <v>6.78</v>
      </c>
      <c r="N21" s="2983" t="s">
        <v>3291</v>
      </c>
      <c r="O21" s="2983">
        <f t="shared" si="0"/>
        <v>945</v>
      </c>
    </row>
    <row r="22" spans="1:15" s="2983" customFormat="1">
      <c r="A22" s="2983" t="s">
        <v>3324</v>
      </c>
      <c r="B22" s="2983" t="s">
        <v>3284</v>
      </c>
      <c r="C22" s="2983" t="s">
        <v>3285</v>
      </c>
      <c r="D22" s="2983" t="s">
        <v>3286</v>
      </c>
      <c r="E22" s="2983" t="s">
        <v>3287</v>
      </c>
      <c r="F22" s="2983">
        <v>201473.1</v>
      </c>
      <c r="G22" s="2983">
        <v>100736.55</v>
      </c>
      <c r="H22" s="2983" t="s">
        <v>3325</v>
      </c>
      <c r="I22" s="2983" t="s">
        <v>3326</v>
      </c>
      <c r="J22" s="2983" t="s">
        <v>3327</v>
      </c>
      <c r="K22" s="2983">
        <v>19039.2</v>
      </c>
      <c r="L22" s="2983">
        <v>1890</v>
      </c>
      <c r="M22" s="2983">
        <v>6.78</v>
      </c>
      <c r="N22" s="2983" t="s">
        <v>3291</v>
      </c>
      <c r="O22" s="2983">
        <f t="shared" si="0"/>
        <v>945</v>
      </c>
    </row>
    <row r="23" spans="1:15" s="2983" customFormat="1">
      <c r="A23" s="2983" t="s">
        <v>3328</v>
      </c>
      <c r="B23" s="2983" t="s">
        <v>3284</v>
      </c>
      <c r="C23" s="2983" t="s">
        <v>3285</v>
      </c>
      <c r="D23" s="2983" t="s">
        <v>3286</v>
      </c>
      <c r="E23" s="2983" t="s">
        <v>3287</v>
      </c>
      <c r="F23" s="2983">
        <v>2103.67</v>
      </c>
      <c r="G23" s="2983">
        <v>7362.85</v>
      </c>
      <c r="H23" s="2983" t="s">
        <v>3329</v>
      </c>
      <c r="I23" s="2983" t="s">
        <v>3330</v>
      </c>
      <c r="J23" s="2983" t="s">
        <v>3331</v>
      </c>
      <c r="K23" s="2983">
        <v>512.76</v>
      </c>
      <c r="L23" s="2983">
        <v>696.42</v>
      </c>
      <c r="M23" s="2983">
        <v>0.62</v>
      </c>
      <c r="N23" s="2983" t="s">
        <v>3332</v>
      </c>
      <c r="O23" s="2983">
        <f t="shared" si="0"/>
        <v>2437</v>
      </c>
    </row>
    <row r="24" spans="1:15" s="2983" customFormat="1">
      <c r="A24" s="2983" t="s">
        <v>3333</v>
      </c>
      <c r="B24" s="2983" t="s">
        <v>3284</v>
      </c>
      <c r="C24" s="2983" t="s">
        <v>3285</v>
      </c>
      <c r="D24" s="2983" t="s">
        <v>3286</v>
      </c>
      <c r="E24" s="2983" t="s">
        <v>3287</v>
      </c>
      <c r="F24" s="2983">
        <v>89810.880000000005</v>
      </c>
      <c r="G24" s="2983">
        <v>98791.97</v>
      </c>
      <c r="H24" s="2983" t="s">
        <v>3288</v>
      </c>
      <c r="I24" s="2983" t="s">
        <v>3334</v>
      </c>
      <c r="J24" s="2983" t="s">
        <v>3335</v>
      </c>
      <c r="K24" s="2983">
        <v>8756.5499999999993</v>
      </c>
      <c r="L24" s="2983">
        <v>886.36</v>
      </c>
      <c r="M24" s="2983">
        <v>0</v>
      </c>
      <c r="N24" s="2983" t="s">
        <v>3291</v>
      </c>
      <c r="O24" s="2983">
        <f t="shared" si="0"/>
        <v>975</v>
      </c>
    </row>
    <row r="25" spans="1:15" s="2988" customFormat="1">
      <c r="A25" s="2989" t="s">
        <v>3336</v>
      </c>
      <c r="B25" s="2988" t="s">
        <v>3284</v>
      </c>
      <c r="C25" s="2988" t="s">
        <v>3285</v>
      </c>
      <c r="D25" s="2988" t="s">
        <v>3286</v>
      </c>
      <c r="E25" s="2988" t="s">
        <v>3287</v>
      </c>
      <c r="F25" s="2988">
        <v>5423.51</v>
      </c>
      <c r="G25" s="2988">
        <v>2711.76</v>
      </c>
      <c r="H25" s="2988" t="s">
        <v>3325</v>
      </c>
      <c r="I25" s="2988" t="s">
        <v>3337</v>
      </c>
      <c r="J25" s="2988" t="s">
        <v>3338</v>
      </c>
      <c r="K25" s="2988">
        <v>622.35</v>
      </c>
      <c r="L25" s="2988">
        <v>2295</v>
      </c>
      <c r="M25" s="2988">
        <v>1.33</v>
      </c>
      <c r="N25" s="2988" t="s">
        <v>3291</v>
      </c>
      <c r="O25" s="2988">
        <f t="shared" si="0"/>
        <v>1148</v>
      </c>
    </row>
    <row r="26" spans="1:15" s="2986" customFormat="1">
      <c r="A26" s="2986" t="s">
        <v>3339</v>
      </c>
      <c r="B26" s="2986" t="s">
        <v>3284</v>
      </c>
      <c r="C26" s="2986" t="s">
        <v>3285</v>
      </c>
      <c r="D26" s="2986" t="s">
        <v>3286</v>
      </c>
      <c r="E26" s="2986" t="s">
        <v>3287</v>
      </c>
      <c r="F26" s="2986">
        <v>42522.46</v>
      </c>
      <c r="G26" s="2986">
        <v>8929.7199999999993</v>
      </c>
      <c r="H26" s="2986" t="s">
        <v>3340</v>
      </c>
      <c r="I26" s="2986" t="s">
        <v>3341</v>
      </c>
      <c r="J26" s="2986" t="s">
        <v>3038</v>
      </c>
      <c r="K26" s="2986">
        <v>5126.3</v>
      </c>
      <c r="L26" s="2986">
        <v>5740.72</v>
      </c>
      <c r="M26" s="2986">
        <v>1.26</v>
      </c>
      <c r="N26" s="2986" t="s">
        <v>3291</v>
      </c>
      <c r="O26" s="2986">
        <f t="shared" si="0"/>
        <v>1206</v>
      </c>
    </row>
    <row r="27" spans="1:15" s="2986" customFormat="1">
      <c r="A27" s="2986" t="s">
        <v>3339</v>
      </c>
      <c r="B27" s="2986" t="s">
        <v>3284</v>
      </c>
      <c r="C27" s="2986" t="s">
        <v>3285</v>
      </c>
      <c r="D27" s="2986" t="s">
        <v>3286</v>
      </c>
      <c r="E27" s="2986" t="s">
        <v>3287</v>
      </c>
      <c r="F27" s="2986">
        <v>138377.91</v>
      </c>
      <c r="G27" s="2986">
        <v>225555.99</v>
      </c>
      <c r="H27" s="2986" t="s">
        <v>3342</v>
      </c>
      <c r="I27" s="2986" t="s">
        <v>3341</v>
      </c>
      <c r="J27" s="2986" t="s">
        <v>3038</v>
      </c>
      <c r="K27" s="2986">
        <v>16682.150000000001</v>
      </c>
      <c r="L27" s="2986">
        <v>739.6</v>
      </c>
      <c r="M27" s="2986">
        <v>1.26</v>
      </c>
      <c r="N27" s="2986" t="s">
        <v>3291</v>
      </c>
      <c r="O27" s="2986">
        <f t="shared" si="0"/>
        <v>1206</v>
      </c>
    </row>
    <row r="28" spans="1:15" s="2986" customFormat="1">
      <c r="A28" s="2986" t="s">
        <v>3343</v>
      </c>
      <c r="B28" s="2986" t="s">
        <v>3284</v>
      </c>
      <c r="C28" s="2986" t="s">
        <v>3285</v>
      </c>
      <c r="D28" s="2986" t="s">
        <v>3286</v>
      </c>
      <c r="E28" s="2986" t="s">
        <v>3287</v>
      </c>
      <c r="F28" s="2986">
        <v>3528.41</v>
      </c>
      <c r="G28" s="2986">
        <v>2646.31</v>
      </c>
      <c r="H28" s="2986" t="s">
        <v>3344</v>
      </c>
      <c r="I28" s="2986" t="s">
        <v>3341</v>
      </c>
      <c r="J28" s="2986" t="s">
        <v>3038</v>
      </c>
      <c r="K28" s="2986">
        <v>425.37</v>
      </c>
      <c r="L28" s="2986">
        <v>1607.41</v>
      </c>
      <c r="M28" s="2986">
        <v>1.26</v>
      </c>
      <c r="N28" s="2986" t="s">
        <v>3291</v>
      </c>
      <c r="O28" s="2986">
        <f t="shared" si="0"/>
        <v>1206</v>
      </c>
    </row>
    <row r="29" spans="1:15" s="2983" customFormat="1">
      <c r="A29" s="2983" t="s">
        <v>3345</v>
      </c>
      <c r="B29" s="2983" t="s">
        <v>3284</v>
      </c>
      <c r="C29" s="2983" t="s">
        <v>3285</v>
      </c>
      <c r="D29" s="2983" t="s">
        <v>3286</v>
      </c>
      <c r="E29" s="2983" t="s">
        <v>3346</v>
      </c>
      <c r="F29" s="2983">
        <v>38056.370000000003</v>
      </c>
      <c r="G29" s="2983">
        <v>22833.82</v>
      </c>
      <c r="H29" s="2983" t="s">
        <v>3347</v>
      </c>
      <c r="I29" s="2983" t="s">
        <v>3348</v>
      </c>
      <c r="J29" s="2983" t="s">
        <v>3316</v>
      </c>
      <c r="K29" s="2983">
        <v>2397.5500000000002</v>
      </c>
      <c r="L29" s="2983">
        <v>1050</v>
      </c>
      <c r="M29" s="2983">
        <v>0</v>
      </c>
      <c r="N29" s="2983" t="s">
        <v>3291</v>
      </c>
      <c r="O29" s="2983">
        <f t="shared" si="0"/>
        <v>630</v>
      </c>
    </row>
    <row r="30" spans="1:15" s="2983" customFormat="1">
      <c r="A30" s="2983" t="s">
        <v>3349</v>
      </c>
      <c r="B30" s="2983" t="s">
        <v>3284</v>
      </c>
      <c r="C30" s="2983" t="s">
        <v>3285</v>
      </c>
      <c r="D30" s="2983" t="s">
        <v>3286</v>
      </c>
      <c r="E30" s="2983" t="s">
        <v>3287</v>
      </c>
      <c r="F30" s="2983">
        <v>5305.51</v>
      </c>
      <c r="G30" s="2983">
        <v>7958.27</v>
      </c>
      <c r="H30" s="2983" t="s">
        <v>3350</v>
      </c>
      <c r="I30" s="2983" t="s">
        <v>3351</v>
      </c>
      <c r="J30" s="2983" t="s">
        <v>3352</v>
      </c>
      <c r="K30" s="2983">
        <v>1830.33</v>
      </c>
      <c r="L30" s="2983">
        <v>2299.92</v>
      </c>
      <c r="M30" s="2983">
        <v>0</v>
      </c>
      <c r="N30" s="2983" t="s">
        <v>3291</v>
      </c>
      <c r="O30" s="2983">
        <f t="shared" si="0"/>
        <v>3450</v>
      </c>
    </row>
    <row r="31" spans="1:15" s="2983" customFormat="1">
      <c r="A31" s="2983" t="s">
        <v>3353</v>
      </c>
      <c r="B31" s="2983" t="s">
        <v>3284</v>
      </c>
      <c r="C31" s="2983" t="s">
        <v>3285</v>
      </c>
      <c r="D31" s="2983" t="s">
        <v>3286</v>
      </c>
      <c r="E31" s="2983" t="s">
        <v>3354</v>
      </c>
      <c r="F31" s="2983">
        <v>323346.5</v>
      </c>
      <c r="G31" s="2983">
        <v>80836.63</v>
      </c>
      <c r="H31" s="2983" t="s">
        <v>3355</v>
      </c>
      <c r="I31" s="2983" t="s">
        <v>3356</v>
      </c>
      <c r="J31" s="2983" t="s">
        <v>3357</v>
      </c>
      <c r="K31" s="2983">
        <v>20370.830000000002</v>
      </c>
      <c r="L31" s="2983">
        <v>2520</v>
      </c>
      <c r="M31" s="2983">
        <v>0</v>
      </c>
      <c r="N31" s="2983" t="s">
        <v>3291</v>
      </c>
      <c r="O31" s="2983">
        <f t="shared" si="0"/>
        <v>630</v>
      </c>
    </row>
    <row r="32" spans="1:15" s="2983" customFormat="1">
      <c r="A32" s="2983" t="s">
        <v>3358</v>
      </c>
      <c r="B32" s="2983" t="s">
        <v>3284</v>
      </c>
      <c r="C32" s="2983" t="s">
        <v>3285</v>
      </c>
      <c r="D32" s="2983" t="s">
        <v>3286</v>
      </c>
      <c r="E32" s="2983" t="s">
        <v>3287</v>
      </c>
      <c r="F32" s="2983">
        <v>94662.69</v>
      </c>
      <c r="G32" s="2983">
        <v>56797.61</v>
      </c>
      <c r="H32" s="2983" t="s">
        <v>3347</v>
      </c>
      <c r="I32" s="2983" t="s">
        <v>3359</v>
      </c>
      <c r="J32" s="2983" t="s">
        <v>3360</v>
      </c>
      <c r="K32" s="2983">
        <v>7099.69</v>
      </c>
      <c r="L32" s="2983">
        <v>1250</v>
      </c>
      <c r="M32" s="2983">
        <v>0</v>
      </c>
      <c r="N32" s="2983" t="s">
        <v>3291</v>
      </c>
      <c r="O32" s="2983">
        <f t="shared" si="0"/>
        <v>750</v>
      </c>
    </row>
    <row r="33" spans="1:15" s="2983" customFormat="1" hidden="1">
      <c r="A33" s="2983" t="s">
        <v>3328</v>
      </c>
      <c r="B33" s="2983" t="s">
        <v>3284</v>
      </c>
      <c r="C33" s="2983" t="s">
        <v>3285</v>
      </c>
      <c r="D33" s="2983" t="s">
        <v>3286</v>
      </c>
      <c r="E33" s="2983" t="s">
        <v>3287</v>
      </c>
      <c r="F33" s="2983">
        <v>17092.61</v>
      </c>
      <c r="G33" s="2983">
        <v>59824.14</v>
      </c>
      <c r="H33" s="2983" t="s">
        <v>3329</v>
      </c>
      <c r="I33" s="2983" t="s">
        <v>3361</v>
      </c>
      <c r="J33" s="2983" t="s">
        <v>3331</v>
      </c>
      <c r="K33" s="2983">
        <v>4512.4399999999996</v>
      </c>
      <c r="L33" s="2983">
        <v>754.28</v>
      </c>
      <c r="M33" s="2983">
        <v>0.56999999999999995</v>
      </c>
      <c r="N33" s="2983" t="s">
        <v>3291</v>
      </c>
      <c r="O33" s="2983">
        <f t="shared" si="0"/>
        <v>2640</v>
      </c>
    </row>
  </sheetData>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J23" sqref="J23"/>
    </sheetView>
  </sheetViews>
  <sheetFormatPr defaultRowHeight="13.5"/>
  <cols>
    <col min="1" max="16384" width="9" style="2990"/>
  </cols>
  <sheetData>
    <row r="1" spans="1:10">
      <c r="A1" s="3258" t="s">
        <v>3362</v>
      </c>
      <c r="B1" s="3258"/>
      <c r="C1" s="3258"/>
      <c r="D1" s="3258"/>
    </row>
    <row r="2" spans="1:10" ht="14.25" thickBot="1">
      <c r="A2" s="2991" t="s">
        <v>3363</v>
      </c>
      <c r="B2" s="2992" t="s">
        <v>3364</v>
      </c>
      <c r="C2" s="2992" t="s">
        <v>3365</v>
      </c>
      <c r="D2" s="2992" t="s">
        <v>3366</v>
      </c>
    </row>
    <row r="3" spans="1:10" ht="14.25">
      <c r="A3" s="2993">
        <v>2016.1</v>
      </c>
      <c r="B3" s="2994">
        <v>2718</v>
      </c>
      <c r="C3" s="2994">
        <v>0.37</v>
      </c>
      <c r="D3" s="2994"/>
    </row>
    <row r="4" spans="1:10" ht="14.25">
      <c r="A4" s="2995">
        <v>2016.2</v>
      </c>
      <c r="B4" s="2996">
        <v>2741</v>
      </c>
      <c r="C4" s="2996">
        <v>0.85</v>
      </c>
      <c r="D4" s="2996"/>
    </row>
    <row r="5" spans="1:10" ht="14.25">
      <c r="A5" s="2993">
        <v>2016.3</v>
      </c>
      <c r="B5" s="2994">
        <v>2766</v>
      </c>
      <c r="C5" s="2994">
        <v>0.91</v>
      </c>
      <c r="D5" s="2994"/>
    </row>
    <row r="6" spans="1:10" ht="14.25">
      <c r="A6" s="2995">
        <v>2016.4</v>
      </c>
      <c r="B6" s="2996">
        <v>2793</v>
      </c>
      <c r="C6" s="2996">
        <v>0.98</v>
      </c>
    </row>
    <row r="7" spans="1:10">
      <c r="A7" s="2997">
        <v>2017.1</v>
      </c>
      <c r="B7" s="2998">
        <v>2844</v>
      </c>
      <c r="C7" s="2998">
        <v>1.83</v>
      </c>
      <c r="D7" s="2999"/>
    </row>
    <row r="8" spans="1:10">
      <c r="A8" s="3000">
        <v>2017.2</v>
      </c>
      <c r="B8" s="3001">
        <v>2913</v>
      </c>
      <c r="C8" s="3001">
        <v>2.44</v>
      </c>
      <c r="D8" s="3002"/>
    </row>
    <row r="9" spans="1:10">
      <c r="A9" s="2997">
        <v>2017.3</v>
      </c>
      <c r="B9" s="2998">
        <v>2972</v>
      </c>
      <c r="C9" s="2998">
        <v>2.02</v>
      </c>
      <c r="D9" s="2999"/>
    </row>
    <row r="10" spans="1:10">
      <c r="A10" s="3000">
        <v>2017.4</v>
      </c>
      <c r="B10" s="3002"/>
      <c r="C10" s="3002"/>
      <c r="D10" s="3002"/>
    </row>
    <row r="11" spans="1:10" ht="14.25">
      <c r="A11" s="3003">
        <v>2018.1</v>
      </c>
      <c r="B11" s="3004"/>
      <c r="C11" s="3004"/>
    </row>
    <row r="14" spans="1:10">
      <c r="J14" s="2990" t="s">
        <v>3313</v>
      </c>
    </row>
  </sheetData>
  <mergeCells count="1">
    <mergeCell ref="A1:D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10527</v>
      </c>
      <c r="C2" s="2557" t="s">
        <v>2505</v>
      </c>
      <c r="D2" s="2558" t="s">
        <v>2506</v>
      </c>
      <c r="E2" s="2559">
        <f>SUM(E6:E13)</f>
        <v>3130.82</v>
      </c>
    </row>
    <row r="3" spans="1:6" ht="15.75">
      <c r="A3" s="2555" t="s">
        <v>1396</v>
      </c>
      <c r="B3" s="2556">
        <f ca="1">ROUND(B2*10000/E2,0)</f>
        <v>33624</v>
      </c>
      <c r="C3" s="2557" t="s">
        <v>2513</v>
      </c>
      <c r="D3" s="2560"/>
      <c r="E3" s="2561"/>
    </row>
    <row r="4" spans="1:6" ht="15.75">
      <c r="A4" s="2562"/>
      <c r="B4" s="2560"/>
      <c r="C4" s="2560"/>
      <c r="D4" s="2560"/>
      <c r="E4" s="2561"/>
    </row>
    <row r="5" spans="1:6" ht="15">
      <c r="A5" s="2563" t="s">
        <v>2507</v>
      </c>
      <c r="B5" s="3259" t="s">
        <v>2508</v>
      </c>
      <c r="C5" s="3259"/>
      <c r="D5" s="2564"/>
      <c r="E5" s="2565" t="s">
        <v>2509</v>
      </c>
      <c r="F5" s="2566" t="s">
        <v>2510</v>
      </c>
    </row>
    <row r="6" spans="1:6">
      <c r="A6" s="2567" t="str">
        <f>'数据-取费表'!AN6</f>
        <v>收益法 (独栋)</v>
      </c>
      <c r="B6" s="2566">
        <f ca="1">IF(F6="是",'数据-取费表'!AO6,0)</f>
        <v>8357</v>
      </c>
      <c r="C6" s="2557" t="s">
        <v>2505</v>
      </c>
      <c r="D6" s="2560"/>
      <c r="E6" s="2568">
        <f>IF(OR(A6=0,F6="否"),0,'数据-取费表'!K6+'数据-取费表'!S6)</f>
        <v>2219.35</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373</v>
      </c>
      <c r="C8" s="2557" t="s">
        <v>2505</v>
      </c>
      <c r="D8" s="2560"/>
      <c r="E8" s="2568">
        <f>IF(OR(A8=0,F8="否"),0,'数据-取费表'!K8+'数据-取费表'!S8)</f>
        <v>149.13</v>
      </c>
      <c r="F8" s="2569" t="s">
        <v>2511</v>
      </c>
    </row>
    <row r="9" spans="1:6">
      <c r="A9" s="2567" t="str">
        <f>'数据-取费表'!AN9</f>
        <v>收益法 (洋房)</v>
      </c>
      <c r="B9" s="2566">
        <f ca="1">IF(F9="是",'数据-取费表'!AO9,0)</f>
        <v>1797</v>
      </c>
      <c r="C9" s="2557" t="s">
        <v>2505</v>
      </c>
      <c r="D9" s="2560"/>
      <c r="E9" s="2568">
        <f>IF(OR(A9=0,F9="否"),0,'数据-取费表'!K9+'数据-取费表'!S9)</f>
        <v>762.34</v>
      </c>
      <c r="F9" s="2569" t="s">
        <v>2511</v>
      </c>
    </row>
    <row r="10" spans="1:6">
      <c r="A10" s="2567" t="str">
        <f>'数据-取费表'!AN10</f>
        <v>收益法 (公寓)</v>
      </c>
      <c r="B10" s="2566">
        <f ca="1">IF(F10="是",'数据-取费表'!AO10,0)</f>
        <v>0</v>
      </c>
      <c r="C10" s="2557" t="s">
        <v>2505</v>
      </c>
      <c r="D10" s="2560"/>
      <c r="E10" s="2568">
        <f>IF(OR(A10=0,F10="否"),0,'数据-取费表'!K10+'数据-取费表'!S10)</f>
        <v>0</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3043</v>
      </c>
      <c r="D1" s="1815" t="s">
        <v>70</v>
      </c>
      <c r="E1" s="1816" t="s">
        <v>1388</v>
      </c>
      <c r="F1" s="1278">
        <f ca="1">J53</f>
        <v>36.53</v>
      </c>
      <c r="G1" s="1831">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8357</v>
      </c>
      <c r="C2" s="1840" t="s">
        <v>1518</v>
      </c>
      <c r="D2" s="1840"/>
      <c r="E2" s="1841"/>
      <c r="F2" s="1842"/>
      <c r="G2" s="1843"/>
      <c r="H2" s="1835"/>
      <c r="I2" s="1835"/>
      <c r="J2" s="1835"/>
      <c r="K2" s="1836"/>
      <c r="L2" s="1835"/>
      <c r="M2" s="1835"/>
    </row>
    <row r="3" spans="1:37" ht="18" customHeight="1" thickBot="1">
      <c r="A3" s="1844" t="s">
        <v>1519</v>
      </c>
      <c r="B3" s="1845">
        <f ca="1">IF(ISERROR(B2*10000/F43),0,ROUND(B2*10000/F43,0))</f>
        <v>37655</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486</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486</v>
      </c>
      <c r="D6" s="161" t="s">
        <v>3019</v>
      </c>
      <c r="E6" s="344" t="s">
        <v>1406</v>
      </c>
      <c r="F6" s="345">
        <f ca="1">INDIRECT("'数据-取费表'!u"&amp;$G$1)</f>
        <v>12</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2219.35</v>
      </c>
      <c r="G7" s="1846"/>
      <c r="H7" s="346"/>
      <c r="I7" s="3261"/>
      <c r="J7" s="348"/>
      <c r="K7" s="349"/>
      <c r="L7" s="344" t="s">
        <v>1407</v>
      </c>
      <c r="M7" s="345">
        <f ca="1">F7</f>
        <v>2219.35</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2202</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1221</v>
      </c>
      <c r="D14" s="2940" t="s">
        <v>1420</v>
      </c>
      <c r="E14" s="2938"/>
      <c r="F14" s="361"/>
      <c r="G14" s="1846"/>
      <c r="H14" s="1196" t="s">
        <v>1035</v>
      </c>
      <c r="I14" s="344" t="s">
        <v>1421</v>
      </c>
      <c r="J14" s="24">
        <f ca="1">C29</f>
        <v>2359</v>
      </c>
      <c r="K14" s="2945"/>
      <c r="L14" s="974"/>
      <c r="M14" s="975"/>
    </row>
    <row r="15" spans="1:37" s="1853" customFormat="1" ht="18" customHeight="1" thickBot="1">
      <c r="A15" s="1196" t="s">
        <v>1036</v>
      </c>
      <c r="B15" s="344" t="s">
        <v>1422</v>
      </c>
      <c r="C15" s="24">
        <f ca="1">ROUND(C14*F15,0)</f>
        <v>61</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81</v>
      </c>
      <c r="K16" s="1332" t="s">
        <v>1427</v>
      </c>
      <c r="L16" s="2941"/>
      <c r="M16" s="1289"/>
    </row>
    <row r="17" spans="1:37" s="1853" customFormat="1" ht="18" customHeight="1">
      <c r="A17" s="1196" t="s">
        <v>1391</v>
      </c>
      <c r="B17" s="344" t="s">
        <v>1428</v>
      </c>
      <c r="C17" s="24">
        <f ca="1">ROUND(F17*(F43+INDIRECT("'数据-取费表'!S"&amp;$G$1))/10000,0)</f>
        <v>111</v>
      </c>
      <c r="D17" s="344" t="s">
        <v>1429</v>
      </c>
      <c r="E17" s="344" t="s">
        <v>1430</v>
      </c>
      <c r="F17" s="26">
        <f>'数据-取费表'!B35</f>
        <v>500</v>
      </c>
      <c r="G17" s="1849"/>
      <c r="H17" s="1196" t="s">
        <v>1035</v>
      </c>
      <c r="I17" s="344" t="s">
        <v>1431</v>
      </c>
      <c r="J17" s="24">
        <f ca="1">ROUND(IF(项目基本情况!B11="自然人",J5*M17,J18+J19+J20),1)</f>
        <v>22.4</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18</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1411</v>
      </c>
      <c r="D19" s="137" t="s">
        <v>1438</v>
      </c>
      <c r="E19" s="2944"/>
      <c r="F19" s="26"/>
      <c r="G19" s="1846"/>
      <c r="H19" s="1196" t="s">
        <v>1036</v>
      </c>
      <c r="I19" s="344" t="s">
        <v>1439</v>
      </c>
      <c r="J19" s="24">
        <f ca="1">IF(K19="按租金收入计税",ROUND(J5*M19,2),ROUND(C29*M19*0.7,2))</f>
        <v>19.82</v>
      </c>
      <c r="K19" s="1823" t="s">
        <v>1440</v>
      </c>
      <c r="L19" s="344" t="s">
        <v>1424</v>
      </c>
      <c r="M19" s="364">
        <f>IF(K19="按租金收入计税",'数据-取费表'!B51,'数据-取费表'!B50)</f>
        <v>1.2E-2</v>
      </c>
    </row>
    <row r="20" spans="1:37" s="1853" customFormat="1" ht="18" customHeight="1">
      <c r="A20" s="1196" t="s">
        <v>1039</v>
      </c>
      <c r="B20" s="344" t="s">
        <v>1441</v>
      </c>
      <c r="C20" s="24">
        <f ca="1">ROUND(C19*F20,0)</f>
        <v>28</v>
      </c>
      <c r="D20" s="366" t="s">
        <v>1442</v>
      </c>
      <c r="E20" s="344" t="s">
        <v>1424</v>
      </c>
      <c r="F20" s="364">
        <f>'数据-取费表'!B37</f>
        <v>0.02</v>
      </c>
      <c r="G20" s="1849"/>
      <c r="H20" s="1196" t="s">
        <v>1390</v>
      </c>
      <c r="I20" s="161" t="s">
        <v>1443</v>
      </c>
      <c r="J20" s="25">
        <f ca="1">ROUND(M20*M21/10000,2)</f>
        <v>2.59</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6464.84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59</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51</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-81</v>
      </c>
      <c r="K25" s="1340" t="s">
        <v>1466</v>
      </c>
      <c r="L25" s="1341"/>
      <c r="M25" s="1342"/>
    </row>
    <row r="26" spans="1:37">
      <c r="A26" s="1196" t="s">
        <v>1034</v>
      </c>
      <c r="B26" s="344" t="s">
        <v>1467</v>
      </c>
      <c r="C26" s="24">
        <f ca="1">ROUND((C19+C20)*F26,0)</f>
        <v>576</v>
      </c>
      <c r="D26" s="366" t="s">
        <v>1468</v>
      </c>
      <c r="E26" s="355" t="s">
        <v>1469</v>
      </c>
      <c r="F26" s="354">
        <f ca="1">INDIRECT("'数据-取费表'!q"&amp;$G$1)</f>
        <v>0.4</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2359</v>
      </c>
      <c r="D29" s="1337"/>
      <c r="E29" s="1335"/>
      <c r="F29" s="1338"/>
      <c r="G29" s="1849"/>
      <c r="H29" s="377" t="s">
        <v>1033</v>
      </c>
      <c r="I29" s="378" t="s">
        <v>1481</v>
      </c>
      <c r="J29" s="379">
        <f ca="1">ROUND(J26/(1+F40)^F41,0)</f>
        <v>0</v>
      </c>
      <c r="K29" s="380" t="s">
        <v>1482</v>
      </c>
      <c r="L29" s="381"/>
      <c r="M29" s="382">
        <f ca="1">INDIRECT("'数据-取费表'!k"&amp;$G$1)</f>
        <v>2219.35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128</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47.9</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25.46</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19.82</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2.59</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6464.84</v>
      </c>
      <c r="G35" s="1846"/>
      <c r="H35" s="742"/>
      <c r="I35" s="1855"/>
      <c r="J35" s="1856"/>
      <c r="K35" s="1857"/>
      <c r="L35" s="1854"/>
      <c r="M35" s="1854"/>
    </row>
    <row r="36" spans="1:18" ht="18" customHeight="1">
      <c r="A36" s="1347" t="s">
        <v>1039</v>
      </c>
      <c r="B36" s="344" t="s">
        <v>1451</v>
      </c>
      <c r="C36" s="24">
        <f ca="1">ROUND(C29*F36,1)</f>
        <v>59</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6.6</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14.6</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358</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8357</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37655</v>
      </c>
      <c r="D43" s="380" t="s">
        <v>1490</v>
      </c>
      <c r="E43" s="381" t="s">
        <v>1491</v>
      </c>
      <c r="F43" s="382">
        <f ca="1">INDIRECT("'数据-取费表'!k"&amp;$G$1)</f>
        <v>2219.35</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-9731</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8357</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2359</v>
      </c>
      <c r="R49" s="1881" t="s">
        <v>1531</v>
      </c>
    </row>
    <row r="50" spans="1:18" s="1837" customFormat="1" ht="13.5" thickBot="1">
      <c r="A50" s="1190"/>
      <c r="B50" s="1193"/>
      <c r="C50" s="1363"/>
      <c r="D50" s="1167"/>
      <c r="E50" s="1272" t="s">
        <v>1407</v>
      </c>
      <c r="F50" s="1273">
        <f ca="1">F7</f>
        <v>2219.35</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2842</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8357</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2202</v>
      </c>
      <c r="D56" s="1909"/>
      <c r="E56" s="1910"/>
      <c r="F56" s="1902"/>
      <c r="I56" s="1911" t="s">
        <v>1556</v>
      </c>
      <c r="J56" s="1912" t="s">
        <v>3027</v>
      </c>
      <c r="K56" s="1882" t="s">
        <v>1557</v>
      </c>
      <c r="L56" s="1885" t="str">
        <f ca="1">IF(L48&lt;J51,"——",L48-J53)</f>
        <v>——</v>
      </c>
      <c r="O56" s="1879" t="s">
        <v>1040</v>
      </c>
      <c r="P56" s="1880" t="s">
        <v>1530</v>
      </c>
      <c r="Q56" s="1881">
        <f ca="1">C40+J29</f>
        <v>8357</v>
      </c>
      <c r="R56" s="1881" t="s">
        <v>1531</v>
      </c>
    </row>
    <row r="57" spans="1:18" s="1837" customFormat="1" ht="24.75" thickBot="1">
      <c r="A57" s="1913"/>
      <c r="B57" s="1164" t="s">
        <v>1480</v>
      </c>
      <c r="C57" s="279">
        <f ca="1">C29</f>
        <v>2359</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88</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22.4</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19.82</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2.59</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8357</v>
      </c>
      <c r="R62" s="1881" t="s">
        <v>1047</v>
      </c>
    </row>
    <row r="63" spans="1:18" s="1837" customFormat="1" ht="13.5" thickBot="1">
      <c r="A63" s="369"/>
      <c r="B63" s="1170"/>
      <c r="C63" s="29"/>
      <c r="D63" s="1180"/>
      <c r="E63" s="1164" t="s">
        <v>1449</v>
      </c>
      <c r="F63" s="345">
        <f t="shared" ca="1" si="0"/>
        <v>6464.84</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59</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6.6</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8357</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-88</v>
      </c>
      <c r="D67" s="1177" t="s">
        <v>1466</v>
      </c>
      <c r="E67" s="1182"/>
      <c r="F67" s="1183"/>
      <c r="O67" s="1889" t="s">
        <v>1042</v>
      </c>
      <c r="P67" s="1880" t="s">
        <v>1564</v>
      </c>
      <c r="Q67" s="1928">
        <f ca="1">L51</f>
        <v>2842</v>
      </c>
      <c r="R67" s="1881" t="s">
        <v>1584</v>
      </c>
    </row>
    <row r="68" spans="1:18" s="1837" customFormat="1" ht="16.5" thickBot="1">
      <c r="A68" s="1161" t="s">
        <v>1032</v>
      </c>
      <c r="B68" s="1162" t="s">
        <v>1487</v>
      </c>
      <c r="C68" s="343">
        <f ca="1">ROUND(C67*(1-((1+F70)/(1+F68))^F69)/(F68-F70),0)</f>
        <v>-1374</v>
      </c>
      <c r="D68" s="1179" t="s">
        <v>1471</v>
      </c>
      <c r="E68" s="1164" t="s">
        <v>1472</v>
      </c>
      <c r="F68" s="354">
        <f ca="1">F40</f>
        <v>5.5E-2</v>
      </c>
      <c r="O68" s="1889" t="s">
        <v>1043</v>
      </c>
      <c r="P68" s="1929" t="s">
        <v>1585</v>
      </c>
      <c r="Q68" s="1881">
        <f ca="1">ROUND(Q69-Q70*Q71,0)</f>
        <v>171</v>
      </c>
      <c r="R68" s="1881" t="s">
        <v>1051</v>
      </c>
    </row>
    <row r="69" spans="1:18" s="1837" customFormat="1" ht="13.5" thickBot="1">
      <c r="A69" s="1165"/>
      <c r="B69" s="1166"/>
      <c r="C69" s="348"/>
      <c r="D69" s="1184" t="s">
        <v>1475</v>
      </c>
      <c r="E69" s="1164" t="s">
        <v>1476</v>
      </c>
      <c r="F69" s="376">
        <f ca="1">F41</f>
        <v>36.53</v>
      </c>
      <c r="O69" s="1889" t="s">
        <v>1048</v>
      </c>
      <c r="P69" s="1929" t="s">
        <v>1586</v>
      </c>
      <c r="Q69" s="1881">
        <f ca="1">C39</f>
        <v>358</v>
      </c>
      <c r="R69" s="1881" t="s">
        <v>1531</v>
      </c>
    </row>
    <row r="70" spans="1:18" s="1837" customFormat="1" ht="13.5" thickBot="1">
      <c r="A70" s="1168"/>
      <c r="B70" s="1169"/>
      <c r="C70" s="352"/>
      <c r="D70" s="1180"/>
      <c r="E70" s="1164" t="s">
        <v>1479</v>
      </c>
      <c r="F70" s="1270"/>
      <c r="O70" s="1889" t="s">
        <v>1049</v>
      </c>
      <c r="P70" s="1929" t="s">
        <v>1587</v>
      </c>
      <c r="Q70" s="1881">
        <f ca="1">C13</f>
        <v>2202</v>
      </c>
      <c r="R70" s="1881" t="s">
        <v>1531</v>
      </c>
    </row>
    <row r="71" spans="1:18" s="1837" customFormat="1" ht="13.5" thickBot="1">
      <c r="A71" s="1185" t="s">
        <v>1033</v>
      </c>
      <c r="B71" s="1186" t="s">
        <v>1489</v>
      </c>
      <c r="C71" s="379">
        <f ca="1">ROUND(C68*10000/F71,0)</f>
        <v>-6191</v>
      </c>
      <c r="D71" s="1187" t="s">
        <v>1490</v>
      </c>
      <c r="E71" s="1188" t="s">
        <v>1491</v>
      </c>
      <c r="F71" s="382">
        <f ca="1">F43</f>
        <v>2219.35</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187</v>
      </c>
      <c r="D75" s="1837"/>
      <c r="E75" s="1837"/>
      <c r="F75" s="1837"/>
      <c r="K75" s="1863"/>
      <c r="L75" s="1837"/>
      <c r="O75" s="1879" t="s">
        <v>1046</v>
      </c>
      <c r="P75" s="1880" t="s">
        <v>1551</v>
      </c>
      <c r="Q75" s="1881">
        <f ca="1">Q65+Q66</f>
        <v>8357</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0.47799999999999998</v>
      </c>
    </row>
    <row r="80" spans="1:18">
      <c r="B80" s="383" t="s">
        <v>1513</v>
      </c>
      <c r="C80" s="315">
        <f ca="1">ROUND(C75/C39,3)</f>
        <v>0.52200000000000002</v>
      </c>
    </row>
    <row r="81" spans="2:3">
      <c r="B81" s="311" t="s">
        <v>1514</v>
      </c>
      <c r="C81" s="279"/>
    </row>
    <row r="82" spans="2:3">
      <c r="B82" s="314" t="s">
        <v>1515</v>
      </c>
      <c r="C82" s="316">
        <f ca="1">1-C83</f>
        <v>0.73699999999999999</v>
      </c>
    </row>
    <row r="83" spans="2:3">
      <c r="B83" s="314" t="s">
        <v>1516</v>
      </c>
      <c r="C83" s="315">
        <f ca="1">ROUND(C13/C40,3)</f>
        <v>0.26300000000000001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3044</v>
      </c>
      <c r="D1" s="1815" t="s">
        <v>70</v>
      </c>
      <c r="E1" s="1816" t="s">
        <v>1388</v>
      </c>
      <c r="F1" s="1278">
        <f ca="1">J53</f>
        <v>36.53</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9</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9119.9平方米。根据《房屋所有权证》[]、《抵押物清单》，估价对象建筑面积为3130.82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9119.9平方米。根据《房屋所有权证》[]、《抵押物清单》，估价对象规划建筑面积为3130.82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2018年1月10日（评估专业人员实地查勘之日）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4" sqref="F1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3046</v>
      </c>
      <c r="D1" s="1815" t="s">
        <v>70</v>
      </c>
      <c r="E1" s="1816" t="s">
        <v>1388</v>
      </c>
      <c r="F1" s="1278">
        <f ca="1">J53</f>
        <v>36.53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373</v>
      </c>
      <c r="C2" s="1840" t="s">
        <v>1518</v>
      </c>
      <c r="D2" s="1840"/>
      <c r="E2" s="1841"/>
      <c r="F2" s="1842"/>
      <c r="G2" s="1843"/>
      <c r="H2" s="1835"/>
      <c r="I2" s="1835"/>
      <c r="J2" s="1835"/>
      <c r="K2" s="1836"/>
      <c r="L2" s="1835"/>
      <c r="M2" s="1835"/>
    </row>
    <row r="3" spans="1:37" ht="18" customHeight="1" thickBot="1">
      <c r="A3" s="1844" t="s">
        <v>1519</v>
      </c>
      <c r="B3" s="1845">
        <f ca="1">IF(ISERROR(B2*10000/F43),0,ROUND(B2*10000/F43,0))</f>
        <v>25012</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23</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23</v>
      </c>
      <c r="D6" s="161" t="s">
        <v>3019</v>
      </c>
      <c r="E6" s="344" t="s">
        <v>1406</v>
      </c>
      <c r="F6" s="345">
        <f ca="1">INDIRECT("'数据-取费表'!u"&amp;$G$1)</f>
        <v>8.5</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1293" t="s">
        <v>1407</v>
      </c>
      <c r="F7" s="345">
        <f ca="1">IF(INDIRECT("'数据-取费表'!ah"&amp;$G$1)="",INDIRECT("'数据-取费表'!k"&amp;$G$1),INDIRECT("'数据-取费表'!ah"&amp;$G$1))</f>
        <v>149.13</v>
      </c>
      <c r="G7" s="1846"/>
      <c r="H7" s="346"/>
      <c r="I7" s="3261"/>
      <c r="J7" s="348"/>
      <c r="K7" s="349"/>
      <c r="L7" s="344" t="s">
        <v>1407</v>
      </c>
      <c r="M7" s="345">
        <f ca="1">F7</f>
        <v>149.13</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126</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75</v>
      </c>
      <c r="D14" s="1795" t="s">
        <v>1420</v>
      </c>
      <c r="E14" s="1789"/>
      <c r="F14" s="361"/>
      <c r="G14" s="1846"/>
      <c r="H14" s="1196" t="s">
        <v>1035</v>
      </c>
      <c r="I14" s="344" t="s">
        <v>1421</v>
      </c>
      <c r="J14" s="24">
        <f ca="1">C29</f>
        <v>135</v>
      </c>
      <c r="K14" s="15"/>
      <c r="L14" s="974"/>
      <c r="M14" s="975"/>
    </row>
    <row r="15" spans="1:37" s="1853" customFormat="1" ht="18" customHeight="1" thickBot="1">
      <c r="A15" s="1196" t="s">
        <v>1036</v>
      </c>
      <c r="B15" s="344" t="s">
        <v>1422</v>
      </c>
      <c r="C15" s="24">
        <f ca="1">ROUND(C14*F15,0)</f>
        <v>4</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5</v>
      </c>
      <c r="K16" s="1332" t="s">
        <v>1427</v>
      </c>
      <c r="L16" s="1333"/>
      <c r="M16" s="1289"/>
    </row>
    <row r="17" spans="1:37" s="1853" customFormat="1" ht="18" customHeight="1">
      <c r="A17" s="1196" t="s">
        <v>1391</v>
      </c>
      <c r="B17" s="344" t="s">
        <v>1428</v>
      </c>
      <c r="C17" s="24">
        <f ca="1">ROUND(F17*(F43+INDIRECT("'数据-取费表'!S"&amp;$G$1))/10000,0)</f>
        <v>7</v>
      </c>
      <c r="D17" s="344" t="s">
        <v>1429</v>
      </c>
      <c r="E17" s="344" t="s">
        <v>1430</v>
      </c>
      <c r="F17" s="26">
        <f>'数据-取费表'!B35</f>
        <v>500</v>
      </c>
      <c r="G17" s="1849"/>
      <c r="H17" s="1196" t="s">
        <v>1035</v>
      </c>
      <c r="I17" s="344" t="s">
        <v>1431</v>
      </c>
      <c r="J17" s="24">
        <f ca="1">ROUND(IF(项目基本情况!B11="自然人",J5*M17,J18+J19+J20),1)</f>
        <v>1.3</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v>
      </c>
      <c r="D18" s="344" t="s">
        <v>1423</v>
      </c>
      <c r="E18" s="344" t="s">
        <v>1424</v>
      </c>
      <c r="F18" s="364">
        <f>'数据-取费表'!B36</f>
        <v>1.4999999999999999E-2</v>
      </c>
      <c r="G18" s="1849"/>
      <c r="H18" s="1196" t="s">
        <v>1034</v>
      </c>
      <c r="I18" s="344" t="s">
        <v>1435</v>
      </c>
      <c r="J18" s="24">
        <f ca="1">ROUND(J5*M18/(1+'数据-取费表'!C42),2)</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87</v>
      </c>
      <c r="D19" s="137" t="s">
        <v>1438</v>
      </c>
      <c r="E19" s="1813"/>
      <c r="F19" s="26"/>
      <c r="G19" s="1846"/>
      <c r="H19" s="1196" t="s">
        <v>1036</v>
      </c>
      <c r="I19" s="344" t="s">
        <v>1439</v>
      </c>
      <c r="J19" s="24">
        <f ca="1">IF(K19="按租金收入计税",ROUND(J5*M19,2),ROUND(C29*M19*0.7,2))</f>
        <v>1.1299999999999999</v>
      </c>
      <c r="K19" s="1823" t="s">
        <v>1440</v>
      </c>
      <c r="L19" s="344" t="s">
        <v>1424</v>
      </c>
      <c r="M19" s="364">
        <f>IF(K19="按租金收入计税",'数据-取费表'!B51,'数据-取费表'!B50)</f>
        <v>1.2E-2</v>
      </c>
    </row>
    <row r="20" spans="1:37" s="1853" customFormat="1" ht="18" customHeight="1">
      <c r="A20" s="1196" t="s">
        <v>1039</v>
      </c>
      <c r="B20" s="344" t="s">
        <v>1441</v>
      </c>
      <c r="C20" s="24">
        <f ca="1">ROUND(C19*F20,0)</f>
        <v>2</v>
      </c>
      <c r="D20" s="366" t="s">
        <v>1442</v>
      </c>
      <c r="E20" s="344" t="s">
        <v>1424</v>
      </c>
      <c r="F20" s="364">
        <f>'数据-取费表'!B37</f>
        <v>0.02</v>
      </c>
      <c r="G20" s="1849"/>
      <c r="H20" s="1196" t="s">
        <v>1390</v>
      </c>
      <c r="I20" s="161" t="s">
        <v>1443</v>
      </c>
      <c r="J20" s="25">
        <f ca="1">ROUND(M20*M21/10000,2)</f>
        <v>0.17</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434.41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ROUND(J14*M22,1)</f>
        <v>3.4</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3</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1813"/>
      <c r="F25" s="26"/>
      <c r="G25" s="1846"/>
      <c r="H25" s="1324" t="s">
        <v>1031</v>
      </c>
      <c r="I25" s="1339" t="s">
        <v>1465</v>
      </c>
      <c r="J25" s="352">
        <f ca="1">J5-J16</f>
        <v>-5</v>
      </c>
      <c r="K25" s="1340" t="s">
        <v>1466</v>
      </c>
      <c r="L25" s="1341"/>
      <c r="M25" s="1342"/>
    </row>
    <row r="26" spans="1:37">
      <c r="A26" s="1196" t="s">
        <v>1034</v>
      </c>
      <c r="B26" s="344" t="s">
        <v>1467</v>
      </c>
      <c r="C26" s="24">
        <f ca="1">ROUND((C19+C20)*F26,0)</f>
        <v>27</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135</v>
      </c>
      <c r="D29" s="1337"/>
      <c r="E29" s="1335"/>
      <c r="F29" s="1338"/>
      <c r="G29" s="1849"/>
      <c r="H29" s="377" t="s">
        <v>1033</v>
      </c>
      <c r="I29" s="378" t="s">
        <v>1481</v>
      </c>
      <c r="J29" s="379">
        <f ca="1">ROUND(J26/(1+F40)^F41,0)</f>
        <v>0</v>
      </c>
      <c r="K29" s="380" t="s">
        <v>1482</v>
      </c>
      <c r="L29" s="381"/>
      <c r="M29" s="382">
        <f ca="1">INDIRECT("'数据-取费表'!k"&amp;$G$1)</f>
        <v>149.13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7</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ROUND(IF(项目基本情况!B11="自然人",C5*F31,C32+C33+C34),1)</f>
        <v>2.5</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1.2</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1.1299999999999999</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0.17</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434.41</v>
      </c>
      <c r="G35" s="1846"/>
      <c r="H35" s="742"/>
      <c r="I35" s="1855"/>
      <c r="J35" s="1856"/>
      <c r="K35" s="1857"/>
      <c r="L35" s="1854"/>
      <c r="M35" s="1854"/>
    </row>
    <row r="36" spans="1:18" ht="18" customHeight="1">
      <c r="A36" s="1347" t="s">
        <v>1039</v>
      </c>
      <c r="B36" s="344" t="s">
        <v>1451</v>
      </c>
      <c r="C36" s="24">
        <f ca="1">ROUND(C29*F36,1)</f>
        <v>3.4</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0.4</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0.7</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16</v>
      </c>
      <c r="D39" s="1340" t="s">
        <v>1486</v>
      </c>
      <c r="E39" s="1341"/>
      <c r="F39" s="1342"/>
      <c r="G39" s="1846"/>
      <c r="H39" s="1854"/>
      <c r="I39" s="1855"/>
      <c r="J39" s="1856"/>
      <c r="K39" s="1860"/>
      <c r="L39" s="1854"/>
      <c r="M39" s="1854"/>
    </row>
    <row r="40" spans="1:18" ht="18" customHeight="1">
      <c r="A40" s="341" t="s">
        <v>1032</v>
      </c>
      <c r="B40" s="342" t="s">
        <v>1487</v>
      </c>
      <c r="C40" s="343">
        <f ca="1">ROUND(C39*(1-((1+F42)/(1+F40))^F41)/(F40-F42),0)</f>
        <v>373</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25012</v>
      </c>
      <c r="D43" s="380" t="s">
        <v>1490</v>
      </c>
      <c r="E43" s="381" t="s">
        <v>1491</v>
      </c>
      <c r="F43" s="382">
        <f ca="1">INDIRECT("'数据-取费表'!k"&amp;$G$1)</f>
        <v>149.13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-451</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373</v>
      </c>
      <c r="R47" s="1881" t="s">
        <v>1531</v>
      </c>
    </row>
    <row r="48" spans="1:18" s="1837" customFormat="1" ht="28.5" thickBot="1">
      <c r="A48" s="1355" t="s">
        <v>1135</v>
      </c>
      <c r="B48" s="342" t="s">
        <v>1402</v>
      </c>
      <c r="C48" s="1812">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135</v>
      </c>
      <c r="R49" s="1881" t="s">
        <v>1531</v>
      </c>
    </row>
    <row r="50" spans="1:18" s="1837" customFormat="1" ht="13.5" thickBot="1">
      <c r="A50" s="1190"/>
      <c r="B50" s="1193"/>
      <c r="C50" s="1363"/>
      <c r="D50" s="1167"/>
      <c r="E50" s="1272" t="s">
        <v>1407</v>
      </c>
      <c r="F50" s="1273">
        <f ca="1">F7</f>
        <v>149.13</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88</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373</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126</v>
      </c>
      <c r="D56" s="1909"/>
      <c r="E56" s="1910"/>
      <c r="F56" s="1902"/>
      <c r="I56" s="1911" t="s">
        <v>1556</v>
      </c>
      <c r="J56" s="1912" t="s">
        <v>3027</v>
      </c>
      <c r="K56" s="1882" t="s">
        <v>1557</v>
      </c>
      <c r="L56" s="1885" t="str">
        <f ca="1">IF(L48&lt;J51,"——",L48-J53)</f>
        <v>——</v>
      </c>
      <c r="O56" s="1879" t="s">
        <v>1040</v>
      </c>
      <c r="P56" s="1880" t="s">
        <v>1530</v>
      </c>
      <c r="Q56" s="1881">
        <f ca="1">C40+J29</f>
        <v>373</v>
      </c>
      <c r="R56" s="1881" t="s">
        <v>1531</v>
      </c>
    </row>
    <row r="57" spans="1:18" s="1837" customFormat="1" ht="24.75" thickBot="1">
      <c r="A57" s="1913"/>
      <c r="B57" s="1164" t="s">
        <v>1480</v>
      </c>
      <c r="C57" s="279">
        <f ca="1">C29</f>
        <v>135</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5</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1.3</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1.1299999999999999</v>
      </c>
      <c r="D61" s="1823" t="s">
        <v>1440</v>
      </c>
      <c r="E61" s="1164" t="s">
        <v>1496</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0.17</v>
      </c>
      <c r="D62" s="1179" t="s">
        <v>1499</v>
      </c>
      <c r="E62" s="1164" t="s">
        <v>1500</v>
      </c>
      <c r="F62" s="368">
        <f t="shared" si="0"/>
        <v>4</v>
      </c>
      <c r="I62" s="1924" t="s">
        <v>1572</v>
      </c>
      <c r="J62" s="1925" t="s">
        <v>1573</v>
      </c>
      <c r="K62" s="1925" t="s">
        <v>1574</v>
      </c>
      <c r="L62" s="1925" t="s">
        <v>1575</v>
      </c>
      <c r="M62" s="1926" t="s">
        <v>1576</v>
      </c>
      <c r="O62" s="1879" t="s">
        <v>1046</v>
      </c>
      <c r="P62" s="1880" t="s">
        <v>1577</v>
      </c>
      <c r="Q62" s="1881">
        <f ca="1">Q56+Q57</f>
        <v>373</v>
      </c>
      <c r="R62" s="1881" t="s">
        <v>1047</v>
      </c>
    </row>
    <row r="63" spans="1:18" s="1837" customFormat="1" ht="13.5" thickBot="1">
      <c r="A63" s="369"/>
      <c r="B63" s="1170"/>
      <c r="C63" s="29"/>
      <c r="D63" s="1180"/>
      <c r="E63" s="1164" t="s">
        <v>1501</v>
      </c>
      <c r="F63" s="345">
        <f t="shared" ca="1" si="0"/>
        <v>434.41</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3.4</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0.4</v>
      </c>
      <c r="D65" s="1178" t="s">
        <v>1456</v>
      </c>
      <c r="E65" s="1164" t="s">
        <v>1457</v>
      </c>
      <c r="F65" s="373">
        <f t="shared" ca="1" si="0"/>
        <v>3.0000000000000001E-3</v>
      </c>
      <c r="I65" s="1924" t="s">
        <v>1581</v>
      </c>
      <c r="J65" s="1925">
        <v>40</v>
      </c>
      <c r="K65" s="1925">
        <v>30</v>
      </c>
      <c r="L65" s="1925">
        <v>50</v>
      </c>
      <c r="M65" s="1927">
        <v>0.02</v>
      </c>
      <c r="O65" s="1879" t="s">
        <v>1040</v>
      </c>
      <c r="P65" s="1880" t="s">
        <v>1582</v>
      </c>
      <c r="Q65" s="1881">
        <f ca="1">C40+J29</f>
        <v>373</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-5</v>
      </c>
      <c r="D67" s="1177" t="s">
        <v>1466</v>
      </c>
      <c r="E67" s="1182"/>
      <c r="F67" s="1183"/>
      <c r="O67" s="1889" t="s">
        <v>1042</v>
      </c>
      <c r="P67" s="1880" t="s">
        <v>1564</v>
      </c>
      <c r="Q67" s="1928">
        <f ca="1">L51</f>
        <v>88</v>
      </c>
      <c r="R67" s="1881" t="s">
        <v>1584</v>
      </c>
    </row>
    <row r="68" spans="1:18" s="1837" customFormat="1" ht="16.5" thickBot="1">
      <c r="A68" s="1161" t="s">
        <v>1032</v>
      </c>
      <c r="B68" s="1162" t="s">
        <v>1487</v>
      </c>
      <c r="C68" s="343">
        <f ca="1">ROUND(C67*(1-((1+F70)/(1+F68))^F69)/(F68-F70),0)</f>
        <v>-78</v>
      </c>
      <c r="D68" s="1179" t="s">
        <v>1471</v>
      </c>
      <c r="E68" s="1164" t="s">
        <v>1472</v>
      </c>
      <c r="F68" s="354">
        <f ca="1">F40</f>
        <v>5.5E-2</v>
      </c>
      <c r="O68" s="1889" t="s">
        <v>1043</v>
      </c>
      <c r="P68" s="1929" t="s">
        <v>1585</v>
      </c>
      <c r="Q68" s="1881">
        <f ca="1">ROUND(Q69-Q70*Q71,0)</f>
        <v>5</v>
      </c>
      <c r="R68" s="1881" t="s">
        <v>1051</v>
      </c>
    </row>
    <row r="69" spans="1:18" s="1837" customFormat="1" ht="13.5" thickBot="1">
      <c r="A69" s="1165"/>
      <c r="B69" s="1166"/>
      <c r="C69" s="348"/>
      <c r="D69" s="1184" t="s">
        <v>1475</v>
      </c>
      <c r="E69" s="1164" t="s">
        <v>1476</v>
      </c>
      <c r="F69" s="376">
        <f ca="1">F41</f>
        <v>36.53</v>
      </c>
      <c r="O69" s="1889" t="s">
        <v>1048</v>
      </c>
      <c r="P69" s="1929" t="s">
        <v>1586</v>
      </c>
      <c r="Q69" s="1881">
        <f ca="1">C39</f>
        <v>16</v>
      </c>
      <c r="R69" s="1881" t="s">
        <v>1531</v>
      </c>
    </row>
    <row r="70" spans="1:18" s="1837" customFormat="1" ht="13.5" thickBot="1">
      <c r="A70" s="1168"/>
      <c r="B70" s="1169"/>
      <c r="C70" s="352"/>
      <c r="D70" s="1180"/>
      <c r="E70" s="1164" t="s">
        <v>1479</v>
      </c>
      <c r="F70" s="1270"/>
      <c r="O70" s="1889" t="s">
        <v>1049</v>
      </c>
      <c r="P70" s="1929" t="s">
        <v>1587</v>
      </c>
      <c r="Q70" s="1881">
        <f ca="1">C13</f>
        <v>126</v>
      </c>
      <c r="R70" s="1881" t="s">
        <v>1531</v>
      </c>
    </row>
    <row r="71" spans="1:18" s="1837" customFormat="1" ht="13.5" thickBot="1">
      <c r="A71" s="1185" t="s">
        <v>1033</v>
      </c>
      <c r="B71" s="1186" t="s">
        <v>1489</v>
      </c>
      <c r="C71" s="379">
        <f ca="1">ROUND(C68*10000/F71,0)</f>
        <v>-5230</v>
      </c>
      <c r="D71" s="1187" t="s">
        <v>1490</v>
      </c>
      <c r="E71" s="1188" t="s">
        <v>1491</v>
      </c>
      <c r="F71" s="382">
        <f ca="1">F43</f>
        <v>149.13</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11</v>
      </c>
      <c r="D75" s="1837"/>
      <c r="E75" s="1837"/>
      <c r="F75" s="1837"/>
      <c r="K75" s="1863"/>
      <c r="L75" s="1837"/>
      <c r="O75" s="1879" t="s">
        <v>1046</v>
      </c>
      <c r="P75" s="1880" t="s">
        <v>1551</v>
      </c>
      <c r="Q75" s="1881">
        <f ca="1">Q65+Q66</f>
        <v>373</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0.31200000000000006</v>
      </c>
    </row>
    <row r="80" spans="1:18">
      <c r="B80" s="383" t="s">
        <v>1513</v>
      </c>
      <c r="C80" s="315">
        <f ca="1">ROUND(C75/C39,3)</f>
        <v>0.68799999999999994</v>
      </c>
    </row>
    <row r="81" spans="2:3">
      <c r="B81" s="311" t="s">
        <v>1514</v>
      </c>
      <c r="C81" s="279"/>
    </row>
    <row r="82" spans="2:3">
      <c r="B82" s="314" t="s">
        <v>1515</v>
      </c>
      <c r="C82" s="316">
        <f ca="1">1-C83</f>
        <v>0.66199999999999992</v>
      </c>
    </row>
    <row r="83" spans="2:3">
      <c r="B83" s="314" t="s">
        <v>1516</v>
      </c>
      <c r="C83" s="315">
        <f ca="1">ROUND(C13/C40,3)</f>
        <v>0.33800000000000002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7" sqref="F17"/>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3047</v>
      </c>
      <c r="D1" s="1815" t="s">
        <v>70</v>
      </c>
      <c r="E1" s="1816" t="s">
        <v>1388</v>
      </c>
      <c r="F1" s="1278">
        <f ca="1">J53</f>
        <v>36.53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1797</v>
      </c>
      <c r="C2" s="1840" t="s">
        <v>1518</v>
      </c>
      <c r="D2" s="1840"/>
      <c r="E2" s="1841"/>
      <c r="F2" s="1842"/>
      <c r="G2" s="1843"/>
      <c r="H2" s="1835"/>
      <c r="I2" s="1835"/>
      <c r="J2" s="1835"/>
      <c r="K2" s="1836"/>
      <c r="L2" s="1835"/>
      <c r="M2" s="1835"/>
    </row>
    <row r="3" spans="1:37" ht="18" customHeight="1" thickBot="1">
      <c r="A3" s="1844" t="s">
        <v>1519</v>
      </c>
      <c r="B3" s="1845">
        <f ca="1">IF(ISERROR(B2*10000/F43),0,ROUND(B2*10000/F43,0))</f>
        <v>23572</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111</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111</v>
      </c>
      <c r="D6" s="161" t="s">
        <v>3019</v>
      </c>
      <c r="E6" s="344" t="s">
        <v>1406</v>
      </c>
      <c r="F6" s="345">
        <f ca="1">INDIRECT("'数据-取费表'!u"&amp;$G$1)</f>
        <v>8</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762.34</v>
      </c>
      <c r="G7" s="1846"/>
      <c r="H7" s="346"/>
      <c r="I7" s="3261"/>
      <c r="J7" s="348"/>
      <c r="K7" s="349"/>
      <c r="L7" s="344" t="s">
        <v>1407</v>
      </c>
      <c r="M7" s="345">
        <f ca="1">F7</f>
        <v>762.34</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615</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381</v>
      </c>
      <c r="D14" s="2940" t="s">
        <v>1420</v>
      </c>
      <c r="E14" s="2938"/>
      <c r="F14" s="361"/>
      <c r="G14" s="1846"/>
      <c r="H14" s="1196" t="s">
        <v>1035</v>
      </c>
      <c r="I14" s="344" t="s">
        <v>1421</v>
      </c>
      <c r="J14" s="24">
        <f ca="1">C29</f>
        <v>659</v>
      </c>
      <c r="K14" s="2945"/>
      <c r="L14" s="974"/>
      <c r="M14" s="975"/>
    </row>
    <row r="15" spans="1:37" s="1853" customFormat="1" ht="18" customHeight="1" thickBot="1">
      <c r="A15" s="1196" t="s">
        <v>1036</v>
      </c>
      <c r="B15" s="344" t="s">
        <v>1422</v>
      </c>
      <c r="C15" s="24">
        <f ca="1">ROUND(C14*F15,0)</f>
        <v>19</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23</v>
      </c>
      <c r="K16" s="1332" t="s">
        <v>1427</v>
      </c>
      <c r="L16" s="2941"/>
      <c r="M16" s="1289"/>
    </row>
    <row r="17" spans="1:37" s="1853" customFormat="1" ht="18" customHeight="1">
      <c r="A17" s="1196" t="s">
        <v>1391</v>
      </c>
      <c r="B17" s="344" t="s">
        <v>1428</v>
      </c>
      <c r="C17" s="24">
        <f ca="1">ROUND(F17*(F43+INDIRECT("'数据-取费表'!S"&amp;$G$1))/10000,0)</f>
        <v>38</v>
      </c>
      <c r="D17" s="344" t="s">
        <v>1429</v>
      </c>
      <c r="E17" s="344" t="s">
        <v>1430</v>
      </c>
      <c r="F17" s="26">
        <f>'数据-取费表'!B35</f>
        <v>500</v>
      </c>
      <c r="G17" s="1849"/>
      <c r="H17" s="1196" t="s">
        <v>1035</v>
      </c>
      <c r="I17" s="344" t="s">
        <v>1431</v>
      </c>
      <c r="J17" s="24">
        <f ca="1">ROUND(IF(项目基本情况!B11="自然人",J5*M17,J18+J19+J20),1)</f>
        <v>6.4</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6</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444</v>
      </c>
      <c r="D19" s="137" t="s">
        <v>1438</v>
      </c>
      <c r="E19" s="2944"/>
      <c r="F19" s="26"/>
      <c r="G19" s="1846"/>
      <c r="H19" s="1196" t="s">
        <v>1036</v>
      </c>
      <c r="I19" s="344" t="s">
        <v>1439</v>
      </c>
      <c r="J19" s="24">
        <f ca="1">IF(K19="按租金收入计税",ROUND(J5*M19,2),ROUND(C29*M19*0.7,2))</f>
        <v>5.54</v>
      </c>
      <c r="K19" s="1823" t="s">
        <v>1440</v>
      </c>
      <c r="L19" s="344" t="s">
        <v>1424</v>
      </c>
      <c r="M19" s="364">
        <f>IF(K19="按租金收入计税",'数据-取费表'!B51,'数据-取费表'!B50)</f>
        <v>1.2E-2</v>
      </c>
    </row>
    <row r="20" spans="1:37" s="1853" customFormat="1" ht="18" customHeight="1">
      <c r="A20" s="1196" t="s">
        <v>1039</v>
      </c>
      <c r="B20" s="344" t="s">
        <v>1441</v>
      </c>
      <c r="C20" s="24">
        <f ca="1">ROUND(C19*F20,0)</f>
        <v>9</v>
      </c>
      <c r="D20" s="366" t="s">
        <v>1442</v>
      </c>
      <c r="E20" s="344" t="s">
        <v>1424</v>
      </c>
      <c r="F20" s="364">
        <f>'数据-取费表'!B37</f>
        <v>0.02</v>
      </c>
      <c r="G20" s="1849"/>
      <c r="H20" s="1196" t="s">
        <v>1390</v>
      </c>
      <c r="I20" s="161" t="s">
        <v>1443</v>
      </c>
      <c r="J20" s="25">
        <f ca="1">ROUND(M20*M21/10000,2)</f>
        <v>0.89</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2220.65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16.5</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16</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-23</v>
      </c>
      <c r="K25" s="1340" t="s">
        <v>1466</v>
      </c>
      <c r="L25" s="1341"/>
      <c r="M25" s="1342"/>
    </row>
    <row r="26" spans="1:37">
      <c r="A26" s="1196" t="s">
        <v>1034</v>
      </c>
      <c r="B26" s="344" t="s">
        <v>1467</v>
      </c>
      <c r="C26" s="24">
        <f ca="1">ROUND((C19+C20)*F26,0)</f>
        <v>113</v>
      </c>
      <c r="D26" s="366" t="s">
        <v>1468</v>
      </c>
      <c r="E26" s="355" t="s">
        <v>1469</v>
      </c>
      <c r="F26" s="354">
        <f ca="1">INDIRECT("'数据-取费表'!q"&amp;$G$1)</f>
        <v>0.25</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1.2500000000000001E-2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659</v>
      </c>
      <c r="D29" s="1337"/>
      <c r="E29" s="1335"/>
      <c r="F29" s="1338"/>
      <c r="G29" s="1849"/>
      <c r="H29" s="377" t="s">
        <v>1033</v>
      </c>
      <c r="I29" s="378" t="s">
        <v>1481</v>
      </c>
      <c r="J29" s="379">
        <f ca="1">ROUND(J26/(1+F40)^F41,0)</f>
        <v>0</v>
      </c>
      <c r="K29" s="380" t="s">
        <v>1482</v>
      </c>
      <c r="L29" s="381"/>
      <c r="M29" s="382">
        <f ca="1">INDIRECT("'数据-取费表'!k"&amp;$G$1)</f>
        <v>762.34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34</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12.2</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5.81</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5.54</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0.89</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2220.65</v>
      </c>
      <c r="G35" s="1846"/>
      <c r="H35" s="742"/>
      <c r="I35" s="1855"/>
      <c r="J35" s="1856"/>
      <c r="K35" s="1857"/>
      <c r="L35" s="1854"/>
      <c r="M35" s="1854"/>
    </row>
    <row r="36" spans="1:18" ht="18" customHeight="1">
      <c r="A36" s="1347" t="s">
        <v>1039</v>
      </c>
      <c r="B36" s="344" t="s">
        <v>1451</v>
      </c>
      <c r="C36" s="24">
        <f ca="1">ROUND(C29*F36,1)</f>
        <v>16.5</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1.8</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3.3</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77</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1797</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23572</v>
      </c>
      <c r="D43" s="380" t="s">
        <v>1490</v>
      </c>
      <c r="E43" s="381" t="s">
        <v>1491</v>
      </c>
      <c r="F43" s="382">
        <f ca="1">INDIRECT("'数据-取费表'!k"&amp;$G$1)</f>
        <v>762.34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-2187</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1797</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659</v>
      </c>
      <c r="R49" s="1881" t="s">
        <v>1531</v>
      </c>
    </row>
    <row r="50" spans="1:18" s="1837" customFormat="1" ht="13.5" thickBot="1">
      <c r="A50" s="1190"/>
      <c r="B50" s="1193"/>
      <c r="C50" s="1363"/>
      <c r="D50" s="1167"/>
      <c r="E50" s="1272" t="s">
        <v>1407</v>
      </c>
      <c r="F50" s="1273">
        <f ca="1">F7</f>
        <v>762.34</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411</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1797</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615</v>
      </c>
      <c r="D56" s="1909"/>
      <c r="E56" s="1910"/>
      <c r="F56" s="1902"/>
      <c r="I56" s="1911" t="s">
        <v>1556</v>
      </c>
      <c r="J56" s="1912" t="s">
        <v>3027</v>
      </c>
      <c r="K56" s="1882" t="s">
        <v>1557</v>
      </c>
      <c r="L56" s="1885" t="str">
        <f ca="1">IF(L48&lt;J51,"——",L48-J53)</f>
        <v>——</v>
      </c>
      <c r="O56" s="1879" t="s">
        <v>1040</v>
      </c>
      <c r="P56" s="1880" t="s">
        <v>1530</v>
      </c>
      <c r="Q56" s="1881">
        <f ca="1">C40+J29</f>
        <v>1797</v>
      </c>
      <c r="R56" s="1881" t="s">
        <v>1531</v>
      </c>
    </row>
    <row r="57" spans="1:18" s="1837" customFormat="1" ht="24.75" thickBot="1">
      <c r="A57" s="1913"/>
      <c r="B57" s="1164" t="s">
        <v>1480</v>
      </c>
      <c r="C57" s="279">
        <f ca="1">C29</f>
        <v>659</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25</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6.4</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5.54</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0.89</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1797</v>
      </c>
      <c r="R62" s="1881" t="s">
        <v>1047</v>
      </c>
    </row>
    <row r="63" spans="1:18" s="1837" customFormat="1" ht="13.5" thickBot="1">
      <c r="A63" s="369"/>
      <c r="B63" s="1170"/>
      <c r="C63" s="29"/>
      <c r="D63" s="1180"/>
      <c r="E63" s="1164" t="s">
        <v>1449</v>
      </c>
      <c r="F63" s="345">
        <f t="shared" ca="1" si="0"/>
        <v>2220.65</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16.5</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1.8</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1797</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-25</v>
      </c>
      <c r="D67" s="1177" t="s">
        <v>1466</v>
      </c>
      <c r="E67" s="1182"/>
      <c r="F67" s="1183"/>
      <c r="O67" s="1889" t="s">
        <v>1042</v>
      </c>
      <c r="P67" s="1880" t="s">
        <v>1564</v>
      </c>
      <c r="Q67" s="1928">
        <f ca="1">L51</f>
        <v>411</v>
      </c>
      <c r="R67" s="1881" t="s">
        <v>1584</v>
      </c>
    </row>
    <row r="68" spans="1:18" s="1837" customFormat="1" ht="16.5" thickBot="1">
      <c r="A68" s="1161" t="s">
        <v>1032</v>
      </c>
      <c r="B68" s="1162" t="s">
        <v>1487</v>
      </c>
      <c r="C68" s="343">
        <f ca="1">ROUND(C67*(1-((1+F70)/(1+F68))^F69)/(F68-F70),0)</f>
        <v>-390</v>
      </c>
      <c r="D68" s="1179" t="s">
        <v>1471</v>
      </c>
      <c r="E68" s="1164" t="s">
        <v>1472</v>
      </c>
      <c r="F68" s="354">
        <f ca="1">F40</f>
        <v>5.5E-2</v>
      </c>
      <c r="O68" s="1889" t="s">
        <v>1043</v>
      </c>
      <c r="P68" s="1929" t="s">
        <v>1585</v>
      </c>
      <c r="Q68" s="1881">
        <f ca="1">ROUND(Q69-Q70*Q71,0)</f>
        <v>25</v>
      </c>
      <c r="R68" s="1881" t="s">
        <v>1051</v>
      </c>
    </row>
    <row r="69" spans="1:18" s="1837" customFormat="1" ht="13.5" thickBot="1">
      <c r="A69" s="1165"/>
      <c r="B69" s="1166"/>
      <c r="C69" s="348"/>
      <c r="D69" s="1184" t="s">
        <v>1475</v>
      </c>
      <c r="E69" s="1164" t="s">
        <v>1476</v>
      </c>
      <c r="F69" s="376">
        <f ca="1">F41</f>
        <v>36.53</v>
      </c>
      <c r="O69" s="1889" t="s">
        <v>1048</v>
      </c>
      <c r="P69" s="1929" t="s">
        <v>1586</v>
      </c>
      <c r="Q69" s="1881">
        <f ca="1">C39</f>
        <v>77</v>
      </c>
      <c r="R69" s="1881" t="s">
        <v>1531</v>
      </c>
    </row>
    <row r="70" spans="1:18" s="1837" customFormat="1" ht="13.5" thickBot="1">
      <c r="A70" s="1168"/>
      <c r="B70" s="1169"/>
      <c r="C70" s="352"/>
      <c r="D70" s="1180"/>
      <c r="E70" s="1164" t="s">
        <v>1479</v>
      </c>
      <c r="F70" s="1270"/>
      <c r="O70" s="1889" t="s">
        <v>1049</v>
      </c>
      <c r="P70" s="1929" t="s">
        <v>1587</v>
      </c>
      <c r="Q70" s="1881">
        <f ca="1">C13</f>
        <v>615</v>
      </c>
      <c r="R70" s="1881" t="s">
        <v>1531</v>
      </c>
    </row>
    <row r="71" spans="1:18" s="1837" customFormat="1" ht="13.5" thickBot="1">
      <c r="A71" s="1185" t="s">
        <v>1033</v>
      </c>
      <c r="B71" s="1186" t="s">
        <v>1489</v>
      </c>
      <c r="C71" s="379">
        <f ca="1">ROUND(C68*10000/F71,0)</f>
        <v>-5116</v>
      </c>
      <c r="D71" s="1187" t="s">
        <v>1490</v>
      </c>
      <c r="E71" s="1188" t="s">
        <v>1491</v>
      </c>
      <c r="F71" s="382">
        <f ca="1">F43</f>
        <v>762.34</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52</v>
      </c>
      <c r="D75" s="1837"/>
      <c r="E75" s="1837"/>
      <c r="F75" s="1837"/>
      <c r="K75" s="1863"/>
      <c r="L75" s="1837"/>
      <c r="O75" s="1879" t="s">
        <v>1046</v>
      </c>
      <c r="P75" s="1880" t="s">
        <v>1551</v>
      </c>
      <c r="Q75" s="1881">
        <f ca="1">Q65+Q66</f>
        <v>1797</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0.32499999999999996</v>
      </c>
    </row>
    <row r="80" spans="1:18">
      <c r="B80" s="383" t="s">
        <v>1513</v>
      </c>
      <c r="C80" s="315">
        <f ca="1">ROUND(C75/C39,3)</f>
        <v>0.67500000000000004</v>
      </c>
    </row>
    <row r="81" spans="2:3">
      <c r="B81" s="311" t="s">
        <v>1514</v>
      </c>
      <c r="C81" s="279"/>
    </row>
    <row r="82" spans="2:3">
      <c r="B82" s="314" t="s">
        <v>1515</v>
      </c>
      <c r="C82" s="316">
        <f ca="1">1-C83</f>
        <v>0.65799999999999992</v>
      </c>
    </row>
    <row r="83" spans="2:3">
      <c r="B83" s="314" t="s">
        <v>1516</v>
      </c>
      <c r="C83" s="315">
        <f ca="1">ROUND(C13/C40,3)</f>
        <v>0.34200000000000003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6" sqref="F16"/>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3048</v>
      </c>
      <c r="D1" s="1815" t="s">
        <v>70</v>
      </c>
      <c r="E1" s="1816" t="s">
        <v>1388</v>
      </c>
      <c r="F1" s="1278">
        <f ca="1">J53</f>
        <v>36.53</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7</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0.01</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3.0000000000000001E-3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0.03</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3.0000000000000001E-3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0.03</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9" sqref="F19"/>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3049</v>
      </c>
      <c r="D1" s="1815" t="s">
        <v>70</v>
      </c>
      <c r="E1" s="1816" t="s">
        <v>1388</v>
      </c>
      <c r="F1" s="1278">
        <f ca="1">J53</f>
        <v>36.53</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5</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46"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365</v>
      </c>
      <c r="G8" s="1846"/>
      <c r="H8" s="346"/>
      <c r="I8" s="3261"/>
      <c r="J8" s="348"/>
      <c r="K8" s="349"/>
      <c r="L8" s="344" t="s">
        <v>1408</v>
      </c>
      <c r="M8" s="345">
        <f ca="1">INDIRECT("'数据-取费表'!ai"&amp;$G$1)</f>
        <v>365</v>
      </c>
    </row>
    <row r="9" spans="1:37" ht="18" customHeight="1">
      <c r="A9" s="346"/>
      <c r="B9" s="3262"/>
      <c r="C9" s="348"/>
      <c r="D9" s="349"/>
      <c r="E9" s="344" t="s">
        <v>1409</v>
      </c>
      <c r="F9" s="354">
        <f ca="1">INDIRECT("'数据-取费表'!w"&amp;$G$1)</f>
        <v>0.5</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0.02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0.1</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5.0000000000000001E-3</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0.02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2E-3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2.5000000000000001E-2</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63" t="s">
        <v>1550</v>
      </c>
      <c r="L53" s="3264"/>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0.02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2E-3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1" t="s">
        <v>1590</v>
      </c>
      <c r="I3" s="1835"/>
      <c r="J3" s="1835"/>
      <c r="K3" s="1836"/>
      <c r="L3" s="1835"/>
      <c r="M3" s="1835"/>
    </row>
    <row r="4" spans="1:37" ht="18" customHeight="1">
      <c r="A4" s="337" t="s">
        <v>1597</v>
      </c>
      <c r="B4" s="338" t="s">
        <v>1598</v>
      </c>
      <c r="C4" s="338" t="s">
        <v>1599</v>
      </c>
      <c r="D4" s="338" t="s">
        <v>1600</v>
      </c>
      <c r="E4" s="339" t="s">
        <v>1601</v>
      </c>
      <c r="F4" s="340"/>
      <c r="G4" s="1846"/>
      <c r="H4" s="337" t="s">
        <v>1597</v>
      </c>
      <c r="I4" s="338" t="s">
        <v>1598</v>
      </c>
      <c r="J4" s="338" t="s">
        <v>1599</v>
      </c>
      <c r="K4" s="338" t="s">
        <v>1600</v>
      </c>
      <c r="L4" s="339" t="s">
        <v>1601</v>
      </c>
      <c r="M4" s="340"/>
    </row>
    <row r="5" spans="1:37" ht="18" customHeight="1">
      <c r="A5" s="341">
        <v>1</v>
      </c>
      <c r="B5" s="342" t="s">
        <v>1602</v>
      </c>
      <c r="C5" s="1287">
        <f ca="1">C6+C10+C12</f>
        <v>0</v>
      </c>
      <c r="D5" s="1817" t="s">
        <v>1603</v>
      </c>
      <c r="E5" s="1288"/>
      <c r="F5" s="1289"/>
      <c r="G5" s="1846"/>
      <c r="H5" s="341">
        <v>1</v>
      </c>
      <c r="I5" s="342" t="s">
        <v>1602</v>
      </c>
      <c r="J5" s="1287">
        <f ca="1">J6+J10+J12</f>
        <v>0</v>
      </c>
      <c r="K5" s="1817" t="s">
        <v>1603</v>
      </c>
      <c r="L5" s="1288"/>
      <c r="M5" s="1289"/>
    </row>
    <row r="6" spans="1:37" ht="18" customHeight="1">
      <c r="A6" s="1286" t="s">
        <v>1035</v>
      </c>
      <c r="B6" s="3260" t="s">
        <v>1404</v>
      </c>
      <c r="C6" s="1291">
        <f ca="1">ROUND(F6*F8*F7*(1-F9),0)</f>
        <v>0</v>
      </c>
      <c r="D6" s="161" t="s">
        <v>3014</v>
      </c>
      <c r="E6" s="344" t="s">
        <v>1406</v>
      </c>
      <c r="F6" s="345">
        <f ca="1">INDIRECT("'数据-取费表'!u"&amp;$G$1)</f>
        <v>0</v>
      </c>
      <c r="G6" s="1846"/>
      <c r="H6" s="1286" t="s">
        <v>1035</v>
      </c>
      <c r="I6" s="3260" t="s">
        <v>1404</v>
      </c>
      <c r="J6" s="343">
        <f ca="1">ROUND(M6*M8*M7*(1-M9),0)</f>
        <v>0</v>
      </c>
      <c r="K6" s="1829" t="s">
        <v>3017</v>
      </c>
      <c r="L6" s="344" t="s">
        <v>1406</v>
      </c>
      <c r="M6" s="345">
        <f ca="1">INDIRECT("'数据-取费表'!z"&amp;$G$1)</f>
        <v>0</v>
      </c>
    </row>
    <row r="7" spans="1:37" ht="18" customHeight="1">
      <c r="A7" s="1290"/>
      <c r="B7" s="3261"/>
      <c r="C7" s="1292"/>
      <c r="D7" s="349"/>
      <c r="E7" s="1293"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0</v>
      </c>
      <c r="G8" s="1846"/>
      <c r="H8" s="346"/>
      <c r="I8" s="3261"/>
      <c r="J8" s="348"/>
      <c r="K8" s="349"/>
      <c r="L8" s="344" t="s">
        <v>1408</v>
      </c>
      <c r="M8" s="345">
        <f ca="1">INDIRECT("'数据-取费表'!ai"&amp;$G$1)</f>
        <v>0</v>
      </c>
    </row>
    <row r="9" spans="1:37" ht="18" customHeight="1">
      <c r="A9" s="346"/>
      <c r="B9" s="3262"/>
      <c r="C9" s="348"/>
      <c r="D9" s="349"/>
      <c r="E9" s="344" t="s">
        <v>1409</v>
      </c>
      <c r="F9" s="354">
        <f ca="1">INDIRECT("'数据-取费表'!w"&amp;$G$1)</f>
        <v>0</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ROUND(IF(F10="押一",F6*F8*F7/12*F11,IF(F10="押二",F6*F8*F7/12*2*F11,IF(F10="押三",F6*F8*F7/12*3*F11,C11*F11))),0)</f>
        <v>0</v>
      </c>
      <c r="D10" s="1819" t="s">
        <v>3015</v>
      </c>
      <c r="E10" s="355" t="s">
        <v>1412</v>
      </c>
      <c r="F10" s="1361"/>
      <c r="G10" s="1846"/>
      <c r="H10" s="1286" t="s">
        <v>1039</v>
      </c>
      <c r="I10" s="1818" t="s">
        <v>1410</v>
      </c>
      <c r="J10" s="343">
        <f ca="1">ROUND(IF(M10="押一",M6*M8*M7/12*M11,IF(M10="押二",M6*M8*M7/12*2*M11,IF(M10="押三",M6*M8*M7/12*3*M11,J11*M11))),0)</f>
        <v>0</v>
      </c>
      <c r="K10" s="1830" t="s">
        <v>3016</v>
      </c>
      <c r="L10" s="355" t="s">
        <v>1412</v>
      </c>
      <c r="M10" s="1361"/>
    </row>
    <row r="11" spans="1:37" ht="18" customHeight="1">
      <c r="A11" s="350"/>
      <c r="B11" s="1820" t="s">
        <v>1604</v>
      </c>
      <c r="C11" s="1173"/>
      <c r="D11" s="349"/>
      <c r="E11" s="355" t="s">
        <v>1414</v>
      </c>
      <c r="F11" s="356">
        <f ca="1">'数据-取费表'!B39</f>
        <v>1.4999999999999999E-2</v>
      </c>
      <c r="G11" s="1846"/>
      <c r="H11" s="1294"/>
      <c r="I11" s="1820" t="s">
        <v>1605</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ROUND(INDIRECT("'数据-取费表'!l"&amp;$G$1)*F43+'数据-取费表'!L14*INDIRECT("'数据-取费表'!S"&amp;$G$1),0)</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ROUND(F17*(F43+INDIRECT("'数据-取费表'!S"&amp;$G$1)),0)</f>
        <v>0</v>
      </c>
      <c r="D17" s="344" t="s">
        <v>1429</v>
      </c>
      <c r="E17" s="344" t="s">
        <v>1430</v>
      </c>
      <c r="F17" s="26">
        <f>'数据-取费表'!B35</f>
        <v>500</v>
      </c>
      <c r="G17" s="1849"/>
      <c r="H17" s="1196" t="s">
        <v>1035</v>
      </c>
      <c r="I17" s="344" t="s">
        <v>1431</v>
      </c>
      <c r="J17" s="24">
        <f ca="1">ROUND(IF(项目基本情况!B11="自然人",J5*M17,J18+J19+J20),0)</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ROUND(J5*M18/(1+'数据-取费表'!C42),0)</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IF(K19="按租金收入计税",ROUND(J5*M19,0),ROUND(C29*M19*0.7,0))</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ROUND(M20*M21,0)</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ROUND(J14*M22,0)</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ROUND(J13*M23,0)</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ROUND(IF(项目基本情况!B11="自然人",C5*F31,C32+C33+C34),0)</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IF(项目基本情况!B11="自然人","——",ROUND(C5*F32/(1+'数据-取费表'!C42),0))</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ROUND(C29*F36,0)</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ROUND(C13*F37,0)</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1812">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6" t="s">
        <v>1410</v>
      </c>
      <c r="C53" s="358">
        <f ca="1">ROUND(IF(F53="押一",F49*F51*F50/12*F11,IF(F53="押二",F49*F51*F50/12*2*F11,IF(F53="押三",F49*F51*F50/12*3*F11,C54*F11))),0)</f>
        <v>0</v>
      </c>
      <c r="D53" s="1819" t="s">
        <v>1411</v>
      </c>
      <c r="E53" s="355" t="s">
        <v>1412</v>
      </c>
      <c r="F53" s="1361"/>
      <c r="I53" s="1900" t="s">
        <v>1549</v>
      </c>
      <c r="J53" s="1901" t="b">
        <f>IF(M47="住宅",J51,IF(D1="——",MIN(J51,L48),IF(D1="在建（套用方法）",MIN(J51,L48-'数据-取费表'!B24),IF(D1="土地（套用方法）",MIN(J51,L48-'数据-取费表'!B20)))))</f>
        <v>0</v>
      </c>
      <c r="K53" s="3263" t="s">
        <v>1550</v>
      </c>
      <c r="L53" s="3264"/>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3">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9" t="e">
        <f ca="1">ROUND(C68/F71,0)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65" t="s">
        <v>1076</v>
      </c>
      <c r="B1" s="3266"/>
      <c r="C1" s="3267"/>
      <c r="D1" s="3268">
        <f>SUM(I10,I15,I20,I21,I23)</f>
        <v>0</v>
      </c>
      <c r="E1" s="3268"/>
      <c r="F1" s="3268"/>
      <c r="G1" s="3268"/>
      <c r="H1" s="3268"/>
      <c r="I1" s="3269"/>
    </row>
    <row r="2" spans="1:9">
      <c r="A2" s="3270" t="s">
        <v>1077</v>
      </c>
      <c r="B2" s="3271" t="s">
        <v>1078</v>
      </c>
      <c r="C2" s="3271"/>
      <c r="D2" s="1296" t="s">
        <v>1079</v>
      </c>
      <c r="E2" s="1296" t="s">
        <v>1080</v>
      </c>
      <c r="F2" s="1296" t="s">
        <v>1081</v>
      </c>
      <c r="G2" s="1296" t="s">
        <v>1082</v>
      </c>
      <c r="H2" s="1296" t="s">
        <v>1083</v>
      </c>
      <c r="I2" s="1297" t="s">
        <v>1084</v>
      </c>
    </row>
    <row r="3" spans="1:9">
      <c r="A3" s="3270"/>
      <c r="B3" s="3271" t="s">
        <v>1085</v>
      </c>
      <c r="C3" s="3271"/>
      <c r="D3" s="1298"/>
      <c r="E3" s="1296"/>
      <c r="F3" s="1299"/>
      <c r="G3" s="1299"/>
      <c r="H3" s="1300"/>
      <c r="I3" s="1301">
        <f>ROUND(D3*E3*F3*G3*H3/10000,0)</f>
        <v>0</v>
      </c>
    </row>
    <row r="4" spans="1:9">
      <c r="A4" s="3270"/>
      <c r="B4" s="3271" t="s">
        <v>1086</v>
      </c>
      <c r="C4" s="3271"/>
      <c r="D4" s="1298"/>
      <c r="E4" s="1296"/>
      <c r="F4" s="1299"/>
      <c r="G4" s="1299"/>
      <c r="H4" s="1300"/>
      <c r="I4" s="1301">
        <f t="shared" ref="I4:I9" si="0">ROUND(D4*E4*F4*G4*H4/10000,0)</f>
        <v>0</v>
      </c>
    </row>
    <row r="5" spans="1:9">
      <c r="A5" s="3270"/>
      <c r="B5" s="3271" t="s">
        <v>1087</v>
      </c>
      <c r="C5" s="3271"/>
      <c r="D5" s="1298"/>
      <c r="E5" s="1296"/>
      <c r="F5" s="1299"/>
      <c r="G5" s="1299"/>
      <c r="H5" s="1300"/>
      <c r="I5" s="1301">
        <f t="shared" si="0"/>
        <v>0</v>
      </c>
    </row>
    <row r="6" spans="1:9">
      <c r="A6" s="3270"/>
      <c r="B6" s="3271" t="s">
        <v>1088</v>
      </c>
      <c r="C6" s="3271"/>
      <c r="D6" s="1298"/>
      <c r="E6" s="1296"/>
      <c r="F6" s="1299"/>
      <c r="G6" s="1299"/>
      <c r="H6" s="1300"/>
      <c r="I6" s="1301">
        <f t="shared" si="0"/>
        <v>0</v>
      </c>
    </row>
    <row r="7" spans="1:9">
      <c r="A7" s="3270"/>
      <c r="B7" s="3271" t="s">
        <v>1089</v>
      </c>
      <c r="C7" s="3271"/>
      <c r="D7" s="1298"/>
      <c r="E7" s="1296"/>
      <c r="F7" s="1299"/>
      <c r="G7" s="1299"/>
      <c r="H7" s="1300"/>
      <c r="I7" s="1301">
        <f t="shared" si="0"/>
        <v>0</v>
      </c>
    </row>
    <row r="8" spans="1:9">
      <c r="A8" s="3270"/>
      <c r="B8" s="3271" t="s">
        <v>1090</v>
      </c>
      <c r="C8" s="3271"/>
      <c r="D8" s="1298"/>
      <c r="E8" s="1296"/>
      <c r="F8" s="1299"/>
      <c r="G8" s="1299"/>
      <c r="H8" s="1300"/>
      <c r="I8" s="1301">
        <f t="shared" si="0"/>
        <v>0</v>
      </c>
    </row>
    <row r="9" spans="1:9">
      <c r="A9" s="3270"/>
      <c r="B9" s="3271" t="s">
        <v>1091</v>
      </c>
      <c r="C9" s="3271"/>
      <c r="D9" s="1298"/>
      <c r="E9" s="1296"/>
      <c r="F9" s="1299"/>
      <c r="G9" s="1299"/>
      <c r="H9" s="1300"/>
      <c r="I9" s="1301">
        <f t="shared" si="0"/>
        <v>0</v>
      </c>
    </row>
    <row r="10" spans="1:9">
      <c r="A10" s="3270"/>
      <c r="B10" s="3272" t="s">
        <v>1092</v>
      </c>
      <c r="C10" s="3272"/>
      <c r="D10" s="1302"/>
      <c r="E10" s="1302" t="e">
        <f>ROUND(D1*10000/D10/H9,0)</f>
        <v>#DIV/0!</v>
      </c>
      <c r="F10" s="1303"/>
      <c r="G10" s="1303"/>
      <c r="H10" s="1304"/>
      <c r="I10" s="1305">
        <f>SUM(I3:I9)</f>
        <v>0</v>
      </c>
    </row>
    <row r="11" spans="1:9" ht="14.25">
      <c r="A11" s="3270" t="s">
        <v>1093</v>
      </c>
      <c r="B11" s="3271" t="s">
        <v>1094</v>
      </c>
      <c r="C11" s="3271"/>
      <c r="D11" s="1298" t="s">
        <v>1095</v>
      </c>
      <c r="E11" s="1298" t="s">
        <v>1096</v>
      </c>
      <c r="F11" s="1299" t="s">
        <v>1097</v>
      </c>
      <c r="G11" s="1299" t="s">
        <v>1083</v>
      </c>
      <c r="H11" s="1306" t="s">
        <v>1098</v>
      </c>
      <c r="I11" s="1297" t="s">
        <v>1084</v>
      </c>
    </row>
    <row r="12" spans="1:9">
      <c r="A12" s="3270"/>
      <c r="B12" s="3271" t="s">
        <v>1099</v>
      </c>
      <c r="C12" s="3271"/>
      <c r="D12" s="1298"/>
      <c r="E12" s="1298"/>
      <c r="F12" s="1299"/>
      <c r="G12" s="1300"/>
      <c r="H12" s="1307"/>
      <c r="I12" s="1297">
        <f>ROUND(D12*E12*F12*G12/10000,0)</f>
        <v>0</v>
      </c>
    </row>
    <row r="13" spans="1:9">
      <c r="A13" s="3270"/>
      <c r="B13" s="3271" t="s">
        <v>1100</v>
      </c>
      <c r="C13" s="3271"/>
      <c r="D13" s="1298"/>
      <c r="E13" s="1298"/>
      <c r="F13" s="1299"/>
      <c r="G13" s="1300"/>
      <c r="H13" s="1307"/>
      <c r="I13" s="1297">
        <f>ROUND(D13*E13*F13*G13/10000,0)</f>
        <v>0</v>
      </c>
    </row>
    <row r="14" spans="1:9">
      <c r="A14" s="3270"/>
      <c r="B14" s="3271" t="s">
        <v>1101</v>
      </c>
      <c r="C14" s="3271"/>
      <c r="D14" s="1298"/>
      <c r="E14" s="1298"/>
      <c r="F14" s="1299"/>
      <c r="G14" s="1300"/>
      <c r="H14" s="1307"/>
      <c r="I14" s="1297">
        <f>ROUND(D14*E14*F14*G14/10000,0)</f>
        <v>0</v>
      </c>
    </row>
    <row r="15" spans="1:9">
      <c r="A15" s="3270"/>
      <c r="B15" s="3272" t="s">
        <v>1092</v>
      </c>
      <c r="C15" s="3272"/>
      <c r="D15" s="1302"/>
      <c r="E15" s="1302">
        <f>SUM(E12:E14)</f>
        <v>0</v>
      </c>
      <c r="F15" s="1303"/>
      <c r="G15" s="1300"/>
      <c r="H15" s="1307"/>
      <c r="I15" s="1308">
        <f>SUM(I12:I14)</f>
        <v>0</v>
      </c>
    </row>
    <row r="16" spans="1:9" ht="24">
      <c r="A16" s="3270" t="s">
        <v>1102</v>
      </c>
      <c r="B16" s="3271" t="s">
        <v>1103</v>
      </c>
      <c r="C16" s="3271"/>
      <c r="D16" s="1298" t="s">
        <v>1079</v>
      </c>
      <c r="E16" s="1309" t="s">
        <v>1104</v>
      </c>
      <c r="F16" s="1299" t="s">
        <v>1105</v>
      </c>
      <c r="G16" s="1300" t="s">
        <v>1083</v>
      </c>
      <c r="H16" s="1306" t="s">
        <v>1098</v>
      </c>
      <c r="I16" s="1297" t="s">
        <v>1084</v>
      </c>
    </row>
    <row r="17" spans="1:9" ht="14.25">
      <c r="A17" s="3270"/>
      <c r="B17" s="3271" t="s">
        <v>1106</v>
      </c>
      <c r="C17" s="3271"/>
      <c r="D17" s="1298"/>
      <c r="E17" s="1298"/>
      <c r="F17" s="1299"/>
      <c r="G17" s="1300"/>
      <c r="H17" s="1310"/>
      <c r="I17" s="1311">
        <f>ROUND(D17*E17*F17*G17/10000,0)</f>
        <v>0</v>
      </c>
    </row>
    <row r="18" spans="1:9" ht="14.25">
      <c r="A18" s="3270"/>
      <c r="B18" s="3271" t="s">
        <v>1107</v>
      </c>
      <c r="C18" s="3271"/>
      <c r="D18" s="1298"/>
      <c r="E18" s="1298"/>
      <c r="F18" s="1299"/>
      <c r="G18" s="1300"/>
      <c r="H18" s="1310"/>
      <c r="I18" s="1311">
        <f>ROUND(D18*E18*F18*G18/10000,0)</f>
        <v>0</v>
      </c>
    </row>
    <row r="19" spans="1:9" ht="14.25">
      <c r="A19" s="3270"/>
      <c r="B19" s="3271" t="s">
        <v>1108</v>
      </c>
      <c r="C19" s="3271"/>
      <c r="D19" s="1298"/>
      <c r="E19" s="1298"/>
      <c r="F19" s="1299"/>
      <c r="G19" s="1300"/>
      <c r="H19" s="1310"/>
      <c r="I19" s="1311">
        <f>ROUND(D19*E19*F19*G19/10000,0)</f>
        <v>0</v>
      </c>
    </row>
    <row r="20" spans="1:9">
      <c r="A20" s="3270"/>
      <c r="B20" s="3272" t="s">
        <v>1092</v>
      </c>
      <c r="C20" s="3272"/>
      <c r="D20" s="1302">
        <f>SUM(D17:D19)</f>
        <v>0</v>
      </c>
      <c r="E20" s="1302"/>
      <c r="F20" s="1303"/>
      <c r="G20" s="1300"/>
      <c r="H20" s="1307"/>
      <c r="I20" s="1308">
        <f>SUM(I17:I19)</f>
        <v>0</v>
      </c>
    </row>
    <row r="21" spans="1:9">
      <c r="A21" s="3270" t="s">
        <v>1109</v>
      </c>
      <c r="B21" s="3274"/>
      <c r="C21" s="3274"/>
      <c r="D21" s="3274"/>
      <c r="E21" s="3274"/>
      <c r="F21" s="3274"/>
      <c r="G21" s="3274"/>
      <c r="H21" s="1760">
        <v>0.1</v>
      </c>
      <c r="I21" s="1305">
        <f>ROUND(I10*H21,0)</f>
        <v>0</v>
      </c>
    </row>
    <row r="22" spans="1:9" ht="14.25">
      <c r="A22" s="3275" t="s">
        <v>1110</v>
      </c>
      <c r="B22" s="3276"/>
      <c r="C22" s="3277"/>
      <c r="D22" s="1312" t="s">
        <v>1111</v>
      </c>
      <c r="E22" s="1312" t="s">
        <v>1112</v>
      </c>
      <c r="F22" s="1313" t="s">
        <v>1113</v>
      </c>
      <c r="G22" s="1313" t="s">
        <v>1114</v>
      </c>
      <c r="H22" s="1306" t="s">
        <v>1115</v>
      </c>
      <c r="I22" s="1297" t="s">
        <v>1116</v>
      </c>
    </row>
    <row r="23" spans="1:9" ht="14.25" thickBot="1">
      <c r="A23" s="3278"/>
      <c r="B23" s="3279"/>
      <c r="C23" s="3280"/>
      <c r="D23" s="1314"/>
      <c r="E23" s="1314"/>
      <c r="F23" s="1314"/>
      <c r="G23" s="1315"/>
      <c r="H23" s="1316"/>
      <c r="I23" s="1317">
        <f>ROUND(E23*D23*F23*(1-G23)/10000,0)</f>
        <v>0</v>
      </c>
    </row>
    <row r="26" spans="1:9">
      <c r="A26" s="1318" t="s">
        <v>1117</v>
      </c>
      <c r="B26" s="1318"/>
      <c r="C26" s="1318"/>
      <c r="D26" s="1318"/>
      <c r="E26" s="3281">
        <f>C27-C30-C31-C32</f>
        <v>0</v>
      </c>
      <c r="F26" s="3281"/>
      <c r="G26" s="3281"/>
      <c r="H26" s="1732" t="s">
        <v>1341</v>
      </c>
    </row>
    <row r="27" spans="1:9">
      <c r="A27" s="1319">
        <v>1</v>
      </c>
      <c r="B27" s="1320" t="s">
        <v>1118</v>
      </c>
      <c r="C27" s="1320">
        <f>C28+C29</f>
        <v>0</v>
      </c>
      <c r="D27" s="1320"/>
      <c r="E27" s="3282"/>
      <c r="F27" s="3282"/>
      <c r="G27" s="3282"/>
    </row>
    <row r="28" spans="1:9">
      <c r="A28" s="1321" t="s">
        <v>1119</v>
      </c>
      <c r="B28" s="1320" t="s">
        <v>1120</v>
      </c>
      <c r="C28" s="1320"/>
      <c r="D28" s="1320"/>
      <c r="E28" s="3282"/>
      <c r="F28" s="3282"/>
      <c r="G28" s="3282"/>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73"/>
      <c r="F32" s="3273"/>
      <c r="G32" s="3273"/>
    </row>
    <row r="33" spans="1:7" hidden="1">
      <c r="A33" s="3283" t="s">
        <v>1129</v>
      </c>
      <c r="B33" s="3284"/>
      <c r="C33" s="3284"/>
      <c r="D33" s="3285"/>
      <c r="E33" s="3281"/>
      <c r="F33" s="3281"/>
      <c r="G33" s="3281"/>
    </row>
    <row r="34" spans="1:7" hidden="1">
      <c r="A34" s="1323">
        <v>1</v>
      </c>
      <c r="B34" s="1320" t="s">
        <v>1130</v>
      </c>
      <c r="C34" s="1320"/>
      <c r="D34" s="1320"/>
      <c r="E34" s="3282"/>
      <c r="F34" s="3282"/>
      <c r="G34" s="3282"/>
    </row>
    <row r="35" spans="1:7" hidden="1">
      <c r="A35" s="1323">
        <v>2</v>
      </c>
      <c r="B35" s="1320" t="s">
        <v>1131</v>
      </c>
      <c r="C35" s="1320"/>
      <c r="D35" s="1320"/>
      <c r="E35" s="3282"/>
      <c r="F35" s="3282"/>
      <c r="G35" s="3282"/>
    </row>
    <row r="36" spans="1:7" hidden="1">
      <c r="A36" s="1323">
        <v>3</v>
      </c>
      <c r="B36" s="1320" t="s">
        <v>1132</v>
      </c>
      <c r="C36" s="1320"/>
      <c r="D36" s="1320"/>
      <c r="E36" s="3282"/>
      <c r="F36" s="3282"/>
      <c r="G36" s="3282"/>
    </row>
    <row r="37" spans="1:7" hidden="1">
      <c r="A37" s="1323">
        <v>4</v>
      </c>
      <c r="B37" s="1320" t="s">
        <v>1133</v>
      </c>
      <c r="C37" s="1320"/>
      <c r="D37" s="1320"/>
      <c r="E37" s="3282"/>
      <c r="F37" s="3282"/>
      <c r="G37" s="3282"/>
    </row>
    <row r="38" spans="1:7" hidden="1">
      <c r="A38" s="3283" t="s">
        <v>1134</v>
      </c>
      <c r="B38" s="3284"/>
      <c r="C38" s="3284"/>
      <c r="D38" s="3285"/>
      <c r="E38" s="3281"/>
      <c r="F38" s="3281"/>
      <c r="G38" s="32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5"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5" customFormat="1" ht="28.5" customHeight="1" thickBot="1">
      <c r="A3" s="244" t="s">
        <v>2315</v>
      </c>
      <c r="B3" s="606" t="e">
        <f ca="1">IF(C2="——",C49,ROUND(B2*10000/D3,0))</f>
        <v>#DIV/0!</v>
      </c>
      <c r="C3" s="397" t="s">
        <v>2630</v>
      </c>
      <c r="D3" s="396">
        <f>IF(D1="",'数据-汇总表'!E3,SUMIF('数据-汇总表'!$C19:$C33,D1,'数据-汇总表'!$E19:$E33))</f>
        <v>3130.82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12" t="s">
        <v>2633</v>
      </c>
      <c r="S4" s="3213"/>
      <c r="T4" s="3212" t="s">
        <v>2634</v>
      </c>
      <c r="U4" s="3213"/>
      <c r="V4" s="3237" t="s">
        <v>2635</v>
      </c>
      <c r="W4" s="3237"/>
      <c r="X4" s="1808"/>
      <c r="Y4" s="3212" t="s">
        <v>2637</v>
      </c>
      <c r="Z4" s="3213"/>
      <c r="AA4" s="3207" t="s">
        <v>2633</v>
      </c>
      <c r="AB4" s="3237" t="s">
        <v>2634</v>
      </c>
      <c r="AC4" s="3207" t="s">
        <v>2635</v>
      </c>
    </row>
    <row r="5" spans="1:29" ht="15">
      <c r="A5" s="401"/>
      <c r="B5" s="402"/>
      <c r="C5" s="3218" t="s">
        <v>2528</v>
      </c>
      <c r="D5" s="3219"/>
      <c r="E5" s="3216" t="s">
        <v>2529</v>
      </c>
      <c r="F5" s="3217"/>
      <c r="G5" s="3218" t="s">
        <v>2530</v>
      </c>
      <c r="H5" s="3219"/>
      <c r="I5" s="3218" t="s">
        <v>2531</v>
      </c>
      <c r="J5" s="3219"/>
      <c r="K5" s="607"/>
      <c r="L5" s="1125"/>
      <c r="M5" s="1126"/>
      <c r="N5" s="1126"/>
      <c r="O5" s="1126"/>
      <c r="P5" s="3231"/>
      <c r="Q5" s="3232"/>
      <c r="R5" s="3214"/>
      <c r="S5" s="3215"/>
      <c r="T5" s="3214"/>
      <c r="U5" s="3215"/>
      <c r="V5" s="3237"/>
      <c r="W5" s="3237"/>
      <c r="X5" s="1808"/>
      <c r="Y5" s="3214"/>
      <c r="Z5" s="3215"/>
      <c r="AA5" s="3208"/>
      <c r="AB5" s="3237"/>
      <c r="AC5" s="3208"/>
    </row>
    <row r="6" spans="1:29" ht="15.75" thickBot="1">
      <c r="A6" s="403"/>
      <c r="B6" s="404"/>
      <c r="C6" s="3220" t="s">
        <v>2532</v>
      </c>
      <c r="D6" s="3221"/>
      <c r="E6" s="3222" t="s">
        <v>2532</v>
      </c>
      <c r="F6" s="3223"/>
      <c r="G6" s="3220" t="s">
        <v>2532</v>
      </c>
      <c r="H6" s="3221"/>
      <c r="I6" s="3220" t="s">
        <v>2532</v>
      </c>
      <c r="J6" s="3221"/>
      <c r="K6" s="607" t="s">
        <v>2533</v>
      </c>
      <c r="L6" s="1125"/>
      <c r="M6" s="1126"/>
      <c r="N6" s="1126"/>
      <c r="O6" s="1126"/>
      <c r="P6" s="3233"/>
      <c r="Q6" s="3234"/>
      <c r="R6" s="3214"/>
      <c r="S6" s="3215"/>
      <c r="T6" s="3235"/>
      <c r="U6" s="3236"/>
      <c r="V6" s="3237"/>
      <c r="W6" s="3237"/>
      <c r="X6" s="1808"/>
      <c r="Y6" s="3235"/>
      <c r="Z6" s="3236"/>
      <c r="AA6" s="3209"/>
      <c r="AB6" s="3237"/>
      <c r="AC6" s="3209"/>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10" t="s">
        <v>2535</v>
      </c>
      <c r="Q7" s="3238"/>
      <c r="R7" s="767" t="s">
        <v>17</v>
      </c>
      <c r="S7" s="768">
        <f t="shared" ref="S7:S15" si="0">F7</f>
        <v>0</v>
      </c>
      <c r="T7" s="767" t="s">
        <v>17</v>
      </c>
      <c r="U7" s="768">
        <f t="shared" ref="U7:U15" si="1">H7</f>
        <v>0</v>
      </c>
      <c r="V7" s="767" t="s">
        <v>17</v>
      </c>
      <c r="W7" s="768">
        <f t="shared" ref="W7:W15" si="2">J7</f>
        <v>0</v>
      </c>
      <c r="X7" s="769"/>
      <c r="Y7" s="3210" t="s">
        <v>2535</v>
      </c>
      <c r="Z7" s="3211"/>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10" t="s">
        <v>2538</v>
      </c>
      <c r="Q8" s="3211"/>
      <c r="R8" s="767" t="s">
        <v>17</v>
      </c>
      <c r="S8" s="768">
        <f t="shared" si="0"/>
        <v>0</v>
      </c>
      <c r="T8" s="767" t="s">
        <v>17</v>
      </c>
      <c r="U8" s="768">
        <f t="shared" si="1"/>
        <v>0</v>
      </c>
      <c r="V8" s="767" t="s">
        <v>17</v>
      </c>
      <c r="W8" s="768">
        <f t="shared" si="2"/>
        <v>0</v>
      </c>
      <c r="X8" s="769"/>
      <c r="Y8" s="3210" t="s">
        <v>2538</v>
      </c>
      <c r="Z8" s="3211"/>
      <c r="AA8" s="770" t="e">
        <f t="shared" ref="AA8:AA46" si="3">D8/F8</f>
        <v>#DIV/0!</v>
      </c>
      <c r="AB8" s="770" t="e">
        <f t="shared" ref="AB8:AB46" si="4">D8/H8</f>
        <v>#DIV/0!</v>
      </c>
      <c r="AC8" s="770" t="e">
        <f t="shared" ref="AC8:AC46" si="5">D8/J8</f>
        <v>#DIV/0!</v>
      </c>
    </row>
    <row r="9" spans="1:29" s="114" customFormat="1">
      <c r="A9" s="412" t="s">
        <v>2539</v>
      </c>
      <c r="B9" s="71" t="s">
        <v>2540</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224" t="s">
        <v>2541</v>
      </c>
      <c r="Q9" s="1790" t="str">
        <f t="shared" ref="Q9:Q15" si="6">B9</f>
        <v>用途</v>
      </c>
      <c r="R9" s="767" t="s">
        <v>17</v>
      </c>
      <c r="S9" s="768">
        <f t="shared" si="0"/>
        <v>100</v>
      </c>
      <c r="T9" s="767" t="s">
        <v>17</v>
      </c>
      <c r="U9" s="768">
        <f t="shared" si="1"/>
        <v>100</v>
      </c>
      <c r="V9" s="767" t="s">
        <v>17</v>
      </c>
      <c r="W9" s="768">
        <f t="shared" si="2"/>
        <v>100</v>
      </c>
      <c r="X9" s="769"/>
      <c r="Y9" s="3080"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224"/>
      <c r="Q10" s="1790" t="str">
        <f t="shared" si="6"/>
        <v>土地使用年限（年）</v>
      </c>
      <c r="R10" s="767" t="s">
        <v>17</v>
      </c>
      <c r="S10" s="768">
        <f t="shared" si="0"/>
        <v>100</v>
      </c>
      <c r="T10" s="767" t="s">
        <v>17</v>
      </c>
      <c r="U10" s="768">
        <f t="shared" si="1"/>
        <v>100</v>
      </c>
      <c r="V10" s="767" t="s">
        <v>17</v>
      </c>
      <c r="W10" s="768">
        <f t="shared" si="2"/>
        <v>100</v>
      </c>
      <c r="X10" s="769"/>
      <c r="Y10" s="3080"/>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224"/>
      <c r="Q11" s="1790" t="str">
        <f t="shared" si="6"/>
        <v>容积率</v>
      </c>
      <c r="R11" s="767" t="s">
        <v>17</v>
      </c>
      <c r="S11" s="768" t="e">
        <f t="shared" si="0"/>
        <v>#N/A</v>
      </c>
      <c r="T11" s="767" t="s">
        <v>17</v>
      </c>
      <c r="U11" s="768" t="e">
        <f t="shared" si="1"/>
        <v>#N/A</v>
      </c>
      <c r="V11" s="767" t="s">
        <v>17</v>
      </c>
      <c r="W11" s="768" t="e">
        <f t="shared" si="2"/>
        <v>#N/A</v>
      </c>
      <c r="X11" s="769"/>
      <c r="Y11" s="3080"/>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224"/>
      <c r="Q12" s="1790">
        <f t="shared" si="6"/>
        <v>111</v>
      </c>
      <c r="R12" s="767" t="s">
        <v>17</v>
      </c>
      <c r="S12" s="768">
        <f t="shared" si="0"/>
        <v>100</v>
      </c>
      <c r="T12" s="767" t="s">
        <v>17</v>
      </c>
      <c r="U12" s="768">
        <f t="shared" si="1"/>
        <v>100</v>
      </c>
      <c r="V12" s="767" t="s">
        <v>17</v>
      </c>
      <c r="W12" s="768">
        <f t="shared" si="2"/>
        <v>100</v>
      </c>
      <c r="X12" s="769"/>
      <c r="Y12" s="3080"/>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224"/>
      <c r="Q13" s="1790">
        <f t="shared" si="6"/>
        <v>111</v>
      </c>
      <c r="R13" s="767" t="s">
        <v>17</v>
      </c>
      <c r="S13" s="768">
        <f t="shared" si="0"/>
        <v>100</v>
      </c>
      <c r="T13" s="767" t="s">
        <v>17</v>
      </c>
      <c r="U13" s="768">
        <f t="shared" si="1"/>
        <v>100</v>
      </c>
      <c r="V13" s="767" t="s">
        <v>17</v>
      </c>
      <c r="W13" s="768">
        <f t="shared" si="2"/>
        <v>100</v>
      </c>
      <c r="X13" s="769"/>
      <c r="Y13" s="3080"/>
      <c r="Z13" s="55">
        <f t="shared" si="7"/>
        <v>111</v>
      </c>
      <c r="AA13" s="770">
        <f t="shared" si="3"/>
        <v>1</v>
      </c>
      <c r="AB13" s="770">
        <f t="shared" si="4"/>
        <v>1</v>
      </c>
      <c r="AC13" s="770">
        <f t="shared" si="5"/>
        <v>1</v>
      </c>
    </row>
    <row r="14" spans="1:29" ht="15.75" thickBot="1">
      <c r="A14" s="433"/>
      <c r="B14" s="259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224"/>
      <c r="Q14" s="1790">
        <f t="shared" si="6"/>
        <v>111</v>
      </c>
      <c r="R14" s="767" t="s">
        <v>17</v>
      </c>
      <c r="S14" s="768">
        <f t="shared" si="0"/>
        <v>100</v>
      </c>
      <c r="T14" s="767" t="s">
        <v>17</v>
      </c>
      <c r="U14" s="768">
        <f t="shared" si="1"/>
        <v>100</v>
      </c>
      <c r="V14" s="767" t="s">
        <v>17</v>
      </c>
      <c r="W14" s="768">
        <f t="shared" si="2"/>
        <v>100</v>
      </c>
      <c r="X14" s="769"/>
      <c r="Y14" s="3080"/>
      <c r="Z14" s="55">
        <f t="shared" si="7"/>
        <v>111</v>
      </c>
      <c r="AA14" s="770">
        <f t="shared" si="3"/>
        <v>1</v>
      </c>
      <c r="AB14" s="770">
        <f t="shared" si="4"/>
        <v>1</v>
      </c>
      <c r="AC14" s="770">
        <f t="shared" si="5"/>
        <v>1</v>
      </c>
    </row>
    <row r="15" spans="1:29" ht="71.25">
      <c r="A15" s="437" t="s">
        <v>2545</v>
      </c>
      <c r="B15" s="69" t="s">
        <v>2639</v>
      </c>
      <c r="C15" s="2594"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51" t="s">
        <v>2546</v>
      </c>
      <c r="Q15" s="1805" t="str">
        <f t="shared" si="6"/>
        <v>商业繁华度</v>
      </c>
      <c r="R15" s="771" t="s">
        <v>17</v>
      </c>
      <c r="S15" s="772">
        <f t="shared" si="0"/>
        <v>100</v>
      </c>
      <c r="T15" s="771" t="s">
        <v>17</v>
      </c>
      <c r="U15" s="772">
        <f t="shared" si="1"/>
        <v>100</v>
      </c>
      <c r="V15" s="771" t="s">
        <v>17</v>
      </c>
      <c r="W15" s="772">
        <f t="shared" si="2"/>
        <v>100</v>
      </c>
      <c r="X15" s="1808"/>
      <c r="Y15" s="3244" t="s">
        <v>2546</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26"/>
      <c r="P16" s="3252"/>
      <c r="Q16" s="1805"/>
      <c r="R16" s="771"/>
      <c r="S16" s="772"/>
      <c r="T16" s="771"/>
      <c r="U16" s="772"/>
      <c r="V16" s="771"/>
      <c r="W16" s="772"/>
      <c r="X16" s="1808"/>
      <c r="Y16" s="3245"/>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52"/>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26"/>
      <c r="P18" s="3252"/>
      <c r="Q18" s="1805"/>
      <c r="R18" s="771"/>
      <c r="S18" s="772"/>
      <c r="T18" s="771"/>
      <c r="U18" s="772"/>
      <c r="V18" s="771"/>
      <c r="W18" s="772"/>
      <c r="X18" s="1808"/>
      <c r="Y18" s="3245"/>
      <c r="Z18" s="1809"/>
      <c r="AA18" s="1806">
        <v>1</v>
      </c>
      <c r="AB18" s="1806">
        <v>1</v>
      </c>
      <c r="AC18" s="1806">
        <v>1</v>
      </c>
    </row>
    <row r="19" spans="1:29" ht="42.75">
      <c r="A19" s="425"/>
      <c r="B19" s="448" t="s">
        <v>2640</v>
      </c>
      <c r="C19" s="2598"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52"/>
      <c r="Q19" s="1805" t="str">
        <f>B19</f>
        <v>公共配套设施</v>
      </c>
      <c r="R19" s="771" t="s">
        <v>17</v>
      </c>
      <c r="S19" s="772">
        <f>F19</f>
        <v>100</v>
      </c>
      <c r="T19" s="771" t="s">
        <v>17</v>
      </c>
      <c r="U19" s="772">
        <f>H19</f>
        <v>100</v>
      </c>
      <c r="V19" s="771" t="s">
        <v>17</v>
      </c>
      <c r="W19" s="772">
        <f>J19</f>
        <v>100</v>
      </c>
      <c r="X19" s="1808"/>
      <c r="Y19" s="3245"/>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26"/>
      <c r="P20" s="3252"/>
      <c r="Q20" s="1805"/>
      <c r="R20" s="771"/>
      <c r="S20" s="772"/>
      <c r="T20" s="771"/>
      <c r="U20" s="772"/>
      <c r="V20" s="771"/>
      <c r="W20" s="772"/>
      <c r="X20" s="1808"/>
      <c r="Y20" s="3245"/>
      <c r="Z20" s="1809"/>
      <c r="AA20" s="1806">
        <v>1</v>
      </c>
      <c r="AB20" s="1806">
        <v>1</v>
      </c>
      <c r="AC20" s="1806">
        <v>1</v>
      </c>
    </row>
    <row r="21" spans="1:29" ht="28.5">
      <c r="A21" s="425"/>
      <c r="B21" s="1379" t="s">
        <v>2641</v>
      </c>
      <c r="C21" s="2598"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52"/>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26"/>
      <c r="P22" s="3252"/>
      <c r="Q22" s="1805"/>
      <c r="R22" s="771"/>
      <c r="S22" s="772"/>
      <c r="T22" s="771"/>
      <c r="U22" s="772"/>
      <c r="V22" s="771"/>
      <c r="W22" s="772"/>
      <c r="X22" s="1808"/>
      <c r="Y22" s="3245"/>
      <c r="Z22" s="1809"/>
      <c r="AA22" s="1806">
        <v>1</v>
      </c>
      <c r="AB22" s="1806">
        <v>1</v>
      </c>
      <c r="AC22" s="1806">
        <v>1</v>
      </c>
    </row>
    <row r="23" spans="1:29" ht="57">
      <c r="A23" s="425"/>
      <c r="B23" s="448" t="s">
        <v>2087</v>
      </c>
      <c r="C23" s="2655"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52"/>
      <c r="Q23" s="1805" t="str">
        <f>B23</f>
        <v>自然及人文环境</v>
      </c>
      <c r="R23" s="771" t="s">
        <v>17</v>
      </c>
      <c r="S23" s="772">
        <f>F23</f>
        <v>100</v>
      </c>
      <c r="T23" s="771" t="s">
        <v>17</v>
      </c>
      <c r="U23" s="772">
        <f>H23</f>
        <v>100</v>
      </c>
      <c r="V23" s="771" t="s">
        <v>17</v>
      </c>
      <c r="W23" s="772">
        <f>J23</f>
        <v>100</v>
      </c>
      <c r="X23" s="1808"/>
      <c r="Y23" s="3245"/>
      <c r="Z23" s="1809" t="str">
        <f>Q23</f>
        <v>自然及人文环境</v>
      </c>
      <c r="AA23" s="1806">
        <f t="shared" si="3"/>
        <v>1</v>
      </c>
      <c r="AB23" s="1806">
        <f t="shared" si="4"/>
        <v>1</v>
      </c>
      <c r="AC23" s="1806">
        <f t="shared" si="5"/>
        <v>1</v>
      </c>
    </row>
    <row r="24" spans="1:29" ht="15">
      <c r="A24" s="425"/>
      <c r="B24" s="453"/>
      <c r="C24" s="444"/>
      <c r="D24" s="445"/>
      <c r="E24" s="2596"/>
      <c r="F24" s="446"/>
      <c r="G24" s="2595"/>
      <c r="H24" s="445"/>
      <c r="I24" s="2596"/>
      <c r="J24" s="445"/>
      <c r="K24" s="612"/>
      <c r="L24" s="1135"/>
      <c r="M24" s="1126"/>
      <c r="N24" s="1126"/>
      <c r="O24" s="1126"/>
      <c r="P24" s="3252"/>
      <c r="Q24" s="1805"/>
      <c r="R24" s="771"/>
      <c r="S24" s="772"/>
      <c r="T24" s="771"/>
      <c r="U24" s="772"/>
      <c r="V24" s="771"/>
      <c r="W24" s="772"/>
      <c r="X24" s="1808"/>
      <c r="Y24" s="3245"/>
      <c r="Z24" s="1809"/>
      <c r="AA24" s="1806">
        <v>1</v>
      </c>
      <c r="AB24" s="1806">
        <v>1</v>
      </c>
      <c r="AC24" s="1806">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52"/>
      <c r="Q25" s="1805" t="str">
        <f t="shared" ref="Q25:Q46" si="11">B25</f>
        <v>临街状况</v>
      </c>
      <c r="R25" s="771" t="s">
        <v>17</v>
      </c>
      <c r="S25" s="772">
        <f>F25</f>
        <v>100</v>
      </c>
      <c r="T25" s="771" t="s">
        <v>17</v>
      </c>
      <c r="U25" s="772">
        <f>H25</f>
        <v>100</v>
      </c>
      <c r="V25" s="771" t="s">
        <v>17</v>
      </c>
      <c r="W25" s="772">
        <f>J25</f>
        <v>100</v>
      </c>
      <c r="X25" s="1808"/>
      <c r="Y25" s="3245"/>
      <c r="Z25" s="1809" t="str">
        <f>Q25</f>
        <v>临街状况</v>
      </c>
      <c r="AA25" s="1806">
        <f t="shared" si="3"/>
        <v>1</v>
      </c>
      <c r="AB25" s="1806">
        <f t="shared" si="4"/>
        <v>1</v>
      </c>
      <c r="AC25" s="1806">
        <f t="shared" si="5"/>
        <v>1</v>
      </c>
    </row>
    <row r="26" spans="1:29" ht="15">
      <c r="A26" s="425"/>
      <c r="B26" s="1381" t="s">
        <v>2643</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52"/>
      <c r="Q26" s="1805" t="str">
        <f t="shared" si="11"/>
        <v>平面位置/可视性</v>
      </c>
      <c r="R26" s="771" t="s">
        <v>17</v>
      </c>
      <c r="S26" s="772">
        <f>F26</f>
        <v>100</v>
      </c>
      <c r="T26" s="771" t="s">
        <v>17</v>
      </c>
      <c r="U26" s="772">
        <f>H26</f>
        <v>100</v>
      </c>
      <c r="V26" s="771" t="s">
        <v>17</v>
      </c>
      <c r="W26" s="772">
        <f>J26</f>
        <v>100</v>
      </c>
      <c r="X26" s="1808"/>
      <c r="Y26" s="3245"/>
      <c r="Z26" s="1809" t="str">
        <f>Q26</f>
        <v>平面位置/可视性</v>
      </c>
      <c r="AA26" s="1806">
        <f t="shared" si="3"/>
        <v>1</v>
      </c>
      <c r="AB26" s="1806">
        <f t="shared" si="4"/>
        <v>1</v>
      </c>
      <c r="AC26" s="1806">
        <f t="shared" si="5"/>
        <v>1</v>
      </c>
    </row>
    <row r="27" spans="1:29" s="114" customFormat="1" ht="15">
      <c r="A27" s="428"/>
      <c r="B27" s="448" t="s">
        <v>2644</v>
      </c>
      <c r="C27" s="2656"/>
      <c r="D27" s="459">
        <v>100</v>
      </c>
      <c r="E27" s="2656"/>
      <c r="F27" s="461">
        <f>SUMIF(90:90,E27,91:91)-SUMIF(90:90,C27,91:91)+100</f>
        <v>100</v>
      </c>
      <c r="G27" s="2656"/>
      <c r="H27" s="459">
        <f>SUMIF(90:90,G27,91:91)-SUMIF(90:90,C27,91:91)+100</f>
        <v>100</v>
      </c>
      <c r="I27" s="2656"/>
      <c r="J27" s="459">
        <f>SUMIF(90:90,I27,91:91)-SUMIF(90:90,C27,91:91)+100</f>
        <v>100</v>
      </c>
      <c r="K27" s="609"/>
      <c r="L27" s="1127"/>
      <c r="M27" s="1128"/>
      <c r="N27" s="1128"/>
      <c r="O27" s="1128"/>
      <c r="P27" s="3252"/>
      <c r="Q27" s="1790" t="str">
        <f t="shared" si="11"/>
        <v>人流量</v>
      </c>
      <c r="R27" s="767" t="s">
        <v>17</v>
      </c>
      <c r="S27" s="768">
        <f>F27</f>
        <v>100</v>
      </c>
      <c r="T27" s="767" t="s">
        <v>17</v>
      </c>
      <c r="U27" s="768">
        <f>H27</f>
        <v>100</v>
      </c>
      <c r="V27" s="767" t="s">
        <v>17</v>
      </c>
      <c r="W27" s="768">
        <f>J27</f>
        <v>100</v>
      </c>
      <c r="X27" s="769"/>
      <c r="Y27" s="3245"/>
      <c r="Z27" s="55" t="str">
        <f>Q27</f>
        <v>人流量</v>
      </c>
      <c r="AA27" s="1806">
        <f>D27/F27</f>
        <v>1</v>
      </c>
      <c r="AB27" s="1806">
        <f>D27/H27</f>
        <v>1</v>
      </c>
      <c r="AC27" s="1806">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52"/>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45"/>
      <c r="Z28" s="1809" t="str">
        <f t="shared" ref="Z28:Z46" si="15">Q28</f>
        <v>楼层</v>
      </c>
      <c r="AA28" s="1806">
        <f t="shared" si="3"/>
        <v>1</v>
      </c>
      <c r="AB28" s="1806">
        <f t="shared" si="4"/>
        <v>1</v>
      </c>
      <c r="AC28" s="1806">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52"/>
      <c r="Q29" s="1805">
        <f t="shared" si="11"/>
        <v>111</v>
      </c>
      <c r="R29" s="771" t="s">
        <v>17</v>
      </c>
      <c r="S29" s="772">
        <f t="shared" si="12"/>
        <v>100</v>
      </c>
      <c r="T29" s="771" t="s">
        <v>17</v>
      </c>
      <c r="U29" s="772">
        <f t="shared" si="13"/>
        <v>100</v>
      </c>
      <c r="V29" s="771" t="s">
        <v>17</v>
      </c>
      <c r="W29" s="772">
        <f t="shared" si="14"/>
        <v>100</v>
      </c>
      <c r="X29" s="1808"/>
      <c r="Y29" s="3245"/>
      <c r="Z29" s="1809">
        <f t="shared" si="15"/>
        <v>111</v>
      </c>
      <c r="AA29" s="1806">
        <f t="shared" si="3"/>
        <v>1</v>
      </c>
      <c r="AB29" s="1806">
        <f t="shared" si="4"/>
        <v>1</v>
      </c>
      <c r="AC29" s="1806">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52"/>
      <c r="Q30" s="1805">
        <f t="shared" si="11"/>
        <v>111</v>
      </c>
      <c r="R30" s="771" t="s">
        <v>17</v>
      </c>
      <c r="S30" s="772">
        <f t="shared" si="12"/>
        <v>100</v>
      </c>
      <c r="T30" s="771" t="s">
        <v>17</v>
      </c>
      <c r="U30" s="772">
        <f t="shared" si="13"/>
        <v>100</v>
      </c>
      <c r="V30" s="771" t="s">
        <v>17</v>
      </c>
      <c r="W30" s="772">
        <f t="shared" si="14"/>
        <v>100</v>
      </c>
      <c r="X30" s="1808"/>
      <c r="Y30" s="3245"/>
      <c r="Z30" s="1809">
        <f t="shared" si="15"/>
        <v>111</v>
      </c>
      <c r="AA30" s="1806">
        <f t="shared" si="3"/>
        <v>1</v>
      </c>
      <c r="AB30" s="1806">
        <f t="shared" si="4"/>
        <v>1</v>
      </c>
      <c r="AC30" s="1806">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52"/>
      <c r="Q31" s="1805">
        <f t="shared" si="11"/>
        <v>111</v>
      </c>
      <c r="R31" s="771" t="s">
        <v>17</v>
      </c>
      <c r="S31" s="772">
        <f t="shared" si="12"/>
        <v>100</v>
      </c>
      <c r="T31" s="771" t="s">
        <v>17</v>
      </c>
      <c r="U31" s="772">
        <f t="shared" si="13"/>
        <v>100</v>
      </c>
      <c r="V31" s="771" t="s">
        <v>17</v>
      </c>
      <c r="W31" s="772">
        <f t="shared" si="14"/>
        <v>100</v>
      </c>
      <c r="X31" s="1808"/>
      <c r="Y31" s="3245"/>
      <c r="Z31" s="1809">
        <f t="shared" si="15"/>
        <v>111</v>
      </c>
      <c r="AA31" s="1806">
        <f t="shared" si="3"/>
        <v>1</v>
      </c>
      <c r="AB31" s="1806">
        <f t="shared" si="4"/>
        <v>1</v>
      </c>
      <c r="AC31" s="1806">
        <f t="shared" si="5"/>
        <v>1</v>
      </c>
    </row>
    <row r="32" spans="1:29" ht="15">
      <c r="A32" s="437" t="s">
        <v>2549</v>
      </c>
      <c r="B32" s="71" t="s">
        <v>2646</v>
      </c>
      <c r="C32" s="2608"/>
      <c r="D32" s="464">
        <v>100</v>
      </c>
      <c r="E32" s="2608"/>
      <c r="F32" s="458">
        <f>SUMIF(100:100,E32,101:101)-SUMIF(100:100,C32,101:101)+100</f>
        <v>100</v>
      </c>
      <c r="G32" s="2608"/>
      <c r="H32" s="432">
        <f>SUMIF(100:100,G32,101:101)-SUMIF(100:100,C32,101:101)+100</f>
        <v>100</v>
      </c>
      <c r="I32" s="2608"/>
      <c r="J32" s="464">
        <f>SUMIF(100:100,I32,101:101)-SUMIF(100:100,C32,101:101)+100</f>
        <v>100</v>
      </c>
      <c r="K32" s="609"/>
      <c r="L32" s="1135"/>
      <c r="M32" s="1126"/>
      <c r="N32" s="1126"/>
      <c r="O32" s="1126"/>
      <c r="P32" s="3246" t="s">
        <v>2551</v>
      </c>
      <c r="Q32" s="1805" t="str">
        <f t="shared" si="11"/>
        <v>商业类型</v>
      </c>
      <c r="R32" s="771" t="s">
        <v>17</v>
      </c>
      <c r="S32" s="772">
        <f t="shared" si="12"/>
        <v>100</v>
      </c>
      <c r="T32" s="771" t="s">
        <v>17</v>
      </c>
      <c r="U32" s="772">
        <f t="shared" si="13"/>
        <v>100</v>
      </c>
      <c r="V32" s="771" t="s">
        <v>17</v>
      </c>
      <c r="W32" s="772">
        <f t="shared" si="14"/>
        <v>100</v>
      </c>
      <c r="X32" s="1808"/>
      <c r="Y32" s="3249" t="s">
        <v>2551</v>
      </c>
      <c r="Z32" s="1809" t="str">
        <f t="shared" si="15"/>
        <v>商业类型</v>
      </c>
      <c r="AA32" s="1806">
        <f t="shared" si="3"/>
        <v>1</v>
      </c>
      <c r="AB32" s="1806">
        <f t="shared" si="4"/>
        <v>1</v>
      </c>
      <c r="AC32" s="1806">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247"/>
      <c r="Q33" s="773" t="str">
        <f t="shared" si="11"/>
        <v>项目建筑规模</v>
      </c>
      <c r="R33" s="774" t="s">
        <v>17</v>
      </c>
      <c r="S33" s="775" t="e">
        <f t="shared" si="12"/>
        <v>#N/A</v>
      </c>
      <c r="T33" s="774" t="s">
        <v>17</v>
      </c>
      <c r="U33" s="775" t="e">
        <f t="shared" si="13"/>
        <v>#N/A</v>
      </c>
      <c r="V33" s="774" t="s">
        <v>17</v>
      </c>
      <c r="W33" s="775" t="e">
        <f t="shared" si="14"/>
        <v>#N/A</v>
      </c>
      <c r="X33" s="776"/>
      <c r="Y33" s="3249"/>
      <c r="Z33" s="777" t="str">
        <f t="shared" si="15"/>
        <v>项目建筑规模</v>
      </c>
      <c r="AA33" s="1806" t="e">
        <f t="shared" si="3"/>
        <v>#N/A</v>
      </c>
      <c r="AB33" s="1806" t="e">
        <f t="shared" si="4"/>
        <v>#N/A</v>
      </c>
      <c r="AC33" s="1806" t="e">
        <f t="shared" si="5"/>
        <v>#N/A</v>
      </c>
    </row>
    <row r="34" spans="1:29" ht="15">
      <c r="A34" s="469"/>
      <c r="B34" s="419" t="s">
        <v>2553</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5"/>
      <c r="M34" s="1126"/>
      <c r="N34" s="1126"/>
      <c r="O34" s="1126"/>
      <c r="P34" s="3247"/>
      <c r="Q34" s="1805" t="str">
        <f t="shared" si="11"/>
        <v>建筑结构</v>
      </c>
      <c r="R34" s="771" t="s">
        <v>17</v>
      </c>
      <c r="S34" s="772">
        <f t="shared" si="12"/>
        <v>100</v>
      </c>
      <c r="T34" s="771" t="s">
        <v>17</v>
      </c>
      <c r="U34" s="772">
        <f t="shared" si="13"/>
        <v>100</v>
      </c>
      <c r="V34" s="771" t="s">
        <v>17</v>
      </c>
      <c r="W34" s="772">
        <f t="shared" si="14"/>
        <v>100</v>
      </c>
      <c r="X34" s="1808"/>
      <c r="Y34" s="3249"/>
      <c r="Z34" s="1809" t="str">
        <f t="shared" si="15"/>
        <v>建筑结构</v>
      </c>
      <c r="AA34" s="1806">
        <f t="shared" si="3"/>
        <v>1</v>
      </c>
      <c r="AB34" s="1806">
        <f t="shared" si="4"/>
        <v>1</v>
      </c>
      <c r="AC34" s="1806">
        <f t="shared" si="5"/>
        <v>1</v>
      </c>
    </row>
    <row r="35" spans="1:29" ht="15">
      <c r="A35" s="469"/>
      <c r="B35" s="419" t="s">
        <v>2647</v>
      </c>
      <c r="C35" s="2604"/>
      <c r="D35" s="432">
        <v>100</v>
      </c>
      <c r="E35" s="2604"/>
      <c r="F35" s="458">
        <f>SUMIF(107:107,E35,108:108)-SUMIF(107:107,C35,108:108)+100</f>
        <v>100</v>
      </c>
      <c r="G35" s="2604"/>
      <c r="H35" s="432">
        <f>SUMIF(107:107,G35,108:108)-SUMIF(107:107,C35,108:108)+100</f>
        <v>100</v>
      </c>
      <c r="I35" s="2604"/>
      <c r="J35" s="432">
        <f>SUMIF(107:107,I35,108:108)-SUMIF(107:107,C35,108:108)+100</f>
        <v>100</v>
      </c>
      <c r="K35" s="609"/>
      <c r="L35" s="1135"/>
      <c r="M35" s="1126"/>
      <c r="N35" s="1126"/>
      <c r="O35" s="1126"/>
      <c r="P35" s="3247"/>
      <c r="Q35" s="1805" t="str">
        <f t="shared" si="11"/>
        <v>公共部分装修</v>
      </c>
      <c r="R35" s="771" t="s">
        <v>17</v>
      </c>
      <c r="S35" s="772">
        <f t="shared" si="12"/>
        <v>100</v>
      </c>
      <c r="T35" s="771" t="s">
        <v>17</v>
      </c>
      <c r="U35" s="772">
        <f t="shared" si="13"/>
        <v>100</v>
      </c>
      <c r="V35" s="771" t="s">
        <v>17</v>
      </c>
      <c r="W35" s="772">
        <f t="shared" si="14"/>
        <v>100</v>
      </c>
      <c r="X35" s="1808"/>
      <c r="Y35" s="3249"/>
      <c r="Z35" s="1809" t="str">
        <f t="shared" si="15"/>
        <v>公共部分装修</v>
      </c>
      <c r="AA35" s="1806">
        <f t="shared" si="3"/>
        <v>1</v>
      </c>
      <c r="AB35" s="1806">
        <f t="shared" si="4"/>
        <v>1</v>
      </c>
      <c r="AC35" s="1806">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47"/>
      <c r="Q36" s="1805" t="str">
        <f t="shared" si="11"/>
        <v>成新度</v>
      </c>
      <c r="R36" s="771" t="s">
        <v>17</v>
      </c>
      <c r="S36" s="772" t="e">
        <f t="shared" si="12"/>
        <v>#N/A</v>
      </c>
      <c r="T36" s="771" t="s">
        <v>17</v>
      </c>
      <c r="U36" s="772" t="e">
        <f t="shared" si="13"/>
        <v>#N/A</v>
      </c>
      <c r="V36" s="771" t="s">
        <v>17</v>
      </c>
      <c r="W36" s="772" t="e">
        <f t="shared" si="14"/>
        <v>#N/A</v>
      </c>
      <c r="X36" s="1808"/>
      <c r="Y36" s="3249"/>
      <c r="Z36" s="1809" t="str">
        <f t="shared" si="15"/>
        <v>成新度</v>
      </c>
      <c r="AA36" s="1806" t="e">
        <f t="shared" si="3"/>
        <v>#N/A</v>
      </c>
      <c r="AB36" s="1806" t="e">
        <f t="shared" si="4"/>
        <v>#N/A</v>
      </c>
      <c r="AC36" s="1806" t="e">
        <f t="shared" si="5"/>
        <v>#N/A</v>
      </c>
    </row>
    <row r="37" spans="1:29" s="114" customFormat="1" ht="15">
      <c r="A37" s="470"/>
      <c r="B37" s="419" t="s">
        <v>2649</v>
      </c>
      <c r="C37" s="2604"/>
      <c r="D37" s="133">
        <v>100</v>
      </c>
      <c r="E37" s="2604"/>
      <c r="F37" s="458">
        <f>SUMIF(112:112,E37,113:113)-SUMIF(112:112,C37,113:113)+100</f>
        <v>100</v>
      </c>
      <c r="G37" s="2604"/>
      <c r="H37" s="432">
        <f>SUMIF(112:112,G37,113:113)-SUMIF(112:112,C37,113:113)+100</f>
        <v>100</v>
      </c>
      <c r="I37" s="2604"/>
      <c r="J37" s="432">
        <f>SUMIF(112:112,I37,113:113)-SUMIF(112:112,C37,113:113)+100</f>
        <v>100</v>
      </c>
      <c r="K37" s="609"/>
      <c r="L37" s="1127"/>
      <c r="M37" s="1128"/>
      <c r="N37" s="1128"/>
      <c r="O37" s="1128"/>
      <c r="P37" s="3247"/>
      <c r="Q37" s="1790" t="str">
        <f t="shared" si="11"/>
        <v>市政基础设施</v>
      </c>
      <c r="R37" s="767" t="s">
        <v>17</v>
      </c>
      <c r="S37" s="768">
        <f t="shared" si="12"/>
        <v>100</v>
      </c>
      <c r="T37" s="767" t="s">
        <v>17</v>
      </c>
      <c r="U37" s="768">
        <f t="shared" si="13"/>
        <v>100</v>
      </c>
      <c r="V37" s="767" t="s">
        <v>17</v>
      </c>
      <c r="W37" s="768">
        <f t="shared" si="14"/>
        <v>100</v>
      </c>
      <c r="X37" s="769"/>
      <c r="Y37" s="3249"/>
      <c r="Z37" s="55" t="str">
        <f t="shared" si="15"/>
        <v>市政基础设施</v>
      </c>
      <c r="AA37" s="770">
        <f t="shared" si="3"/>
        <v>1</v>
      </c>
      <c r="AB37" s="770">
        <f t="shared" si="4"/>
        <v>1</v>
      </c>
      <c r="AC37" s="770">
        <f t="shared" si="5"/>
        <v>1</v>
      </c>
    </row>
    <row r="38" spans="1:29" ht="15">
      <c r="A38" s="469"/>
      <c r="B38" s="419" t="s">
        <v>2650</v>
      </c>
      <c r="C38" s="2604"/>
      <c r="D38" s="432">
        <v>100</v>
      </c>
      <c r="E38" s="2604"/>
      <c r="F38" s="458">
        <f>SUMIF(114:114,E38,115:115)-SUMIF(114:114,C38,115:115)+100</f>
        <v>100</v>
      </c>
      <c r="G38" s="2604"/>
      <c r="H38" s="432">
        <f>SUMIF(114:114,G38,115:115)-SUMIF(114:114,C38,115:115)+100</f>
        <v>100</v>
      </c>
      <c r="I38" s="2604"/>
      <c r="J38" s="432">
        <f>SUMIF(114:114,I38,115:115)-SUMIF(114:114,C38,115:115)+100</f>
        <v>100</v>
      </c>
      <c r="K38" s="609"/>
      <c r="L38" s="1135"/>
      <c r="M38" s="1126"/>
      <c r="N38" s="1126"/>
      <c r="O38" s="1126"/>
      <c r="P38" s="3247" t="s">
        <v>2551</v>
      </c>
      <c r="Q38" s="1805" t="str">
        <f t="shared" si="11"/>
        <v>业态</v>
      </c>
      <c r="R38" s="771" t="s">
        <v>17</v>
      </c>
      <c r="S38" s="772">
        <f t="shared" si="12"/>
        <v>100</v>
      </c>
      <c r="T38" s="771" t="s">
        <v>17</v>
      </c>
      <c r="U38" s="772">
        <f t="shared" si="13"/>
        <v>100</v>
      </c>
      <c r="V38" s="771" t="s">
        <v>17</v>
      </c>
      <c r="W38" s="772">
        <f t="shared" si="14"/>
        <v>100</v>
      </c>
      <c r="X38" s="1808"/>
      <c r="Y38" s="3249" t="s">
        <v>2551</v>
      </c>
      <c r="Z38" s="1809" t="str">
        <f t="shared" si="15"/>
        <v>业态</v>
      </c>
      <c r="AA38" s="1806">
        <f t="shared" si="3"/>
        <v>1</v>
      </c>
      <c r="AB38" s="1806">
        <f t="shared" si="4"/>
        <v>1</v>
      </c>
      <c r="AC38" s="1806">
        <f t="shared" si="5"/>
        <v>1</v>
      </c>
    </row>
    <row r="39" spans="1:29" ht="15">
      <c r="A39" s="469"/>
      <c r="B39" s="419" t="s">
        <v>2651</v>
      </c>
      <c r="C39" s="2604"/>
      <c r="D39" s="432">
        <v>100</v>
      </c>
      <c r="E39" s="2604"/>
      <c r="F39" s="458">
        <f>SUMIF(116:116,E39,117:117)-SUMIF(116:116,C39,117:117)+100</f>
        <v>100</v>
      </c>
      <c r="G39" s="2604"/>
      <c r="H39" s="432">
        <f>SUMIF(116:116,G39,117:117)-SUMIF(116:116,C39,117:117)+100</f>
        <v>100</v>
      </c>
      <c r="I39" s="2604"/>
      <c r="J39" s="432">
        <f>SUMIF(116:116,I39,117:117)-SUMIF(116:116,C39,117:117)+100</f>
        <v>100</v>
      </c>
      <c r="K39" s="609"/>
      <c r="L39" s="1135"/>
      <c r="M39" s="1126"/>
      <c r="N39" s="1126"/>
      <c r="O39" s="1126"/>
      <c r="P39" s="3247"/>
      <c r="Q39" s="1805" t="str">
        <f t="shared" si="11"/>
        <v>层高</v>
      </c>
      <c r="R39" s="771" t="s">
        <v>17</v>
      </c>
      <c r="S39" s="772">
        <f t="shared" si="12"/>
        <v>100</v>
      </c>
      <c r="T39" s="771" t="s">
        <v>17</v>
      </c>
      <c r="U39" s="772">
        <f t="shared" si="13"/>
        <v>100</v>
      </c>
      <c r="V39" s="771" t="s">
        <v>17</v>
      </c>
      <c r="W39" s="772">
        <f t="shared" si="14"/>
        <v>100</v>
      </c>
      <c r="X39" s="1808"/>
      <c r="Y39" s="3249"/>
      <c r="Z39" s="1809" t="str">
        <f t="shared" si="15"/>
        <v>层高</v>
      </c>
      <c r="AA39" s="1806">
        <f t="shared" si="3"/>
        <v>1</v>
      </c>
      <c r="AB39" s="1806">
        <f t="shared" si="4"/>
        <v>1</v>
      </c>
      <c r="AC39" s="1806">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47"/>
      <c r="Q40" s="1805" t="str">
        <f t="shared" si="11"/>
        <v>单套建筑面积</v>
      </c>
      <c r="R40" s="771" t="s">
        <v>17</v>
      </c>
      <c r="S40" s="772">
        <f t="shared" si="12"/>
        <v>100</v>
      </c>
      <c r="T40" s="771" t="s">
        <v>17</v>
      </c>
      <c r="U40" s="772">
        <f t="shared" si="13"/>
        <v>100</v>
      </c>
      <c r="V40" s="771" t="s">
        <v>17</v>
      </c>
      <c r="W40" s="772">
        <f t="shared" si="14"/>
        <v>100</v>
      </c>
      <c r="X40" s="1808"/>
      <c r="Y40" s="3249"/>
      <c r="Z40" s="1809" t="str">
        <f t="shared" si="15"/>
        <v>单套建筑面积</v>
      </c>
      <c r="AA40" s="1806">
        <f t="shared" si="3"/>
        <v>1</v>
      </c>
      <c r="AB40" s="1806">
        <f t="shared" si="4"/>
        <v>1</v>
      </c>
      <c r="AC40" s="1806">
        <f t="shared" si="5"/>
        <v>1</v>
      </c>
    </row>
    <row r="41" spans="1:29" s="468" customFormat="1" ht="15">
      <c r="A41" s="465"/>
      <c r="B41" s="1807"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47"/>
      <c r="Q41" s="773" t="str">
        <f t="shared" si="11"/>
        <v>进深比</v>
      </c>
      <c r="R41" s="774" t="s">
        <v>17</v>
      </c>
      <c r="S41" s="775">
        <f t="shared" si="12"/>
        <v>100</v>
      </c>
      <c r="T41" s="774" t="s">
        <v>17</v>
      </c>
      <c r="U41" s="775">
        <f t="shared" si="13"/>
        <v>100</v>
      </c>
      <c r="V41" s="774" t="s">
        <v>17</v>
      </c>
      <c r="W41" s="775">
        <f t="shared" si="14"/>
        <v>100</v>
      </c>
      <c r="X41" s="776"/>
      <c r="Y41" s="3249"/>
      <c r="Z41" s="777" t="str">
        <f t="shared" si="15"/>
        <v>进深比</v>
      </c>
      <c r="AA41" s="1806">
        <f t="shared" si="3"/>
        <v>1</v>
      </c>
      <c r="AB41" s="1806">
        <f t="shared" si="4"/>
        <v>1</v>
      </c>
      <c r="AC41" s="1806">
        <f t="shared" si="5"/>
        <v>1</v>
      </c>
    </row>
    <row r="42" spans="1:29" ht="15">
      <c r="A42" s="469"/>
      <c r="B42" s="419" t="s">
        <v>2654</v>
      </c>
      <c r="C42" s="2604"/>
      <c r="D42" s="432">
        <v>100</v>
      </c>
      <c r="E42" s="2604"/>
      <c r="F42" s="458">
        <f>SUMIF(122:122,E42,123:123)-SUMIF(122:122,C42,123:123)+100</f>
        <v>100</v>
      </c>
      <c r="G42" s="2604"/>
      <c r="H42" s="432">
        <f>SUMIF(122:122,G42,123:123)-SUMIF(122:122,C42,123:123)+100</f>
        <v>100</v>
      </c>
      <c r="I42" s="2604"/>
      <c r="J42" s="432">
        <f>SUMIF(122:122,I42,123:123)-SUMIF(122:122,C42,123:123)+100</f>
        <v>100</v>
      </c>
      <c r="K42" s="609"/>
      <c r="L42" s="1135"/>
      <c r="M42" s="1126"/>
      <c r="N42" s="1126"/>
      <c r="O42" s="1126"/>
      <c r="P42" s="3247"/>
      <c r="Q42" s="1805" t="str">
        <f t="shared" si="11"/>
        <v>内部装修</v>
      </c>
      <c r="R42" s="771" t="s">
        <v>17</v>
      </c>
      <c r="S42" s="772">
        <f t="shared" si="12"/>
        <v>100</v>
      </c>
      <c r="T42" s="771" t="s">
        <v>17</v>
      </c>
      <c r="U42" s="772">
        <f t="shared" si="13"/>
        <v>100</v>
      </c>
      <c r="V42" s="771" t="s">
        <v>17</v>
      </c>
      <c r="W42" s="772">
        <f t="shared" si="14"/>
        <v>100</v>
      </c>
      <c r="X42" s="1808"/>
      <c r="Y42" s="3249"/>
      <c r="Z42" s="1809" t="str">
        <f t="shared" si="15"/>
        <v>内部装修</v>
      </c>
      <c r="AA42" s="1806">
        <f t="shared" si="3"/>
        <v>1</v>
      </c>
      <c r="AB42" s="1806">
        <f t="shared" si="4"/>
        <v>1</v>
      </c>
      <c r="AC42" s="1806">
        <f t="shared" si="5"/>
        <v>1</v>
      </c>
    </row>
    <row r="43" spans="1:29" ht="15">
      <c r="A43" s="469"/>
      <c r="B43" s="419" t="s">
        <v>2562</v>
      </c>
      <c r="C43" s="2604"/>
      <c r="D43" s="432">
        <v>100</v>
      </c>
      <c r="E43" s="2604"/>
      <c r="F43" s="458">
        <f>SUMIF(124:124,E43,125:125)-SUMIF(124:124,C43,125:125)+100</f>
        <v>100</v>
      </c>
      <c r="G43" s="2604"/>
      <c r="H43" s="432">
        <f>SUMIF(124:124,G43,125:125)-SUMIF(124:124,C43,125:125)+100</f>
        <v>100</v>
      </c>
      <c r="I43" s="2604"/>
      <c r="J43" s="432">
        <f>SUMIF(124:124,I43,125:125)-SUMIF(124:124,C43,125:125)+100</f>
        <v>100</v>
      </c>
      <c r="K43" s="609"/>
      <c r="L43" s="1135"/>
      <c r="M43" s="1126"/>
      <c r="N43" s="1126"/>
      <c r="O43" s="1126"/>
      <c r="P43" s="3247"/>
      <c r="Q43" s="1805" t="str">
        <f t="shared" si="11"/>
        <v>内部装修维护情况</v>
      </c>
      <c r="R43" s="771" t="s">
        <v>17</v>
      </c>
      <c r="S43" s="772">
        <f t="shared" si="12"/>
        <v>100</v>
      </c>
      <c r="T43" s="771" t="s">
        <v>17</v>
      </c>
      <c r="U43" s="772">
        <f t="shared" si="13"/>
        <v>100</v>
      </c>
      <c r="V43" s="771" t="s">
        <v>17</v>
      </c>
      <c r="W43" s="772">
        <f t="shared" si="14"/>
        <v>100</v>
      </c>
      <c r="X43" s="1808"/>
      <c r="Y43" s="3249"/>
      <c r="Z43" s="1809" t="str">
        <f t="shared" si="15"/>
        <v>内部装修维护情况</v>
      </c>
      <c r="AA43" s="1806">
        <f t="shared" si="3"/>
        <v>1</v>
      </c>
      <c r="AB43" s="1806">
        <f t="shared" si="4"/>
        <v>1</v>
      </c>
      <c r="AC43" s="1806">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247"/>
      <c r="Q44" s="1790">
        <f t="shared" si="11"/>
        <v>111</v>
      </c>
      <c r="R44" s="767" t="s">
        <v>17</v>
      </c>
      <c r="S44" s="768">
        <f t="shared" si="12"/>
        <v>100</v>
      </c>
      <c r="T44" s="767" t="s">
        <v>17</v>
      </c>
      <c r="U44" s="768">
        <f t="shared" si="13"/>
        <v>100</v>
      </c>
      <c r="V44" s="767" t="s">
        <v>17</v>
      </c>
      <c r="W44" s="768">
        <f t="shared" si="14"/>
        <v>100</v>
      </c>
      <c r="X44" s="769"/>
      <c r="Y44" s="3249"/>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47"/>
      <c r="Q45" s="1805">
        <f t="shared" si="11"/>
        <v>111</v>
      </c>
      <c r="R45" s="771" t="s">
        <v>17</v>
      </c>
      <c r="S45" s="772">
        <f t="shared" si="12"/>
        <v>100</v>
      </c>
      <c r="T45" s="771" t="s">
        <v>17</v>
      </c>
      <c r="U45" s="772">
        <f t="shared" si="13"/>
        <v>100</v>
      </c>
      <c r="V45" s="771" t="s">
        <v>17</v>
      </c>
      <c r="W45" s="772">
        <f t="shared" si="14"/>
        <v>100</v>
      </c>
      <c r="X45" s="1808"/>
      <c r="Y45" s="3249"/>
      <c r="Z45" s="1809">
        <f t="shared" si="15"/>
        <v>111</v>
      </c>
      <c r="AA45" s="1806">
        <f t="shared" si="3"/>
        <v>1</v>
      </c>
      <c r="AB45" s="1806">
        <f t="shared" si="4"/>
        <v>1</v>
      </c>
      <c r="AC45" s="1806">
        <f t="shared" si="5"/>
        <v>1</v>
      </c>
    </row>
    <row r="46" spans="1:29" ht="15.75" thickBot="1">
      <c r="A46" s="475"/>
      <c r="B46" s="259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48"/>
      <c r="Q46" s="1805">
        <f t="shared" si="11"/>
        <v>111</v>
      </c>
      <c r="R46" s="771" t="s">
        <v>17</v>
      </c>
      <c r="S46" s="772">
        <f t="shared" si="12"/>
        <v>100</v>
      </c>
      <c r="T46" s="771" t="s">
        <v>17</v>
      </c>
      <c r="U46" s="772">
        <f t="shared" si="13"/>
        <v>100</v>
      </c>
      <c r="V46" s="771" t="s">
        <v>17</v>
      </c>
      <c r="W46" s="772">
        <f t="shared" si="14"/>
        <v>100</v>
      </c>
      <c r="X46" s="1808"/>
      <c r="Y46" s="3250"/>
      <c r="Z46" s="1809">
        <f t="shared" si="15"/>
        <v>111</v>
      </c>
      <c r="AA46" s="1806">
        <f t="shared" si="3"/>
        <v>1</v>
      </c>
      <c r="AB46" s="1806">
        <f t="shared" si="4"/>
        <v>1</v>
      </c>
      <c r="AC46" s="1806">
        <f t="shared" si="5"/>
        <v>1</v>
      </c>
    </row>
    <row r="47" spans="1:29" ht="15">
      <c r="A47" s="476" t="s">
        <v>2563</v>
      </c>
      <c r="B47" s="477"/>
      <c r="C47" s="1402" t="s">
        <v>1</v>
      </c>
      <c r="D47" s="1403"/>
      <c r="E47" s="1404"/>
      <c r="F47" s="1405"/>
      <c r="G47" s="1406"/>
      <c r="H47" s="1407"/>
      <c r="I47" s="1404"/>
      <c r="J47" s="1407"/>
      <c r="K47" s="780"/>
      <c r="L47" s="1138"/>
      <c r="M47" s="1139"/>
      <c r="N47" s="1126"/>
      <c r="O47" s="1139"/>
      <c r="P47" s="3242" t="str">
        <f>A47</f>
        <v>成交单价（元/平方米）</v>
      </c>
      <c r="Q47" s="3242"/>
      <c r="R47" s="3237">
        <f>E47</f>
        <v>0</v>
      </c>
      <c r="S47" s="3237"/>
      <c r="T47" s="3237">
        <f>G47</f>
        <v>0</v>
      </c>
      <c r="U47" s="3237"/>
      <c r="V47" s="3237">
        <f>I47</f>
        <v>0</v>
      </c>
      <c r="W47" s="3237"/>
      <c r="X47" s="756"/>
      <c r="Y47" s="778"/>
      <c r="Z47" s="756"/>
      <c r="AA47" s="756"/>
      <c r="AB47" s="756"/>
      <c r="AC47" s="756"/>
    </row>
    <row r="48" spans="1:29" ht="15.75" thickBot="1">
      <c r="A48" s="483" t="s">
        <v>2655</v>
      </c>
      <c r="B48" s="484"/>
      <c r="C48" s="1408" t="e">
        <f>R49</f>
        <v>#DIV/0!</v>
      </c>
      <c r="D48" s="1409"/>
      <c r="E48" s="1410" t="e">
        <f>R48</f>
        <v>#DIV/0!</v>
      </c>
      <c r="F48" s="1410"/>
      <c r="G48" s="1408" t="e">
        <f>T48</f>
        <v>#DIV/0!</v>
      </c>
      <c r="H48" s="1409"/>
      <c r="I48" s="1410" t="e">
        <f>V48</f>
        <v>#DIV/0!</v>
      </c>
      <c r="J48" s="1409"/>
      <c r="K48" s="781"/>
      <c r="L48" s="1138"/>
      <c r="M48" s="1139"/>
      <c r="N48" s="1126"/>
      <c r="O48" s="1139"/>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6"/>
      <c r="Y48" s="756"/>
      <c r="Z48" s="756"/>
      <c r="AA48" s="756"/>
      <c r="AB48" s="756"/>
      <c r="AC48" s="756"/>
    </row>
    <row r="49" spans="1:29" ht="15.75" thickBot="1">
      <c r="A49" s="489" t="s">
        <v>2656</v>
      </c>
      <c r="B49" s="490"/>
      <c r="C49" s="1412" t="e">
        <f>R49</f>
        <v>#DIV/0!</v>
      </c>
      <c r="D49" s="1412"/>
      <c r="E49" s="1412"/>
      <c r="F49" s="1412"/>
      <c r="G49" s="1412"/>
      <c r="H49" s="1412"/>
      <c r="I49" s="1412"/>
      <c r="J49" s="1412"/>
      <c r="K49" s="782"/>
      <c r="L49" s="1138"/>
      <c r="M49" s="1139"/>
      <c r="N49" s="1126"/>
      <c r="O49" s="1139"/>
      <c r="P49" s="3239" t="str">
        <f>A49</f>
        <v>估价对象XX用房的比较价值（楼面单价，元/平方米）</v>
      </c>
      <c r="Q49" s="3240"/>
      <c r="R49" s="3241" t="e">
        <f>IF(F1="售价",ROUND(AVERAGE(R48:V48),0),ROUND(AVERAGE(R48:V48),1))</f>
        <v>#DIV/0!</v>
      </c>
      <c r="S49" s="3241"/>
      <c r="T49" s="3241"/>
      <c r="U49" s="3241"/>
      <c r="V49" s="3241"/>
      <c r="W49" s="3241"/>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5" customFormat="1" ht="15">
      <c r="A58" s="502" t="s">
        <v>2534</v>
      </c>
      <c r="B58" s="503"/>
      <c r="C58" s="1569" t="str">
        <f>YEAR(C7)&amp;"-"&amp;MONTH(C7)</f>
        <v>2018-1</v>
      </c>
      <c r="D58" s="1570">
        <f>EDATE(C58,-1)</f>
        <v>43070</v>
      </c>
      <c r="E58" s="1570">
        <f t="shared" ref="E58:N58" si="16">EDATE(D58,-1)</f>
        <v>43040</v>
      </c>
      <c r="F58" s="1570">
        <f t="shared" si="16"/>
        <v>43009</v>
      </c>
      <c r="G58" s="1570">
        <f t="shared" si="16"/>
        <v>42979</v>
      </c>
      <c r="H58" s="1570">
        <f t="shared" si="16"/>
        <v>42948</v>
      </c>
      <c r="I58" s="1570">
        <f t="shared" si="16"/>
        <v>42917</v>
      </c>
      <c r="J58" s="1570">
        <f t="shared" si="16"/>
        <v>42887</v>
      </c>
      <c r="K58" s="1570">
        <f t="shared" si="16"/>
        <v>42856</v>
      </c>
      <c r="L58" s="1570">
        <f t="shared" si="16"/>
        <v>42826</v>
      </c>
      <c r="M58" s="1570">
        <f t="shared" si="16"/>
        <v>42795</v>
      </c>
      <c r="N58" s="1570">
        <f t="shared" si="16"/>
        <v>42767</v>
      </c>
      <c r="O58" s="1570">
        <f>EDATE(N58,-1)</f>
        <v>42736</v>
      </c>
      <c r="P58" s="1565"/>
    </row>
    <row r="59" spans="1:29" s="114" customFormat="1" ht="15">
      <c r="A59" s="506"/>
      <c r="B59" s="507"/>
      <c r="C59" s="1568">
        <v>100</v>
      </c>
      <c r="D59" s="509"/>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2536</v>
      </c>
      <c r="B61" s="507"/>
      <c r="C61" s="519" t="s">
        <v>2638</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1"/>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33"/>
      <c r="E73" s="533"/>
      <c r="F73" s="533"/>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2641</v>
      </c>
      <c r="C82" s="657" t="s">
        <v>2661</v>
      </c>
      <c r="D82" s="657" t="s">
        <v>2662</v>
      </c>
      <c r="E82" s="657" t="s">
        <v>2663</v>
      </c>
      <c r="F82" s="657" t="s">
        <v>2664</v>
      </c>
      <c r="G82" s="657" t="s">
        <v>2665</v>
      </c>
      <c r="H82" s="536"/>
      <c r="I82" s="536"/>
      <c r="J82" s="536"/>
      <c r="K82" s="536"/>
      <c r="L82" s="536"/>
      <c r="M82" s="1377"/>
      <c r="N82" s="1148"/>
      <c r="O82" s="1148"/>
      <c r="P82" s="262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2666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1"/>
      <c r="Q87" s="501"/>
    </row>
    <row r="88" spans="1:17" s="114" customFormat="1" ht="15.75" thickTop="1">
      <c r="A88" s="576"/>
      <c r="B88" s="535" t="str">
        <f>B26</f>
        <v>平面位置/可视性</v>
      </c>
      <c r="C88" s="551"/>
      <c r="D88" s="551"/>
      <c r="E88" s="551"/>
      <c r="F88" s="2626"/>
      <c r="G88" s="551"/>
      <c r="H88" s="551"/>
      <c r="I88" s="551"/>
      <c r="J88" s="551"/>
      <c r="K88" s="551"/>
      <c r="L88" s="551"/>
      <c r="M88" s="578"/>
      <c r="N88" s="1146"/>
      <c r="O88" s="1146"/>
      <c r="P88" s="2621"/>
      <c r="Q88" s="501"/>
    </row>
    <row r="89" spans="1:17" s="114" customFormat="1" ht="15.75" thickBot="1">
      <c r="A89" s="576"/>
      <c r="B89" s="540"/>
      <c r="C89" s="557"/>
      <c r="D89" s="533"/>
      <c r="E89" s="533"/>
      <c r="F89" s="533"/>
      <c r="G89" s="533"/>
      <c r="H89" s="533"/>
      <c r="I89" s="533"/>
      <c r="J89" s="533"/>
      <c r="K89" s="533"/>
      <c r="L89" s="533"/>
      <c r="M89" s="533"/>
      <c r="N89" s="1148"/>
      <c r="O89" s="1148"/>
      <c r="P89" s="262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2"/>
      <c r="Q91" s="556"/>
    </row>
    <row r="92" spans="1:17" ht="15.75" thickTop="1">
      <c r="A92" s="531"/>
      <c r="B92" s="535" t="str">
        <f>B28</f>
        <v>楼层</v>
      </c>
      <c r="C92" s="551"/>
      <c r="D92" s="551"/>
      <c r="E92" s="551"/>
      <c r="F92" s="551"/>
      <c r="G92" s="551"/>
      <c r="H92" s="551"/>
      <c r="I92" s="551"/>
      <c r="J92" s="551"/>
      <c r="K92" s="551"/>
      <c r="L92" s="577"/>
      <c r="M92" s="578"/>
      <c r="N92" s="1147"/>
      <c r="O92" s="1147"/>
      <c r="P92" s="2621"/>
      <c r="Q92" s="501"/>
    </row>
    <row r="93" spans="1:17" ht="15.75" thickBot="1">
      <c r="A93" s="531"/>
      <c r="B93" s="540"/>
      <c r="C93" s="533"/>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33"/>
      <c r="E95" s="533"/>
      <c r="F95" s="533"/>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57"/>
      <c r="D97" s="533"/>
      <c r="E97" s="533"/>
      <c r="F97" s="533"/>
      <c r="G97" s="533"/>
      <c r="H97" s="533"/>
      <c r="I97" s="533"/>
      <c r="J97" s="533"/>
      <c r="K97" s="533"/>
      <c r="L97" s="533"/>
      <c r="M97" s="534"/>
      <c r="N97" s="1148"/>
      <c r="O97" s="1148"/>
      <c r="P97" s="2621"/>
      <c r="Q97" s="501"/>
    </row>
    <row r="98" spans="1:17" ht="15.75" thickTop="1">
      <c r="A98" s="531"/>
      <c r="B98" s="543">
        <f>B31</f>
        <v>111</v>
      </c>
      <c r="C98" s="551"/>
      <c r="D98" s="551"/>
      <c r="E98" s="551"/>
      <c r="F98" s="551"/>
      <c r="G98" s="584"/>
      <c r="H98" s="584"/>
      <c r="I98" s="584"/>
      <c r="J98" s="584"/>
      <c r="K98" s="585"/>
      <c r="L98" s="586"/>
      <c r="M98" s="587"/>
      <c r="N98" s="1147"/>
      <c r="O98" s="1147"/>
      <c r="P98" s="2621"/>
      <c r="Q98" s="501"/>
    </row>
    <row r="99" spans="1:17" ht="15.75" thickBot="1">
      <c r="A99" s="2627"/>
      <c r="B99" s="566"/>
      <c r="C99" s="567"/>
      <c r="D99" s="567"/>
      <c r="E99" s="567"/>
      <c r="F99" s="567"/>
      <c r="G99" s="588"/>
      <c r="H99" s="588"/>
      <c r="I99" s="588"/>
      <c r="J99" s="588"/>
      <c r="K99" s="588"/>
      <c r="L99" s="588"/>
      <c r="M99" s="589"/>
      <c r="N99" s="1148"/>
      <c r="O99" s="1148"/>
      <c r="P99" s="2621"/>
      <c r="Q99" s="501"/>
    </row>
    <row r="100" spans="1:17">
      <c r="A100" s="524" t="s">
        <v>2549</v>
      </c>
      <c r="B100" s="525" t="s">
        <v>2667</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1"/>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1"/>
      <c r="Q106" s="501"/>
    </row>
    <row r="107" spans="1:17" ht="15" thickTop="1">
      <c r="A107" s="596"/>
      <c r="B107" s="535" t="s">
        <v>2602</v>
      </c>
      <c r="C107" s="551"/>
      <c r="D107" s="551"/>
      <c r="E107" s="551"/>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1"/>
      <c r="Q108" s="501"/>
    </row>
    <row r="109" spans="1:17" ht="15" thickTop="1">
      <c r="A109" s="596"/>
      <c r="B109" s="535" t="s">
        <v>1981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1"/>
      <c r="Q111" s="501"/>
    </row>
    <row r="112" spans="1:17" s="468" customFormat="1" ht="15" thickTop="1">
      <c r="A112" s="590"/>
      <c r="B112" s="535" t="s">
        <v>2604</v>
      </c>
      <c r="C112" s="551"/>
      <c r="D112" s="551"/>
      <c r="E112" s="551"/>
      <c r="F112" s="551"/>
      <c r="G112" s="551"/>
      <c r="H112" s="580"/>
      <c r="I112" s="580"/>
      <c r="J112" s="580"/>
      <c r="K112" s="581"/>
      <c r="L112" s="582"/>
      <c r="M112" s="583"/>
      <c r="N112" s="1149"/>
      <c r="O112" s="1149"/>
      <c r="P112" s="262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2"/>
      <c r="Q113" s="556"/>
    </row>
    <row r="114" spans="1:17" ht="15" thickTop="1">
      <c r="A114" s="596"/>
      <c r="B114" s="535" t="s">
        <v>2668</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1"/>
      <c r="Q115" s="501"/>
    </row>
    <row r="116" spans="1:17" ht="15" thickTop="1">
      <c r="A116" s="596"/>
      <c r="B116" s="535" t="s">
        <v>2669</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2670</v>
      </c>
      <c r="C118" s="624"/>
      <c r="D118" s="624"/>
      <c r="E118" s="624"/>
      <c r="F118" s="624"/>
      <c r="G118" s="624"/>
      <c r="H118" s="552"/>
      <c r="I118" s="552"/>
      <c r="J118" s="552"/>
      <c r="K118" s="552"/>
      <c r="L118" s="553"/>
      <c r="M118" s="554"/>
      <c r="N118" s="1147"/>
      <c r="O118" s="1147"/>
      <c r="P118" s="2621"/>
      <c r="Q118" s="501"/>
    </row>
    <row r="119" spans="1:17" ht="15.75" thickBot="1">
      <c r="A119" s="531"/>
      <c r="B119" s="540"/>
      <c r="C119" s="557"/>
      <c r="D119" s="533"/>
      <c r="E119" s="533"/>
      <c r="F119" s="533"/>
      <c r="G119" s="533"/>
      <c r="H119" s="533"/>
      <c r="I119" s="533"/>
      <c r="J119" s="533"/>
      <c r="K119" s="533"/>
      <c r="L119" s="533"/>
      <c r="M119" s="534"/>
      <c r="N119" s="1148"/>
      <c r="O119" s="1148"/>
      <c r="P119" s="2621"/>
      <c r="Q119" s="501"/>
    </row>
    <row r="120" spans="1:17" s="468" customFormat="1" ht="15" thickTop="1">
      <c r="A120" s="590"/>
      <c r="B120" s="535" t="s">
        <v>2671</v>
      </c>
      <c r="C120" s="580"/>
      <c r="D120" s="580"/>
      <c r="E120" s="580"/>
      <c r="F120" s="580"/>
      <c r="G120" s="552"/>
      <c r="H120" s="552"/>
      <c r="I120" s="552"/>
      <c r="J120" s="552"/>
      <c r="K120" s="552"/>
      <c r="L120" s="553"/>
      <c r="M120" s="554"/>
      <c r="N120" s="1149"/>
      <c r="O120" s="1149"/>
      <c r="P120" s="262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33"/>
      <c r="E129" s="533"/>
      <c r="F129" s="533"/>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2630</v>
      </c>
      <c r="D3" s="396">
        <f>IF(D1="",'数据-汇总表'!E3,SUMIF('数据-汇总表'!$C19:$C33,D1,'数据-汇总表'!$E19:$E33))</f>
        <v>3130.82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92" t="s">
        <v>2637</v>
      </c>
      <c r="Q4" s="3293"/>
      <c r="R4" s="3287" t="s">
        <v>2633</v>
      </c>
      <c r="S4" s="3288"/>
      <c r="T4" s="3287" t="s">
        <v>2634</v>
      </c>
      <c r="U4" s="3288"/>
      <c r="V4" s="3296" t="s">
        <v>2635</v>
      </c>
      <c r="W4" s="3296"/>
      <c r="X4" s="2661"/>
      <c r="Y4" s="3287" t="s">
        <v>2637</v>
      </c>
      <c r="Z4" s="3288"/>
      <c r="AA4" s="3286" t="s">
        <v>2633</v>
      </c>
      <c r="AB4" s="3286" t="s">
        <v>2634</v>
      </c>
      <c r="AC4" s="3289" t="s">
        <v>2635</v>
      </c>
    </row>
    <row r="5" spans="1:29" ht="15">
      <c r="A5" s="401"/>
      <c r="B5" s="402"/>
      <c r="C5" s="3218" t="s">
        <v>2528</v>
      </c>
      <c r="D5" s="3219"/>
      <c r="E5" s="3216" t="s">
        <v>2529</v>
      </c>
      <c r="F5" s="3217"/>
      <c r="G5" s="3218" t="s">
        <v>2530</v>
      </c>
      <c r="H5" s="3219"/>
      <c r="I5" s="3218" t="s">
        <v>2531</v>
      </c>
      <c r="J5" s="3219"/>
      <c r="K5" s="607"/>
      <c r="L5" s="1125"/>
      <c r="M5" s="1126"/>
      <c r="N5" s="1126"/>
      <c r="O5" s="1126"/>
      <c r="P5" s="3294"/>
      <c r="Q5" s="3232"/>
      <c r="R5" s="3214"/>
      <c r="S5" s="3215"/>
      <c r="T5" s="3214"/>
      <c r="U5" s="3215"/>
      <c r="V5" s="3237"/>
      <c r="W5" s="3237"/>
      <c r="X5" s="1808"/>
      <c r="Y5" s="3214"/>
      <c r="Z5" s="3215"/>
      <c r="AA5" s="3208"/>
      <c r="AB5" s="3208"/>
      <c r="AC5" s="3290"/>
    </row>
    <row r="6" spans="1:29" ht="15.75" thickBot="1">
      <c r="A6" s="403"/>
      <c r="B6" s="404"/>
      <c r="C6" s="3220" t="s">
        <v>2532</v>
      </c>
      <c r="D6" s="3221"/>
      <c r="E6" s="3222" t="s">
        <v>2532</v>
      </c>
      <c r="F6" s="3223"/>
      <c r="G6" s="3220" t="s">
        <v>2532</v>
      </c>
      <c r="H6" s="3221"/>
      <c r="I6" s="3220" t="s">
        <v>2532</v>
      </c>
      <c r="J6" s="3221"/>
      <c r="K6" s="607" t="s">
        <v>2533</v>
      </c>
      <c r="L6" s="1125"/>
      <c r="M6" s="1126"/>
      <c r="N6" s="1126"/>
      <c r="O6" s="1126"/>
      <c r="P6" s="3295"/>
      <c r="Q6" s="3234"/>
      <c r="R6" s="3214"/>
      <c r="S6" s="3215"/>
      <c r="T6" s="3235"/>
      <c r="U6" s="3236"/>
      <c r="V6" s="3237"/>
      <c r="W6" s="3237"/>
      <c r="X6" s="1808"/>
      <c r="Y6" s="3235"/>
      <c r="Z6" s="3236"/>
      <c r="AA6" s="3209"/>
      <c r="AB6" s="3209"/>
      <c r="AC6" s="3291"/>
    </row>
    <row r="7" spans="1:29" s="114" customFormat="1" ht="15.75" thickBot="1">
      <c r="A7" s="405" t="s">
        <v>2534</v>
      </c>
      <c r="B7" s="406"/>
      <c r="C7" s="407">
        <f>'数据-取费表'!B2</f>
        <v>43110</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97" t="s">
        <v>2535</v>
      </c>
      <c r="Q7" s="3238"/>
      <c r="R7" s="767" t="s">
        <v>17</v>
      </c>
      <c r="S7" s="768">
        <f t="shared" ref="S7:S15" si="0">F7</f>
        <v>0</v>
      </c>
      <c r="T7" s="767" t="s">
        <v>17</v>
      </c>
      <c r="U7" s="768">
        <f t="shared" ref="U7:U15" si="1">H7</f>
        <v>0</v>
      </c>
      <c r="V7" s="767" t="s">
        <v>17</v>
      </c>
      <c r="W7" s="768">
        <f t="shared" ref="W7:W15" si="2">J7</f>
        <v>0</v>
      </c>
      <c r="X7" s="769"/>
      <c r="Y7" s="3210" t="s">
        <v>2535</v>
      </c>
      <c r="Z7" s="3211"/>
      <c r="AA7" s="770" t="e">
        <f>D7/F7</f>
        <v>#DIV/0!</v>
      </c>
      <c r="AB7" s="770" t="e">
        <f>D7/H7</f>
        <v>#DIV/0!</v>
      </c>
      <c r="AC7" s="2662"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97" t="s">
        <v>2538</v>
      </c>
      <c r="Q8" s="3211"/>
      <c r="R8" s="767" t="s">
        <v>17</v>
      </c>
      <c r="S8" s="768">
        <f t="shared" si="0"/>
        <v>0</v>
      </c>
      <c r="T8" s="767" t="s">
        <v>17</v>
      </c>
      <c r="U8" s="768">
        <f t="shared" si="1"/>
        <v>0</v>
      </c>
      <c r="V8" s="767" t="s">
        <v>17</v>
      </c>
      <c r="W8" s="768">
        <f t="shared" si="2"/>
        <v>0</v>
      </c>
      <c r="X8" s="769"/>
      <c r="Y8" s="3210" t="s">
        <v>2538</v>
      </c>
      <c r="Z8" s="3211"/>
      <c r="AA8" s="770" t="e">
        <f t="shared" ref="AA8:AA47" si="3">D8/F8</f>
        <v>#DIV/0!</v>
      </c>
      <c r="AB8" s="770" t="e">
        <f t="shared" ref="AB8:AB47" si="4">D8/H8</f>
        <v>#DIV/0!</v>
      </c>
      <c r="AC8" s="2662" t="e">
        <f t="shared" ref="AC8:AC47" si="5">D8/J8</f>
        <v>#DIV/0!</v>
      </c>
    </row>
    <row r="9" spans="1:29" s="114" customFormat="1">
      <c r="A9" s="412" t="s">
        <v>2539</v>
      </c>
      <c r="B9" s="71" t="s">
        <v>2540</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224" t="s">
        <v>2541</v>
      </c>
      <c r="Q9" s="1790" t="str">
        <f t="shared" ref="Q9:Q15" si="6">B9</f>
        <v>用途</v>
      </c>
      <c r="R9" s="767" t="s">
        <v>17</v>
      </c>
      <c r="S9" s="768">
        <f t="shared" si="0"/>
        <v>100</v>
      </c>
      <c r="T9" s="767" t="s">
        <v>17</v>
      </c>
      <c r="U9" s="768">
        <f t="shared" si="1"/>
        <v>100</v>
      </c>
      <c r="V9" s="767" t="s">
        <v>17</v>
      </c>
      <c r="W9" s="768">
        <f t="shared" si="2"/>
        <v>100</v>
      </c>
      <c r="X9" s="769"/>
      <c r="Y9" s="3080" t="s">
        <v>2542</v>
      </c>
      <c r="Z9" s="55" t="str">
        <f t="shared" ref="Z9:Z15" si="7">Q9</f>
        <v>用途</v>
      </c>
      <c r="AA9" s="770">
        <f t="shared" si="3"/>
        <v>1</v>
      </c>
      <c r="AB9" s="770">
        <f t="shared" si="4"/>
        <v>1</v>
      </c>
      <c r="AC9" s="2662">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224"/>
      <c r="Q10" s="1790" t="str">
        <f t="shared" si="6"/>
        <v>土地使用年限（年）</v>
      </c>
      <c r="R10" s="767" t="s">
        <v>17</v>
      </c>
      <c r="S10" s="768">
        <f t="shared" si="0"/>
        <v>100</v>
      </c>
      <c r="T10" s="767" t="s">
        <v>17</v>
      </c>
      <c r="U10" s="768">
        <f t="shared" si="1"/>
        <v>100</v>
      </c>
      <c r="V10" s="767" t="s">
        <v>17</v>
      </c>
      <c r="W10" s="768">
        <f t="shared" si="2"/>
        <v>100</v>
      </c>
      <c r="X10" s="769"/>
      <c r="Y10" s="3080"/>
      <c r="Z10" s="55" t="str">
        <f t="shared" si="7"/>
        <v>土地使用年限（年）</v>
      </c>
      <c r="AA10" s="770">
        <f t="shared" si="3"/>
        <v>1</v>
      </c>
      <c r="AB10" s="770">
        <f t="shared" si="4"/>
        <v>1</v>
      </c>
      <c r="AC10" s="2662">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224"/>
      <c r="Q11" s="1790" t="str">
        <f t="shared" si="6"/>
        <v>容积率</v>
      </c>
      <c r="R11" s="767" t="s">
        <v>17</v>
      </c>
      <c r="S11" s="768" t="e">
        <f t="shared" si="0"/>
        <v>#N/A</v>
      </c>
      <c r="T11" s="767" t="s">
        <v>17</v>
      </c>
      <c r="U11" s="768" t="e">
        <f t="shared" si="1"/>
        <v>#N/A</v>
      </c>
      <c r="V11" s="767" t="s">
        <v>17</v>
      </c>
      <c r="W11" s="768" t="e">
        <f t="shared" si="2"/>
        <v>#N/A</v>
      </c>
      <c r="X11" s="769"/>
      <c r="Y11" s="3080"/>
      <c r="Z11" s="55" t="str">
        <f t="shared" si="7"/>
        <v>容积率</v>
      </c>
      <c r="AA11" s="770" t="e">
        <f t="shared" si="3"/>
        <v>#N/A</v>
      </c>
      <c r="AB11" s="770" t="e">
        <f t="shared" si="4"/>
        <v>#N/A</v>
      </c>
      <c r="AC11" s="2662" t="e">
        <f t="shared" si="5"/>
        <v>#N/A</v>
      </c>
    </row>
    <row r="12" spans="1:29" s="114" customFormat="1" ht="15">
      <c r="A12" s="428"/>
      <c r="B12" s="2591">
        <v>111</v>
      </c>
      <c r="C12" s="429"/>
      <c r="D12" s="430">
        <v>100</v>
      </c>
      <c r="E12" s="429"/>
      <c r="F12" s="133">
        <f>SUMIF(71:71,E12,72:72)-SUMIF(71:71,C12,72:72)+100</f>
        <v>100</v>
      </c>
      <c r="G12" s="2663"/>
      <c r="H12" s="133">
        <f>SUMIF(71:71,G12,72:72)-SUMIF(71:71,C12,72:72)+100</f>
        <v>100</v>
      </c>
      <c r="I12" s="429"/>
      <c r="J12" s="133">
        <f>SUMIF(71:71,I12,72:72)-SUMIF(71:71,C12,72:72)+100</f>
        <v>100</v>
      </c>
      <c r="K12" s="610"/>
      <c r="L12" s="1127"/>
      <c r="M12" s="1128"/>
      <c r="N12" s="1128"/>
      <c r="O12" s="1128"/>
      <c r="P12" s="3224"/>
      <c r="Q12" s="1790">
        <f t="shared" si="6"/>
        <v>111</v>
      </c>
      <c r="R12" s="767" t="s">
        <v>17</v>
      </c>
      <c r="S12" s="768">
        <f t="shared" si="0"/>
        <v>100</v>
      </c>
      <c r="T12" s="767" t="s">
        <v>17</v>
      </c>
      <c r="U12" s="768">
        <f t="shared" si="1"/>
        <v>100</v>
      </c>
      <c r="V12" s="767" t="s">
        <v>17</v>
      </c>
      <c r="W12" s="768">
        <f t="shared" si="2"/>
        <v>100</v>
      </c>
      <c r="X12" s="769"/>
      <c r="Y12" s="3080"/>
      <c r="Z12" s="55">
        <f t="shared" si="7"/>
        <v>111</v>
      </c>
      <c r="AA12" s="770">
        <f>D12/F12</f>
        <v>1</v>
      </c>
      <c r="AB12" s="770">
        <f>D12/H12</f>
        <v>1</v>
      </c>
      <c r="AC12" s="2662">
        <f>D12/J12</f>
        <v>1</v>
      </c>
    </row>
    <row r="13" spans="1:29" ht="15">
      <c r="A13" s="425"/>
      <c r="B13" s="2591">
        <v>111</v>
      </c>
      <c r="C13" s="431"/>
      <c r="D13" s="432">
        <v>100</v>
      </c>
      <c r="E13" s="429"/>
      <c r="F13" s="133">
        <f>SUMIF(73:73,E13,74:74)-SUMIF(73:73,C13,74:74)+100</f>
        <v>100</v>
      </c>
      <c r="G13" s="2663"/>
      <c r="H13" s="432">
        <f>SUMIF(73:73,G13,74:74)-SUMIF(73:73,C13,74:74)+100</f>
        <v>100</v>
      </c>
      <c r="I13" s="429"/>
      <c r="J13" s="432">
        <f>SUMIF(73:73,I13,74:74)-SUMIF(73:73,C13,74:74)+100</f>
        <v>100</v>
      </c>
      <c r="K13" s="610"/>
      <c r="L13" s="1135"/>
      <c r="M13" s="1126"/>
      <c r="N13" s="1126"/>
      <c r="O13" s="1126"/>
      <c r="P13" s="3224"/>
      <c r="Q13" s="1790">
        <f t="shared" si="6"/>
        <v>111</v>
      </c>
      <c r="R13" s="767" t="s">
        <v>17</v>
      </c>
      <c r="S13" s="768">
        <f t="shared" si="0"/>
        <v>100</v>
      </c>
      <c r="T13" s="767" t="s">
        <v>17</v>
      </c>
      <c r="U13" s="768">
        <f t="shared" si="1"/>
        <v>100</v>
      </c>
      <c r="V13" s="767" t="s">
        <v>17</v>
      </c>
      <c r="W13" s="768">
        <f t="shared" si="2"/>
        <v>100</v>
      </c>
      <c r="X13" s="769"/>
      <c r="Y13" s="3080"/>
      <c r="Z13" s="55">
        <f t="shared" si="7"/>
        <v>111</v>
      </c>
      <c r="AA13" s="770">
        <f t="shared" si="3"/>
        <v>1</v>
      </c>
      <c r="AB13" s="770">
        <f t="shared" si="4"/>
        <v>1</v>
      </c>
      <c r="AC13" s="2662">
        <f t="shared" si="5"/>
        <v>1</v>
      </c>
    </row>
    <row r="14" spans="1:29" ht="15.75" thickBot="1">
      <c r="A14" s="433"/>
      <c r="B14" s="2593">
        <v>111</v>
      </c>
      <c r="C14" s="434"/>
      <c r="D14" s="435">
        <v>100</v>
      </c>
      <c r="E14" s="625"/>
      <c r="F14" s="435">
        <f>SUMIF(75:75,E14,76:76)-SUMIF(75:75,C14,76:76)+100</f>
        <v>100</v>
      </c>
      <c r="G14" s="2663"/>
      <c r="H14" s="435">
        <f>SUMIF(75:75,G14,76:76)-SUMIF(75:75,C14,76:76)+100</f>
        <v>100</v>
      </c>
      <c r="I14" s="429"/>
      <c r="J14" s="435">
        <f>SUMIF(75:75,I14,76:76)-SUMIF(75:75,C14,76:76)+100</f>
        <v>100</v>
      </c>
      <c r="K14" s="610"/>
      <c r="L14" s="1135"/>
      <c r="M14" s="1126"/>
      <c r="N14" s="1126"/>
      <c r="O14" s="1126"/>
      <c r="P14" s="3224"/>
      <c r="Q14" s="1790">
        <f t="shared" si="6"/>
        <v>111</v>
      </c>
      <c r="R14" s="767" t="s">
        <v>17</v>
      </c>
      <c r="S14" s="768">
        <f t="shared" si="0"/>
        <v>100</v>
      </c>
      <c r="T14" s="767" t="s">
        <v>17</v>
      </c>
      <c r="U14" s="768">
        <f t="shared" si="1"/>
        <v>100</v>
      </c>
      <c r="V14" s="767" t="s">
        <v>17</v>
      </c>
      <c r="W14" s="768">
        <f t="shared" si="2"/>
        <v>100</v>
      </c>
      <c r="X14" s="769"/>
      <c r="Y14" s="3080"/>
      <c r="Z14" s="55">
        <f t="shared" si="7"/>
        <v>111</v>
      </c>
      <c r="AA14" s="770">
        <f t="shared" si="3"/>
        <v>1</v>
      </c>
      <c r="AB14" s="770">
        <f t="shared" si="4"/>
        <v>1</v>
      </c>
      <c r="AC14" s="2662">
        <f t="shared" si="5"/>
        <v>1</v>
      </c>
    </row>
    <row r="15" spans="1:29" ht="71.25">
      <c r="A15" s="437" t="s">
        <v>2545</v>
      </c>
      <c r="B15" s="626" t="s">
        <v>2673</v>
      </c>
      <c r="C15" s="2664"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51" t="s">
        <v>2546</v>
      </c>
      <c r="Q15" s="1805" t="str">
        <f t="shared" si="6"/>
        <v>办公集聚程度</v>
      </c>
      <c r="R15" s="771" t="s">
        <v>17</v>
      </c>
      <c r="S15" s="772">
        <f t="shared" si="0"/>
        <v>100</v>
      </c>
      <c r="T15" s="771" t="s">
        <v>17</v>
      </c>
      <c r="U15" s="772">
        <f t="shared" si="1"/>
        <v>100</v>
      </c>
      <c r="V15" s="771" t="s">
        <v>17</v>
      </c>
      <c r="W15" s="772">
        <f t="shared" si="2"/>
        <v>100</v>
      </c>
      <c r="X15" s="1808"/>
      <c r="Y15" s="3244" t="s">
        <v>2546</v>
      </c>
      <c r="Z15" s="1809" t="str">
        <f t="shared" si="7"/>
        <v>办公集聚程度</v>
      </c>
      <c r="AA15" s="1806">
        <f t="shared" si="3"/>
        <v>1</v>
      </c>
      <c r="AB15" s="1806">
        <f t="shared" si="4"/>
        <v>1</v>
      </c>
      <c r="AC15" s="2665">
        <f t="shared" si="5"/>
        <v>1</v>
      </c>
    </row>
    <row r="16" spans="1:29" ht="15">
      <c r="A16" s="425"/>
      <c r="B16" s="627"/>
      <c r="C16" s="2602"/>
      <c r="D16" s="445"/>
      <c r="E16" s="444"/>
      <c r="F16" s="445"/>
      <c r="G16" s="2602"/>
      <c r="H16" s="447"/>
      <c r="I16" s="444"/>
      <c r="J16" s="445"/>
      <c r="K16" s="612"/>
      <c r="L16" s="1135"/>
      <c r="M16" s="1126"/>
      <c r="N16" s="1126"/>
      <c r="O16" s="1126"/>
      <c r="P16" s="3252"/>
      <c r="Q16" s="1805"/>
      <c r="R16" s="771"/>
      <c r="S16" s="772"/>
      <c r="T16" s="771"/>
      <c r="U16" s="772"/>
      <c r="V16" s="771"/>
      <c r="W16" s="772"/>
      <c r="X16" s="1808"/>
      <c r="Y16" s="3245"/>
      <c r="Z16" s="1809"/>
      <c r="AA16" s="1806">
        <v>1</v>
      </c>
      <c r="AB16" s="1806">
        <v>1</v>
      </c>
      <c r="AC16" s="2665">
        <v>1</v>
      </c>
    </row>
    <row r="17" spans="1:29" ht="71.25">
      <c r="A17" s="425"/>
      <c r="B17" s="628" t="s">
        <v>2082</v>
      </c>
      <c r="C17" s="2666"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52"/>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2665">
        <f t="shared" si="5"/>
        <v>1</v>
      </c>
    </row>
    <row r="18" spans="1:29" ht="15">
      <c r="A18" s="425"/>
      <c r="B18" s="629"/>
      <c r="C18" s="2667"/>
      <c r="D18" s="447"/>
      <c r="E18" s="2600"/>
      <c r="F18" s="447"/>
      <c r="G18" s="2601"/>
      <c r="H18" s="445"/>
      <c r="I18" s="2601"/>
      <c r="J18" s="445"/>
      <c r="K18" s="612"/>
      <c r="L18" s="1135"/>
      <c r="M18" s="1126"/>
      <c r="N18" s="1126"/>
      <c r="O18" s="1126"/>
      <c r="P18" s="3252"/>
      <c r="Q18" s="1805"/>
      <c r="R18" s="771"/>
      <c r="S18" s="772"/>
      <c r="T18" s="771"/>
      <c r="U18" s="772"/>
      <c r="V18" s="771"/>
      <c r="W18" s="772"/>
      <c r="X18" s="1808"/>
      <c r="Y18" s="3245"/>
      <c r="Z18" s="1809"/>
      <c r="AA18" s="1806">
        <v>1</v>
      </c>
      <c r="AB18" s="1806">
        <v>1</v>
      </c>
      <c r="AC18" s="2665">
        <v>1</v>
      </c>
    </row>
    <row r="19" spans="1:29" ht="42.75">
      <c r="A19" s="425"/>
      <c r="B19" s="628" t="s">
        <v>2674</v>
      </c>
      <c r="C19" s="2666"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52"/>
      <c r="Q19" s="1805" t="str">
        <f>B19</f>
        <v>公共配套设施</v>
      </c>
      <c r="R19" s="771" t="s">
        <v>17</v>
      </c>
      <c r="S19" s="772">
        <f>F19</f>
        <v>100</v>
      </c>
      <c r="T19" s="771" t="s">
        <v>17</v>
      </c>
      <c r="U19" s="772">
        <f>H19</f>
        <v>100</v>
      </c>
      <c r="V19" s="771" t="s">
        <v>17</v>
      </c>
      <c r="W19" s="772">
        <f>J19</f>
        <v>100</v>
      </c>
      <c r="X19" s="1808"/>
      <c r="Y19" s="3245"/>
      <c r="Z19" s="1809" t="str">
        <f>Q19</f>
        <v>公共配套设施</v>
      </c>
      <c r="AA19" s="1806">
        <f t="shared" si="3"/>
        <v>1</v>
      </c>
      <c r="AB19" s="1806">
        <f t="shared" si="4"/>
        <v>1</v>
      </c>
      <c r="AC19" s="2665">
        <f t="shared" si="5"/>
        <v>1</v>
      </c>
    </row>
    <row r="20" spans="1:29" ht="15">
      <c r="A20" s="425"/>
      <c r="B20" s="629"/>
      <c r="C20" s="2602"/>
      <c r="D20" s="445"/>
      <c r="E20" s="2595"/>
      <c r="F20" s="445"/>
      <c r="G20" s="2596"/>
      <c r="H20" s="445"/>
      <c r="I20" s="2596"/>
      <c r="J20" s="445"/>
      <c r="K20" s="612"/>
      <c r="L20" s="1135"/>
      <c r="M20" s="1126"/>
      <c r="N20" s="1126"/>
      <c r="O20" s="1126"/>
      <c r="P20" s="3252"/>
      <c r="Q20" s="1805"/>
      <c r="R20" s="771"/>
      <c r="S20" s="772"/>
      <c r="T20" s="771"/>
      <c r="U20" s="772"/>
      <c r="V20" s="771"/>
      <c r="W20" s="772"/>
      <c r="X20" s="1808"/>
      <c r="Y20" s="3245"/>
      <c r="Z20" s="1809"/>
      <c r="AA20" s="1806">
        <v>1</v>
      </c>
      <c r="AB20" s="1806">
        <v>1</v>
      </c>
      <c r="AC20" s="2665">
        <v>1</v>
      </c>
    </row>
    <row r="21" spans="1:29" ht="28.5">
      <c r="A21" s="425"/>
      <c r="B21" s="630" t="s">
        <v>2675</v>
      </c>
      <c r="C21" s="2666"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52"/>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2665">
        <f t="shared" ref="AC21" si="10">D21/J21</f>
        <v>1</v>
      </c>
    </row>
    <row r="22" spans="1:29" ht="15">
      <c r="A22" s="425"/>
      <c r="B22" s="630"/>
      <c r="C22" s="2667"/>
      <c r="D22" s="445"/>
      <c r="E22" s="444"/>
      <c r="F22" s="445"/>
      <c r="G22" s="2602"/>
      <c r="H22" s="445"/>
      <c r="I22" s="2602"/>
      <c r="J22" s="445"/>
      <c r="K22" s="1378"/>
      <c r="L22" s="1135"/>
      <c r="M22" s="1126"/>
      <c r="N22" s="1126"/>
      <c r="O22" s="1126"/>
      <c r="P22" s="3252"/>
      <c r="Q22" s="1805"/>
      <c r="R22" s="771"/>
      <c r="S22" s="772"/>
      <c r="T22" s="771"/>
      <c r="U22" s="772"/>
      <c r="V22" s="771"/>
      <c r="W22" s="772"/>
      <c r="X22" s="1808"/>
      <c r="Y22" s="3245"/>
      <c r="Z22" s="1809"/>
      <c r="AA22" s="1806">
        <v>1</v>
      </c>
      <c r="AB22" s="1806">
        <v>1</v>
      </c>
      <c r="AC22" s="2665">
        <v>1</v>
      </c>
    </row>
    <row r="23" spans="1:29" ht="42.75">
      <c r="A23" s="425"/>
      <c r="B23" s="628" t="s">
        <v>2676</v>
      </c>
      <c r="C23" s="2666"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52"/>
      <c r="Q23" s="1805" t="str">
        <f>B23</f>
        <v>环境质量</v>
      </c>
      <c r="R23" s="771" t="s">
        <v>17</v>
      </c>
      <c r="S23" s="772">
        <f>F23</f>
        <v>100</v>
      </c>
      <c r="T23" s="771" t="s">
        <v>17</v>
      </c>
      <c r="U23" s="772">
        <f>H23</f>
        <v>100</v>
      </c>
      <c r="V23" s="771" t="s">
        <v>17</v>
      </c>
      <c r="W23" s="772">
        <f>J23</f>
        <v>100</v>
      </c>
      <c r="X23" s="1808"/>
      <c r="Y23" s="3245"/>
      <c r="Z23" s="1809" t="str">
        <f>Q23</f>
        <v>环境质量</v>
      </c>
      <c r="AA23" s="1806">
        <f t="shared" si="3"/>
        <v>1</v>
      </c>
      <c r="AB23" s="1806">
        <f t="shared" si="4"/>
        <v>1</v>
      </c>
      <c r="AC23" s="2665">
        <f t="shared" si="5"/>
        <v>1</v>
      </c>
    </row>
    <row r="24" spans="1:29" ht="15">
      <c r="A24" s="425"/>
      <c r="B24" s="630"/>
      <c r="C24" s="2602"/>
      <c r="D24" s="445"/>
      <c r="E24" s="2595"/>
      <c r="F24" s="445"/>
      <c r="G24" s="2596"/>
      <c r="H24" s="445"/>
      <c r="I24" s="2596"/>
      <c r="J24" s="445"/>
      <c r="K24" s="612"/>
      <c r="L24" s="1135"/>
      <c r="M24" s="1126"/>
      <c r="N24" s="1126"/>
      <c r="O24" s="1126"/>
      <c r="P24" s="3252"/>
      <c r="Q24" s="1805"/>
      <c r="R24" s="771"/>
      <c r="S24" s="772"/>
      <c r="T24" s="771"/>
      <c r="U24" s="772"/>
      <c r="V24" s="771"/>
      <c r="W24" s="772"/>
      <c r="X24" s="1808"/>
      <c r="Y24" s="3245"/>
      <c r="Z24" s="1809"/>
      <c r="AA24" s="1806">
        <v>1</v>
      </c>
      <c r="AB24" s="1806">
        <v>1</v>
      </c>
      <c r="AC24" s="2665">
        <v>1</v>
      </c>
    </row>
    <row r="25" spans="1:29" ht="27">
      <c r="A25" s="401"/>
      <c r="B25" s="628" t="s">
        <v>2677</v>
      </c>
      <c r="C25" s="2606"/>
      <c r="D25" s="432">
        <v>100</v>
      </c>
      <c r="E25" s="431"/>
      <c r="F25" s="432">
        <f>SUMIF(87:87,E26,88:88)-SUMIF(87:87,C26,88:88)+100</f>
        <v>100</v>
      </c>
      <c r="G25" s="2606"/>
      <c r="H25" s="432">
        <f>SUMIF(87:87,G26,88:88)-SUMIF(87:87,C26,88:88)+100</f>
        <v>100</v>
      </c>
      <c r="I25" s="431"/>
      <c r="J25" s="432">
        <f>SUMIF(87:87,I26,88:88)-SUMIF(87:87,C26,88:88)+100</f>
        <v>100</v>
      </c>
      <c r="K25" s="611"/>
      <c r="L25" s="1135"/>
      <c r="M25" s="1126"/>
      <c r="N25" s="1126"/>
      <c r="O25" s="1126"/>
      <c r="P25" s="3252"/>
      <c r="Q25" s="1805" t="str">
        <f>B25</f>
        <v>毗邻道路的类型与等级</v>
      </c>
      <c r="R25" s="771" t="s">
        <v>17</v>
      </c>
      <c r="S25" s="772">
        <f>F25</f>
        <v>100</v>
      </c>
      <c r="T25" s="771" t="s">
        <v>17</v>
      </c>
      <c r="U25" s="772">
        <f>H25</f>
        <v>100</v>
      </c>
      <c r="V25" s="771" t="s">
        <v>17</v>
      </c>
      <c r="W25" s="772">
        <f>J25</f>
        <v>100</v>
      </c>
      <c r="X25" s="1808"/>
      <c r="Y25" s="3245"/>
      <c r="Z25" s="1809" t="str">
        <f>Q25</f>
        <v>毗邻道路的类型与等级</v>
      </c>
      <c r="AA25" s="1806">
        <f t="shared" si="3"/>
        <v>1</v>
      </c>
      <c r="AB25" s="1806">
        <f t="shared" si="4"/>
        <v>1</v>
      </c>
      <c r="AC25" s="2665">
        <f t="shared" si="5"/>
        <v>1</v>
      </c>
    </row>
    <row r="26" spans="1:29" ht="15">
      <c r="A26" s="401"/>
      <c r="B26" s="629"/>
      <c r="C26" s="631"/>
      <c r="D26" s="432"/>
      <c r="E26" s="613"/>
      <c r="F26" s="432"/>
      <c r="G26" s="631"/>
      <c r="H26" s="432"/>
      <c r="I26" s="613"/>
      <c r="J26" s="432"/>
      <c r="K26" s="612"/>
      <c r="L26" s="1135"/>
      <c r="M26" s="1126"/>
      <c r="N26" s="1126"/>
      <c r="O26" s="1126"/>
      <c r="P26" s="3252"/>
      <c r="Q26" s="1805"/>
      <c r="R26" s="771"/>
      <c r="S26" s="772"/>
      <c r="T26" s="771"/>
      <c r="U26" s="772"/>
      <c r="V26" s="771"/>
      <c r="W26" s="772"/>
      <c r="X26" s="1808"/>
      <c r="Y26" s="3245"/>
      <c r="Z26" s="1809"/>
      <c r="AA26" s="1806">
        <v>1</v>
      </c>
      <c r="AB26" s="1806">
        <v>1</v>
      </c>
      <c r="AC26" s="2665">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52"/>
      <c r="Q27" s="1805" t="str">
        <f t="shared" ref="Q27:Q47" si="11">B27</f>
        <v>楼层</v>
      </c>
      <c r="R27" s="771" t="s">
        <v>17</v>
      </c>
      <c r="S27" s="772">
        <f>F27</f>
        <v>100</v>
      </c>
      <c r="T27" s="771" t="s">
        <v>17</v>
      </c>
      <c r="U27" s="772">
        <f>H27</f>
        <v>100</v>
      </c>
      <c r="V27" s="771" t="s">
        <v>17</v>
      </c>
      <c r="W27" s="772">
        <f>J27</f>
        <v>100</v>
      </c>
      <c r="X27" s="1808"/>
      <c r="Y27" s="3245"/>
      <c r="Z27" s="1809" t="str">
        <f>Q27</f>
        <v>楼层</v>
      </c>
      <c r="AA27" s="1806">
        <f t="shared" si="3"/>
        <v>1</v>
      </c>
      <c r="AB27" s="1806">
        <f t="shared" si="4"/>
        <v>1</v>
      </c>
      <c r="AC27" s="2665">
        <f t="shared" si="5"/>
        <v>1</v>
      </c>
    </row>
    <row r="28" spans="1:29" s="114" customFormat="1" ht="15">
      <c r="A28" s="428"/>
      <c r="B28" s="628" t="s">
        <v>2678</v>
      </c>
      <c r="C28" s="2668"/>
      <c r="D28" s="459">
        <v>100</v>
      </c>
      <c r="E28" s="2656"/>
      <c r="F28" s="459">
        <f>SUMIF(91:91,E28,92:92)-SUMIF(91:91,C28,92:92)+100</f>
        <v>100</v>
      </c>
      <c r="G28" s="2668"/>
      <c r="H28" s="459">
        <f>SUMIF(91:91,G28,92:92)-SUMIF(91:91,C28,92:92)+100</f>
        <v>100</v>
      </c>
      <c r="I28" s="2656"/>
      <c r="J28" s="459">
        <f>SUMIF(91:91,I28,92:92)-SUMIF(91:91,C28,92:92)+100</f>
        <v>100</v>
      </c>
      <c r="K28" s="609"/>
      <c r="L28" s="1127"/>
      <c r="M28" s="1128"/>
      <c r="N28" s="1128"/>
      <c r="O28" s="1128"/>
      <c r="P28" s="3252"/>
      <c r="Q28" s="1790" t="str">
        <f t="shared" si="11"/>
        <v>朝向</v>
      </c>
      <c r="R28" s="767" t="s">
        <v>17</v>
      </c>
      <c r="S28" s="768">
        <f>F28</f>
        <v>100</v>
      </c>
      <c r="T28" s="767" t="s">
        <v>17</v>
      </c>
      <c r="U28" s="768">
        <f>H28</f>
        <v>100</v>
      </c>
      <c r="V28" s="767" t="s">
        <v>17</v>
      </c>
      <c r="W28" s="768">
        <f>J28</f>
        <v>100</v>
      </c>
      <c r="X28" s="769"/>
      <c r="Y28" s="3245"/>
      <c r="Z28" s="55" t="str">
        <f>Q28</f>
        <v>朝向</v>
      </c>
      <c r="AA28" s="1806">
        <f>D28/F28</f>
        <v>1</v>
      </c>
      <c r="AB28" s="1806">
        <f>D28/H28</f>
        <v>1</v>
      </c>
      <c r="AC28" s="2665">
        <f>D28/J28</f>
        <v>1</v>
      </c>
    </row>
    <row r="29" spans="1:29" ht="15">
      <c r="A29" s="425"/>
      <c r="B29" s="2669">
        <v>111</v>
      </c>
      <c r="C29" s="2606"/>
      <c r="D29" s="432">
        <v>100</v>
      </c>
      <c r="E29" s="429"/>
      <c r="F29" s="432">
        <f>SUMIF(93:93,E29,94:94)-SUMIF(93:93,C29,94:94)+100</f>
        <v>100</v>
      </c>
      <c r="G29" s="2663"/>
      <c r="H29" s="432">
        <f>SUMIF(93:93,G29,94:94)-SUMIF(93:93,C29,94:94)+100</f>
        <v>100</v>
      </c>
      <c r="I29" s="429"/>
      <c r="J29" s="432">
        <f>SUMIF(93:93,I29,94:94)-SUMIF(93:93,C29,94:94)+100</f>
        <v>100</v>
      </c>
      <c r="K29" s="610"/>
      <c r="L29" s="1135"/>
      <c r="M29" s="1126"/>
      <c r="N29" s="1126"/>
      <c r="O29" s="1126"/>
      <c r="P29" s="3252"/>
      <c r="Q29" s="1805">
        <f t="shared" si="11"/>
        <v>111</v>
      </c>
      <c r="R29" s="771" t="s">
        <v>17</v>
      </c>
      <c r="S29" s="772">
        <f t="shared" ref="S29:S47" si="12">F29</f>
        <v>100</v>
      </c>
      <c r="T29" s="771" t="s">
        <v>17</v>
      </c>
      <c r="U29" s="772">
        <f t="shared" ref="U29:U47" si="13">H29</f>
        <v>100</v>
      </c>
      <c r="V29" s="771" t="s">
        <v>17</v>
      </c>
      <c r="W29" s="772">
        <f t="shared" ref="W29:W47" si="14">J29</f>
        <v>100</v>
      </c>
      <c r="X29" s="1808"/>
      <c r="Y29" s="3245"/>
      <c r="Z29" s="1809">
        <f t="shared" ref="Z29:Z47" si="15">Q29</f>
        <v>111</v>
      </c>
      <c r="AA29" s="1806">
        <f t="shared" si="3"/>
        <v>1</v>
      </c>
      <c r="AB29" s="1806">
        <f t="shared" si="4"/>
        <v>1</v>
      </c>
      <c r="AC29" s="2665">
        <f t="shared" si="5"/>
        <v>1</v>
      </c>
    </row>
    <row r="30" spans="1:29" ht="15">
      <c r="A30" s="425"/>
      <c r="B30" s="2669">
        <v>111</v>
      </c>
      <c r="C30" s="2606"/>
      <c r="D30" s="432">
        <v>100</v>
      </c>
      <c r="E30" s="429"/>
      <c r="F30" s="432">
        <f>SUMIF(95:95,E30,96:96)-SUMIF(95:95,C30,96:96)+100</f>
        <v>100</v>
      </c>
      <c r="G30" s="2663"/>
      <c r="H30" s="432">
        <f>SUMIF(95:95,G30,96:96)-SUMIF(95:95,C30,96:96)+100</f>
        <v>100</v>
      </c>
      <c r="I30" s="429"/>
      <c r="J30" s="432">
        <f>SUMIF(95:95,I30,96:96)-SUMIF(95:95,C30,96:96)+100</f>
        <v>100</v>
      </c>
      <c r="K30" s="610"/>
      <c r="L30" s="1135"/>
      <c r="M30" s="1126"/>
      <c r="N30" s="1126"/>
      <c r="O30" s="1126"/>
      <c r="P30" s="3252"/>
      <c r="Q30" s="1805">
        <f t="shared" si="11"/>
        <v>111</v>
      </c>
      <c r="R30" s="771" t="s">
        <v>17</v>
      </c>
      <c r="S30" s="772">
        <f t="shared" si="12"/>
        <v>100</v>
      </c>
      <c r="T30" s="771" t="s">
        <v>17</v>
      </c>
      <c r="U30" s="772">
        <f t="shared" si="13"/>
        <v>100</v>
      </c>
      <c r="V30" s="771" t="s">
        <v>17</v>
      </c>
      <c r="W30" s="772">
        <f t="shared" si="14"/>
        <v>100</v>
      </c>
      <c r="X30" s="1808"/>
      <c r="Y30" s="3245"/>
      <c r="Z30" s="1809">
        <f t="shared" si="15"/>
        <v>111</v>
      </c>
      <c r="AA30" s="1806">
        <f t="shared" si="3"/>
        <v>1</v>
      </c>
      <c r="AB30" s="1806">
        <f t="shared" si="4"/>
        <v>1</v>
      </c>
      <c r="AC30" s="2665">
        <f t="shared" si="5"/>
        <v>1</v>
      </c>
    </row>
    <row r="31" spans="1:29" ht="15">
      <c r="A31" s="425"/>
      <c r="B31" s="2669">
        <v>111</v>
      </c>
      <c r="C31" s="2606"/>
      <c r="D31" s="432">
        <v>100</v>
      </c>
      <c r="E31" s="429"/>
      <c r="F31" s="432">
        <f>SUMIF(97:97,E31,98:98)-SUMIF(97:97,C31,98:98)+100</f>
        <v>100</v>
      </c>
      <c r="G31" s="2663"/>
      <c r="H31" s="432">
        <f>SUMIF(97:97,G31,98:98)-SUMIF(97:97,C31,98:98)+100</f>
        <v>100</v>
      </c>
      <c r="I31" s="429"/>
      <c r="J31" s="432">
        <f>SUMIF(97:97,I31,98:98)-SUMIF(97:97,C31,98:98)+100</f>
        <v>100</v>
      </c>
      <c r="K31" s="610"/>
      <c r="L31" s="1135"/>
      <c r="M31" s="1126"/>
      <c r="N31" s="1126"/>
      <c r="O31" s="1126"/>
      <c r="P31" s="3252"/>
      <c r="Q31" s="1805">
        <f t="shared" si="11"/>
        <v>111</v>
      </c>
      <c r="R31" s="771" t="s">
        <v>17</v>
      </c>
      <c r="S31" s="772">
        <f t="shared" si="12"/>
        <v>100</v>
      </c>
      <c r="T31" s="771" t="s">
        <v>17</v>
      </c>
      <c r="U31" s="772">
        <f t="shared" si="13"/>
        <v>100</v>
      </c>
      <c r="V31" s="771" t="s">
        <v>17</v>
      </c>
      <c r="W31" s="772">
        <f t="shared" si="14"/>
        <v>100</v>
      </c>
      <c r="X31" s="1808"/>
      <c r="Y31" s="3245"/>
      <c r="Z31" s="1809">
        <f t="shared" si="15"/>
        <v>111</v>
      </c>
      <c r="AA31" s="1806">
        <f t="shared" si="3"/>
        <v>1</v>
      </c>
      <c r="AB31" s="1806">
        <f t="shared" si="4"/>
        <v>1</v>
      </c>
      <c r="AC31" s="2665">
        <f t="shared" si="5"/>
        <v>1</v>
      </c>
    </row>
    <row r="32" spans="1:29" ht="15.75" thickBot="1">
      <c r="A32" s="433"/>
      <c r="B32" s="632">
        <v>111</v>
      </c>
      <c r="C32" s="2607"/>
      <c r="D32" s="435">
        <v>100</v>
      </c>
      <c r="E32" s="625"/>
      <c r="F32" s="435">
        <f>SUMIF(99:99,E32,100:100)-SUMIF(99:99,C32,100:100)+100</f>
        <v>100</v>
      </c>
      <c r="G32" s="2663"/>
      <c r="H32" s="435">
        <f>SUMIF(99:99,G32,100:100)-SUMIF(99:99,C32,100:100)+100</f>
        <v>100</v>
      </c>
      <c r="I32" s="429"/>
      <c r="J32" s="435">
        <f>SUMIF(99:99,I32,100:100)-SUMIF(99:99,C32,100:100)+100</f>
        <v>100</v>
      </c>
      <c r="K32" s="610"/>
      <c r="L32" s="1135"/>
      <c r="M32" s="1126"/>
      <c r="N32" s="1126"/>
      <c r="O32" s="1126"/>
      <c r="P32" s="3252"/>
      <c r="Q32" s="1805">
        <f t="shared" si="11"/>
        <v>111</v>
      </c>
      <c r="R32" s="771" t="s">
        <v>17</v>
      </c>
      <c r="S32" s="772">
        <f t="shared" si="12"/>
        <v>100</v>
      </c>
      <c r="T32" s="771" t="s">
        <v>17</v>
      </c>
      <c r="U32" s="772">
        <f t="shared" si="13"/>
        <v>100</v>
      </c>
      <c r="V32" s="771" t="s">
        <v>17</v>
      </c>
      <c r="W32" s="772">
        <f t="shared" si="14"/>
        <v>100</v>
      </c>
      <c r="X32" s="1808"/>
      <c r="Y32" s="3245"/>
      <c r="Z32" s="1809">
        <f t="shared" si="15"/>
        <v>111</v>
      </c>
      <c r="AA32" s="1806">
        <f t="shared" si="3"/>
        <v>1</v>
      </c>
      <c r="AB32" s="1806">
        <f t="shared" si="4"/>
        <v>1</v>
      </c>
      <c r="AC32" s="2665">
        <f t="shared" si="5"/>
        <v>1</v>
      </c>
    </row>
    <row r="33" spans="1:29" ht="15">
      <c r="A33" s="437" t="s">
        <v>2549</v>
      </c>
      <c r="B33" s="71" t="s">
        <v>2679</v>
      </c>
      <c r="C33" s="2670"/>
      <c r="D33" s="464">
        <v>100</v>
      </c>
      <c r="E33" s="2670"/>
      <c r="F33" s="458">
        <f>SUMIF(101:101,E33,102:102)-SUMIF(101:101,C33,102:102)+100</f>
        <v>100</v>
      </c>
      <c r="G33" s="2670"/>
      <c r="H33" s="432">
        <f>SUMIF(101:101,G33,102:102)-SUMIF(101:101,C33,102:102)+100</f>
        <v>100</v>
      </c>
      <c r="I33" s="2670"/>
      <c r="J33" s="464">
        <f>SUMIF(101:101,I33,102:102)-SUMIF(101:101,C33,102:102)+100</f>
        <v>100</v>
      </c>
      <c r="K33" s="609"/>
      <c r="L33" s="1135"/>
      <c r="M33" s="1126"/>
      <c r="N33" s="1126"/>
      <c r="O33" s="1126"/>
      <c r="P33" s="3246" t="s">
        <v>2551</v>
      </c>
      <c r="Q33" s="1805" t="str">
        <f t="shared" si="11"/>
        <v>建筑类型</v>
      </c>
      <c r="R33" s="771" t="s">
        <v>17</v>
      </c>
      <c r="S33" s="772">
        <f t="shared" si="12"/>
        <v>100</v>
      </c>
      <c r="T33" s="771" t="s">
        <v>17</v>
      </c>
      <c r="U33" s="772">
        <f t="shared" si="13"/>
        <v>100</v>
      </c>
      <c r="V33" s="771" t="s">
        <v>17</v>
      </c>
      <c r="W33" s="772">
        <f t="shared" si="14"/>
        <v>100</v>
      </c>
      <c r="X33" s="1808"/>
      <c r="Y33" s="3249" t="s">
        <v>2551</v>
      </c>
      <c r="Z33" s="1809" t="str">
        <f t="shared" si="15"/>
        <v>建筑类型</v>
      </c>
      <c r="AA33" s="1806">
        <f t="shared" si="3"/>
        <v>1</v>
      </c>
      <c r="AB33" s="1806">
        <f t="shared" si="4"/>
        <v>1</v>
      </c>
      <c r="AC33" s="2665">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247"/>
      <c r="Q34" s="773" t="str">
        <f t="shared" si="11"/>
        <v>项目建筑规模</v>
      </c>
      <c r="R34" s="774" t="s">
        <v>17</v>
      </c>
      <c r="S34" s="775" t="e">
        <f t="shared" si="12"/>
        <v>#N/A</v>
      </c>
      <c r="T34" s="774" t="s">
        <v>17</v>
      </c>
      <c r="U34" s="775" t="e">
        <f t="shared" si="13"/>
        <v>#N/A</v>
      </c>
      <c r="V34" s="774" t="s">
        <v>17</v>
      </c>
      <c r="W34" s="775" t="e">
        <f t="shared" si="14"/>
        <v>#N/A</v>
      </c>
      <c r="X34" s="776"/>
      <c r="Y34" s="3249"/>
      <c r="Z34" s="777" t="str">
        <f t="shared" si="15"/>
        <v>项目建筑规模</v>
      </c>
      <c r="AA34" s="1806" t="e">
        <f t="shared" si="3"/>
        <v>#N/A</v>
      </c>
      <c r="AB34" s="1806" t="e">
        <f t="shared" si="4"/>
        <v>#N/A</v>
      </c>
      <c r="AC34" s="2665"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47"/>
      <c r="Q35" s="1805" t="str">
        <f t="shared" si="11"/>
        <v>建筑结构</v>
      </c>
      <c r="R35" s="771" t="s">
        <v>17</v>
      </c>
      <c r="S35" s="772">
        <f t="shared" si="12"/>
        <v>100</v>
      </c>
      <c r="T35" s="771" t="s">
        <v>17</v>
      </c>
      <c r="U35" s="772">
        <f t="shared" si="13"/>
        <v>100</v>
      </c>
      <c r="V35" s="771" t="s">
        <v>17</v>
      </c>
      <c r="W35" s="772">
        <f t="shared" si="14"/>
        <v>100</v>
      </c>
      <c r="X35" s="1808"/>
      <c r="Y35" s="3249"/>
      <c r="Z35" s="1809" t="str">
        <f t="shared" si="15"/>
        <v>建筑结构</v>
      </c>
      <c r="AA35" s="1806">
        <f t="shared" si="3"/>
        <v>1</v>
      </c>
      <c r="AB35" s="1806">
        <f t="shared" si="4"/>
        <v>1</v>
      </c>
      <c r="AC35" s="2665">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47"/>
      <c r="Q36" s="1805" t="str">
        <f t="shared" si="11"/>
        <v>公共部分装修</v>
      </c>
      <c r="R36" s="771" t="s">
        <v>17</v>
      </c>
      <c r="S36" s="772">
        <f t="shared" si="12"/>
        <v>100</v>
      </c>
      <c r="T36" s="771" t="s">
        <v>17</v>
      </c>
      <c r="U36" s="772">
        <f t="shared" si="13"/>
        <v>100</v>
      </c>
      <c r="V36" s="771" t="s">
        <v>17</v>
      </c>
      <c r="W36" s="772">
        <f t="shared" si="14"/>
        <v>100</v>
      </c>
      <c r="X36" s="1808"/>
      <c r="Y36" s="3249"/>
      <c r="Z36" s="1809" t="str">
        <f t="shared" si="15"/>
        <v>公共部分装修</v>
      </c>
      <c r="AA36" s="1806">
        <f t="shared" si="3"/>
        <v>1</v>
      </c>
      <c r="AB36" s="1806">
        <f t="shared" si="4"/>
        <v>1</v>
      </c>
      <c r="AC36" s="2665">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47"/>
      <c r="Q37" s="1805" t="str">
        <f t="shared" si="11"/>
        <v>成新度</v>
      </c>
      <c r="R37" s="771" t="s">
        <v>17</v>
      </c>
      <c r="S37" s="772" t="e">
        <f t="shared" si="12"/>
        <v>#N/A</v>
      </c>
      <c r="T37" s="771" t="s">
        <v>17</v>
      </c>
      <c r="U37" s="772" t="e">
        <f t="shared" si="13"/>
        <v>#N/A</v>
      </c>
      <c r="V37" s="771" t="s">
        <v>17</v>
      </c>
      <c r="W37" s="772" t="e">
        <f t="shared" si="14"/>
        <v>#N/A</v>
      </c>
      <c r="X37" s="1808"/>
      <c r="Y37" s="3249"/>
      <c r="Z37" s="1809" t="str">
        <f t="shared" si="15"/>
        <v>成新度</v>
      </c>
      <c r="AA37" s="1806" t="e">
        <f t="shared" si="3"/>
        <v>#N/A</v>
      </c>
      <c r="AB37" s="1806" t="e">
        <f t="shared" si="4"/>
        <v>#N/A</v>
      </c>
      <c r="AC37" s="2665"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47"/>
      <c r="Q38" s="1790" t="str">
        <f t="shared" si="11"/>
        <v>写字楼等级</v>
      </c>
      <c r="R38" s="767" t="s">
        <v>17</v>
      </c>
      <c r="S38" s="768">
        <f t="shared" si="12"/>
        <v>100</v>
      </c>
      <c r="T38" s="767" t="s">
        <v>17</v>
      </c>
      <c r="U38" s="768">
        <f t="shared" si="13"/>
        <v>100</v>
      </c>
      <c r="V38" s="767" t="s">
        <v>17</v>
      </c>
      <c r="W38" s="768">
        <f t="shared" si="14"/>
        <v>100</v>
      </c>
      <c r="X38" s="769"/>
      <c r="Y38" s="3249"/>
      <c r="Z38" s="55" t="str">
        <f t="shared" si="15"/>
        <v>写字楼等级</v>
      </c>
      <c r="AA38" s="770">
        <f t="shared" si="3"/>
        <v>1</v>
      </c>
      <c r="AB38" s="770">
        <f t="shared" si="4"/>
        <v>1</v>
      </c>
      <c r="AC38" s="2662">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47" t="s">
        <v>2551</v>
      </c>
      <c r="Q39" s="1805" t="str">
        <f t="shared" si="11"/>
        <v>物业管理</v>
      </c>
      <c r="R39" s="771" t="s">
        <v>17</v>
      </c>
      <c r="S39" s="772">
        <f t="shared" si="12"/>
        <v>100</v>
      </c>
      <c r="T39" s="771" t="s">
        <v>17</v>
      </c>
      <c r="U39" s="772">
        <f t="shared" si="13"/>
        <v>100</v>
      </c>
      <c r="V39" s="771" t="s">
        <v>17</v>
      </c>
      <c r="W39" s="772">
        <f t="shared" si="14"/>
        <v>100</v>
      </c>
      <c r="X39" s="1808"/>
      <c r="Y39" s="3249" t="s">
        <v>2551</v>
      </c>
      <c r="Z39" s="1809" t="str">
        <f t="shared" si="15"/>
        <v>物业管理</v>
      </c>
      <c r="AA39" s="1806">
        <f t="shared" si="3"/>
        <v>1</v>
      </c>
      <c r="AB39" s="1806">
        <f t="shared" si="4"/>
        <v>1</v>
      </c>
      <c r="AC39" s="2665">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47"/>
      <c r="Q40" s="1805" t="str">
        <f t="shared" si="11"/>
        <v>市政基础设施</v>
      </c>
      <c r="R40" s="771" t="s">
        <v>17</v>
      </c>
      <c r="S40" s="772">
        <f t="shared" si="12"/>
        <v>100</v>
      </c>
      <c r="T40" s="771" t="s">
        <v>17</v>
      </c>
      <c r="U40" s="772">
        <f t="shared" si="13"/>
        <v>100</v>
      </c>
      <c r="V40" s="771" t="s">
        <v>17</v>
      </c>
      <c r="W40" s="772">
        <f t="shared" si="14"/>
        <v>100</v>
      </c>
      <c r="X40" s="1808"/>
      <c r="Y40" s="3249"/>
      <c r="Z40" s="1809" t="str">
        <f t="shared" si="15"/>
        <v>市政基础设施</v>
      </c>
      <c r="AA40" s="1806">
        <f t="shared" si="3"/>
        <v>1</v>
      </c>
      <c r="AB40" s="1806">
        <f t="shared" si="4"/>
        <v>1</v>
      </c>
      <c r="AC40" s="2665">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47"/>
      <c r="Q41" s="1805" t="str">
        <f t="shared" si="11"/>
        <v>层高</v>
      </c>
      <c r="R41" s="771" t="s">
        <v>17</v>
      </c>
      <c r="S41" s="772">
        <f t="shared" si="12"/>
        <v>100</v>
      </c>
      <c r="T41" s="771" t="s">
        <v>17</v>
      </c>
      <c r="U41" s="772">
        <f t="shared" si="13"/>
        <v>100</v>
      </c>
      <c r="V41" s="771" t="s">
        <v>17</v>
      </c>
      <c r="W41" s="772">
        <f t="shared" si="14"/>
        <v>100</v>
      </c>
      <c r="X41" s="1808"/>
      <c r="Y41" s="3249"/>
      <c r="Z41" s="1809" t="str">
        <f t="shared" si="15"/>
        <v>层高</v>
      </c>
      <c r="AA41" s="1806">
        <f t="shared" si="3"/>
        <v>1</v>
      </c>
      <c r="AB41" s="1806">
        <f t="shared" si="4"/>
        <v>1</v>
      </c>
      <c r="AC41" s="2665">
        <f t="shared" si="5"/>
        <v>1</v>
      </c>
    </row>
    <row r="42" spans="1:29" s="468" customFormat="1" ht="15">
      <c r="A42" s="465"/>
      <c r="B42" s="1807"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47"/>
      <c r="Q42" s="773" t="str">
        <f t="shared" si="11"/>
        <v>单套建筑面积</v>
      </c>
      <c r="R42" s="774" t="s">
        <v>17</v>
      </c>
      <c r="S42" s="775">
        <f t="shared" si="12"/>
        <v>100</v>
      </c>
      <c r="T42" s="774" t="s">
        <v>17</v>
      </c>
      <c r="U42" s="775">
        <f t="shared" si="13"/>
        <v>100</v>
      </c>
      <c r="V42" s="774" t="s">
        <v>17</v>
      </c>
      <c r="W42" s="775">
        <f t="shared" si="14"/>
        <v>100</v>
      </c>
      <c r="X42" s="776"/>
      <c r="Y42" s="3249"/>
      <c r="Z42" s="777" t="str">
        <f t="shared" si="15"/>
        <v>单套建筑面积</v>
      </c>
      <c r="AA42" s="1806">
        <f t="shared" si="3"/>
        <v>1</v>
      </c>
      <c r="AB42" s="1806">
        <f t="shared" si="4"/>
        <v>1</v>
      </c>
      <c r="AC42" s="2665">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47"/>
      <c r="Q43" s="1805" t="str">
        <f t="shared" si="11"/>
        <v>内部装修</v>
      </c>
      <c r="R43" s="771" t="s">
        <v>17</v>
      </c>
      <c r="S43" s="772">
        <f t="shared" si="12"/>
        <v>100</v>
      </c>
      <c r="T43" s="771" t="s">
        <v>17</v>
      </c>
      <c r="U43" s="772">
        <f t="shared" si="13"/>
        <v>100</v>
      </c>
      <c r="V43" s="771" t="s">
        <v>17</v>
      </c>
      <c r="W43" s="772">
        <f t="shared" si="14"/>
        <v>100</v>
      </c>
      <c r="X43" s="1808"/>
      <c r="Y43" s="3249"/>
      <c r="Z43" s="1809" t="str">
        <f t="shared" si="15"/>
        <v>内部装修</v>
      </c>
      <c r="AA43" s="1806">
        <f t="shared" si="3"/>
        <v>1</v>
      </c>
      <c r="AB43" s="1806">
        <f t="shared" si="4"/>
        <v>1</v>
      </c>
      <c r="AC43" s="2665">
        <f t="shared" si="5"/>
        <v>1</v>
      </c>
    </row>
    <row r="44" spans="1:29" ht="15">
      <c r="A44" s="469"/>
      <c r="B44" s="419" t="s">
        <v>2562</v>
      </c>
      <c r="C44" s="457"/>
      <c r="D44" s="432">
        <v>100</v>
      </c>
      <c r="E44" s="2604"/>
      <c r="F44" s="458">
        <f>SUMIF(125:125,E44,126:126)-SUMIF(125:125,C44,126:126)+100</f>
        <v>100</v>
      </c>
      <c r="G44" s="2604"/>
      <c r="H44" s="432">
        <f>SUMIF(125:125,G44,126:126)-SUMIF(125:125,C44,126:126)+100</f>
        <v>100</v>
      </c>
      <c r="I44" s="2604"/>
      <c r="J44" s="432">
        <f>SUMIF(125:125,I44,126:126)-SUMIF(125:125,C44,126:126)+100</f>
        <v>100</v>
      </c>
      <c r="K44" s="609"/>
      <c r="L44" s="1135"/>
      <c r="M44" s="1126"/>
      <c r="N44" s="1126"/>
      <c r="O44" s="1126"/>
      <c r="P44" s="3247"/>
      <c r="Q44" s="1805" t="str">
        <f t="shared" si="11"/>
        <v>内部装修维护情况</v>
      </c>
      <c r="R44" s="771" t="s">
        <v>17</v>
      </c>
      <c r="S44" s="772">
        <f t="shared" si="12"/>
        <v>100</v>
      </c>
      <c r="T44" s="771" t="s">
        <v>17</v>
      </c>
      <c r="U44" s="772">
        <f t="shared" si="13"/>
        <v>100</v>
      </c>
      <c r="V44" s="771" t="s">
        <v>17</v>
      </c>
      <c r="W44" s="772">
        <f t="shared" si="14"/>
        <v>100</v>
      </c>
      <c r="X44" s="1808"/>
      <c r="Y44" s="3249"/>
      <c r="Z44" s="1809" t="str">
        <f t="shared" si="15"/>
        <v>内部装修维护情况</v>
      </c>
      <c r="AA44" s="1806">
        <f t="shared" si="3"/>
        <v>1</v>
      </c>
      <c r="AB44" s="1806">
        <f t="shared" si="4"/>
        <v>1</v>
      </c>
      <c r="AC44" s="2665">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247"/>
      <c r="Q45" s="1790">
        <f t="shared" si="11"/>
        <v>111</v>
      </c>
      <c r="R45" s="767" t="s">
        <v>17</v>
      </c>
      <c r="S45" s="768">
        <f t="shared" si="12"/>
        <v>100</v>
      </c>
      <c r="T45" s="767" t="s">
        <v>17</v>
      </c>
      <c r="U45" s="768">
        <f t="shared" si="13"/>
        <v>100</v>
      </c>
      <c r="V45" s="767" t="s">
        <v>17</v>
      </c>
      <c r="W45" s="768">
        <f t="shared" si="14"/>
        <v>100</v>
      </c>
      <c r="X45" s="769"/>
      <c r="Y45" s="3249"/>
      <c r="Z45" s="55">
        <f t="shared" si="15"/>
        <v>111</v>
      </c>
      <c r="AA45" s="770">
        <f t="shared" si="3"/>
        <v>1</v>
      </c>
      <c r="AB45" s="770">
        <f t="shared" si="4"/>
        <v>1</v>
      </c>
      <c r="AC45" s="2662">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47"/>
      <c r="Q46" s="1805">
        <f t="shared" si="11"/>
        <v>111</v>
      </c>
      <c r="R46" s="771" t="s">
        <v>17</v>
      </c>
      <c r="S46" s="772">
        <f t="shared" si="12"/>
        <v>100</v>
      </c>
      <c r="T46" s="771" t="s">
        <v>17</v>
      </c>
      <c r="U46" s="772">
        <f t="shared" si="13"/>
        <v>100</v>
      </c>
      <c r="V46" s="771" t="s">
        <v>17</v>
      </c>
      <c r="W46" s="772">
        <f t="shared" si="14"/>
        <v>100</v>
      </c>
      <c r="X46" s="1808"/>
      <c r="Y46" s="3249"/>
      <c r="Z46" s="1809">
        <f t="shared" si="15"/>
        <v>111</v>
      </c>
      <c r="AA46" s="1806">
        <f t="shared" si="3"/>
        <v>1</v>
      </c>
      <c r="AB46" s="1806">
        <f t="shared" si="4"/>
        <v>1</v>
      </c>
      <c r="AC46" s="2665">
        <f t="shared" si="5"/>
        <v>1</v>
      </c>
    </row>
    <row r="47" spans="1:29" ht="15.75" thickBot="1">
      <c r="A47" s="475"/>
      <c r="B47" s="259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48"/>
      <c r="Q47" s="1805">
        <f t="shared" si="11"/>
        <v>111</v>
      </c>
      <c r="R47" s="771" t="s">
        <v>17</v>
      </c>
      <c r="S47" s="772">
        <f t="shared" si="12"/>
        <v>100</v>
      </c>
      <c r="T47" s="771" t="s">
        <v>17</v>
      </c>
      <c r="U47" s="772">
        <f t="shared" si="13"/>
        <v>100</v>
      </c>
      <c r="V47" s="771" t="s">
        <v>17</v>
      </c>
      <c r="W47" s="772">
        <f t="shared" si="14"/>
        <v>100</v>
      </c>
      <c r="X47" s="1808"/>
      <c r="Y47" s="3250"/>
      <c r="Z47" s="1809">
        <f t="shared" si="15"/>
        <v>111</v>
      </c>
      <c r="AA47" s="1806">
        <f t="shared" si="3"/>
        <v>1</v>
      </c>
      <c r="AB47" s="1806">
        <f t="shared" si="4"/>
        <v>1</v>
      </c>
      <c r="AC47" s="2665">
        <f t="shared" si="5"/>
        <v>1</v>
      </c>
    </row>
    <row r="48" spans="1:29" ht="15">
      <c r="A48" s="476" t="s">
        <v>2563</v>
      </c>
      <c r="B48" s="477"/>
      <c r="C48" s="1402" t="s">
        <v>1</v>
      </c>
      <c r="D48" s="1403"/>
      <c r="E48" s="1404"/>
      <c r="F48" s="1405"/>
      <c r="G48" s="1406"/>
      <c r="H48" s="1407"/>
      <c r="I48" s="1404"/>
      <c r="J48" s="482"/>
      <c r="K48" s="780"/>
      <c r="L48" s="1138"/>
      <c r="M48" s="1126"/>
      <c r="N48" s="1126"/>
      <c r="O48" s="1126"/>
      <c r="P48" s="3224" t="str">
        <f>A48</f>
        <v>成交单价（元/平方米）</v>
      </c>
      <c r="Q48" s="3242"/>
      <c r="R48" s="3243">
        <f>E48</f>
        <v>0</v>
      </c>
      <c r="S48" s="3243"/>
      <c r="T48" s="3243">
        <f>G48</f>
        <v>0</v>
      </c>
      <c r="U48" s="3243"/>
      <c r="V48" s="3243">
        <f>I48</f>
        <v>0</v>
      </c>
      <c r="W48" s="3243"/>
      <c r="X48" s="443"/>
      <c r="Y48" s="778"/>
      <c r="Z48" s="443"/>
      <c r="AA48" s="443"/>
      <c r="AB48" s="443"/>
      <c r="AC48" s="627"/>
    </row>
    <row r="49" spans="1:29" ht="15.75" thickBot="1">
      <c r="A49" s="483" t="s">
        <v>2655</v>
      </c>
      <c r="B49" s="484"/>
      <c r="C49" s="1408" t="e">
        <f>R50</f>
        <v>#DIV/0!</v>
      </c>
      <c r="D49" s="1409"/>
      <c r="E49" s="1410" t="e">
        <f>R49</f>
        <v>#DIV/0!</v>
      </c>
      <c r="F49" s="1410"/>
      <c r="G49" s="1408" t="e">
        <f>T49</f>
        <v>#DIV/0!</v>
      </c>
      <c r="H49" s="1409"/>
      <c r="I49" s="1410" t="e">
        <f>V49</f>
        <v>#DIV/0!</v>
      </c>
      <c r="J49" s="486"/>
      <c r="K49" s="781"/>
      <c r="L49" s="1138"/>
      <c r="M49" s="1126"/>
      <c r="N49" s="1126"/>
      <c r="O49" s="1126"/>
      <c r="P49" s="3224" t="str">
        <f>A49</f>
        <v>比较价值（元/平方米）</v>
      </c>
      <c r="Q49" s="324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3"/>
      <c r="Y49" s="443"/>
      <c r="Z49" s="443"/>
      <c r="AA49" s="443"/>
      <c r="AB49" s="443"/>
      <c r="AC49" s="627"/>
    </row>
    <row r="50" spans="1:29" ht="15.75" thickBot="1">
      <c r="A50" s="489" t="s">
        <v>2656</v>
      </c>
      <c r="B50" s="490"/>
      <c r="C50" s="1412" t="e">
        <f>R50</f>
        <v>#DIV/0!</v>
      </c>
      <c r="D50" s="1412"/>
      <c r="E50" s="1412"/>
      <c r="F50" s="1412"/>
      <c r="G50" s="1412"/>
      <c r="H50" s="1412"/>
      <c r="I50" s="1412"/>
      <c r="J50" s="491"/>
      <c r="K50" s="782"/>
      <c r="L50" s="1138"/>
      <c r="M50" s="1126"/>
      <c r="N50" s="1126"/>
      <c r="O50" s="1126"/>
      <c r="P50" s="3298" t="str">
        <f>A50</f>
        <v>估价对象XX用房的比较价值（楼面单价，元/平方米）</v>
      </c>
      <c r="Q50" s="3299"/>
      <c r="R50" s="3300" t="e">
        <f>IF(F1="售价",ROUND(AVERAGE(R49:V49),0),ROUND(AVERAGE(R49:V49),1))</f>
        <v>#DIV/0!</v>
      </c>
      <c r="S50" s="3300"/>
      <c r="T50" s="3300"/>
      <c r="U50" s="3300"/>
      <c r="V50" s="3300"/>
      <c r="W50" s="3300"/>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1"/>
    </row>
    <row r="56" spans="1:29" s="499"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2660</v>
      </c>
      <c r="B58" s="756"/>
      <c r="C58" s="761"/>
      <c r="D58" s="761"/>
      <c r="E58" s="761"/>
      <c r="F58" s="762"/>
      <c r="G58" s="762"/>
      <c r="H58" s="761"/>
      <c r="I58" s="761"/>
      <c r="J58" s="761"/>
      <c r="K58" s="763"/>
      <c r="L58" s="1156"/>
      <c r="M58" s="1154"/>
      <c r="N58" s="1154"/>
      <c r="O58" s="1154"/>
      <c r="P58" s="2672"/>
      <c r="Q58" s="501"/>
    </row>
    <row r="59" spans="1:29" s="505" customFormat="1" ht="15">
      <c r="A59" s="502" t="s">
        <v>2534</v>
      </c>
      <c r="B59" s="503"/>
      <c r="C59" s="1569" t="str">
        <f>YEAR(C7)&amp;"-"&amp;MONTH(C7)</f>
        <v>2018-1</v>
      </c>
      <c r="D59" s="1570">
        <f>EDATE(C59,-1)</f>
        <v>43070</v>
      </c>
      <c r="E59" s="1570">
        <f>EDATE(D59,-1)</f>
        <v>43040</v>
      </c>
      <c r="F59" s="1570">
        <f t="shared" ref="F59:O59" si="16">EDATE(E59,-1)</f>
        <v>43009</v>
      </c>
      <c r="G59" s="1570">
        <f t="shared" si="16"/>
        <v>42979</v>
      </c>
      <c r="H59" s="1570">
        <f t="shared" si="16"/>
        <v>42948</v>
      </c>
      <c r="I59" s="1570">
        <f t="shared" si="16"/>
        <v>42917</v>
      </c>
      <c r="J59" s="1570">
        <f t="shared" si="16"/>
        <v>42887</v>
      </c>
      <c r="K59" s="1570">
        <f t="shared" si="16"/>
        <v>42856</v>
      </c>
      <c r="L59" s="1570">
        <f t="shared" si="16"/>
        <v>42826</v>
      </c>
      <c r="M59" s="1570">
        <f t="shared" si="16"/>
        <v>42795</v>
      </c>
      <c r="N59" s="1570">
        <f t="shared" si="16"/>
        <v>42767</v>
      </c>
      <c r="O59" s="1570">
        <f t="shared" si="16"/>
        <v>42736</v>
      </c>
      <c r="P59" s="1566"/>
    </row>
    <row r="60" spans="1:29" s="114" customFormat="1" ht="15">
      <c r="A60" s="506"/>
      <c r="B60" s="507"/>
      <c r="C60" s="1568">
        <v>100</v>
      </c>
      <c r="D60" s="509"/>
      <c r="E60" s="509"/>
      <c r="F60" s="509"/>
      <c r="G60" s="509"/>
      <c r="H60" s="509"/>
      <c r="I60" s="509"/>
      <c r="J60" s="509"/>
      <c r="K60" s="509"/>
      <c r="L60" s="509"/>
      <c r="M60" s="510"/>
      <c r="N60" s="509"/>
      <c r="O60" s="510"/>
      <c r="P60" s="2673"/>
    </row>
    <row r="61" spans="1:29" s="114" customFormat="1" ht="15.75" thickBot="1">
      <c r="A61" s="512" t="s">
        <v>2571</v>
      </c>
      <c r="B61" s="513"/>
      <c r="C61" s="514"/>
      <c r="D61" s="515"/>
      <c r="E61" s="515"/>
      <c r="F61" s="515"/>
      <c r="G61" s="515"/>
      <c r="H61" s="515"/>
      <c r="I61" s="515"/>
      <c r="J61" s="515"/>
      <c r="K61" s="515"/>
      <c r="L61" s="515"/>
      <c r="M61" s="516"/>
      <c r="N61" s="515"/>
      <c r="O61" s="516"/>
      <c r="P61" s="2673"/>
      <c r="Q61" s="501"/>
    </row>
    <row r="62" spans="1:29" s="114" customFormat="1" ht="15">
      <c r="A62" s="518" t="s">
        <v>2536</v>
      </c>
      <c r="B62" s="507"/>
      <c r="C62" s="519" t="s">
        <v>2638</v>
      </c>
      <c r="D62" s="520"/>
      <c r="E62" s="520"/>
      <c r="F62" s="520"/>
      <c r="G62" s="520"/>
      <c r="H62" s="520"/>
      <c r="I62" s="520"/>
      <c r="J62" s="520"/>
      <c r="K62" s="520"/>
      <c r="L62" s="521"/>
      <c r="M62" s="522"/>
      <c r="N62" s="1146"/>
      <c r="O62" s="1146"/>
      <c r="P62" s="2674"/>
      <c r="Q62" s="501"/>
    </row>
    <row r="63" spans="1:29" s="114" customFormat="1" ht="15.75" thickBot="1">
      <c r="A63" s="518"/>
      <c r="B63" s="507"/>
      <c r="C63" s="508">
        <v>100</v>
      </c>
      <c r="D63" s="509"/>
      <c r="E63" s="509"/>
      <c r="F63" s="509"/>
      <c r="G63" s="509"/>
      <c r="H63" s="509"/>
      <c r="I63" s="509"/>
      <c r="J63" s="509"/>
      <c r="K63" s="509"/>
      <c r="L63" s="509"/>
      <c r="M63" s="511"/>
      <c r="N63" s="1146"/>
      <c r="O63" s="1146"/>
      <c r="P63" s="2673"/>
      <c r="Q63" s="501"/>
    </row>
    <row r="64" spans="1:29">
      <c r="A64" s="524" t="s">
        <v>2574</v>
      </c>
      <c r="B64" s="525" t="s">
        <v>2540</v>
      </c>
      <c r="C64" s="526">
        <f>C9</f>
        <v>0</v>
      </c>
      <c r="D64" s="527"/>
      <c r="E64" s="527"/>
      <c r="F64" s="527"/>
      <c r="G64" s="527"/>
      <c r="H64" s="527"/>
      <c r="I64" s="527"/>
      <c r="J64" s="527"/>
      <c r="K64" s="528"/>
      <c r="L64" s="529"/>
      <c r="M64" s="530"/>
      <c r="N64" s="1147"/>
      <c r="O64" s="1147"/>
      <c r="P64" s="2675"/>
      <c r="Q64" s="501"/>
    </row>
    <row r="65" spans="1:17" ht="15.75" thickBot="1">
      <c r="A65" s="531"/>
      <c r="B65" s="532"/>
      <c r="C65" s="533">
        <v>100</v>
      </c>
      <c r="D65" s="533"/>
      <c r="E65" s="533"/>
      <c r="F65" s="533"/>
      <c r="G65" s="533"/>
      <c r="H65" s="533"/>
      <c r="I65" s="533"/>
      <c r="J65" s="533"/>
      <c r="K65" s="533"/>
      <c r="L65" s="533"/>
      <c r="M65" s="534"/>
      <c r="N65" s="1148"/>
      <c r="O65" s="1148"/>
      <c r="P65" s="2675"/>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7"/>
      <c r="O66" s="1147"/>
      <c r="P66" s="267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5"/>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5"/>
      <c r="Q68" s="501"/>
    </row>
    <row r="69" spans="1:17" ht="15">
      <c r="A69" s="531"/>
      <c r="B69" s="545"/>
      <c r="C69" s="546"/>
      <c r="D69" s="546"/>
      <c r="E69" s="546"/>
      <c r="F69" s="546"/>
      <c r="G69" s="546"/>
      <c r="H69" s="546"/>
      <c r="I69" s="546"/>
      <c r="J69" s="546"/>
      <c r="K69" s="547"/>
      <c r="L69" s="548"/>
      <c r="M69" s="549"/>
      <c r="N69" s="1147"/>
      <c r="O69" s="1147"/>
      <c r="P69" s="267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5"/>
      <c r="Q70" s="501"/>
    </row>
    <row r="71" spans="1:17" s="468" customFormat="1" ht="15.75" thickTop="1">
      <c r="A71" s="550"/>
      <c r="B71" s="535">
        <f>B12</f>
        <v>111</v>
      </c>
      <c r="C71" s="551"/>
      <c r="D71" s="551"/>
      <c r="E71" s="551"/>
      <c r="F71" s="551"/>
      <c r="G71" s="551"/>
      <c r="H71" s="552"/>
      <c r="I71" s="552"/>
      <c r="J71" s="552"/>
      <c r="K71" s="552"/>
      <c r="L71" s="553"/>
      <c r="M71" s="554"/>
      <c r="N71" s="1149"/>
      <c r="O71" s="1149"/>
      <c r="P71" s="2676"/>
      <c r="Q71" s="556"/>
    </row>
    <row r="72" spans="1:17" s="468" customFormat="1" ht="15.75" thickBot="1">
      <c r="A72" s="550"/>
      <c r="B72" s="540"/>
      <c r="C72" s="557"/>
      <c r="D72" s="533"/>
      <c r="E72" s="533"/>
      <c r="F72" s="533"/>
      <c r="G72" s="533"/>
      <c r="H72" s="533"/>
      <c r="I72" s="533"/>
      <c r="J72" s="533"/>
      <c r="K72" s="533"/>
      <c r="L72" s="533"/>
      <c r="M72" s="534"/>
      <c r="N72" s="1148"/>
      <c r="O72" s="1148"/>
      <c r="P72" s="2676"/>
      <c r="Q72" s="556"/>
    </row>
    <row r="73" spans="1:17" s="468" customFormat="1" ht="15.75" thickTop="1">
      <c r="A73" s="550"/>
      <c r="B73" s="535">
        <f>B13</f>
        <v>111</v>
      </c>
      <c r="C73" s="551"/>
      <c r="D73" s="551"/>
      <c r="E73" s="551"/>
      <c r="F73" s="551"/>
      <c r="G73" s="551"/>
      <c r="H73" s="552"/>
      <c r="I73" s="552"/>
      <c r="J73" s="552"/>
      <c r="K73" s="552"/>
      <c r="L73" s="553"/>
      <c r="M73" s="554"/>
      <c r="N73" s="1149"/>
      <c r="O73" s="1149"/>
      <c r="P73" s="2677"/>
      <c r="Q73" s="558"/>
    </row>
    <row r="74" spans="1:17" s="468" customFormat="1" ht="15.75" thickBot="1">
      <c r="A74" s="550"/>
      <c r="B74" s="540"/>
      <c r="C74" s="557"/>
      <c r="D74" s="557"/>
      <c r="E74" s="557"/>
      <c r="F74" s="557"/>
      <c r="G74" s="557"/>
      <c r="H74" s="559"/>
      <c r="I74" s="559"/>
      <c r="J74" s="559"/>
      <c r="K74" s="559"/>
      <c r="L74" s="559"/>
      <c r="M74" s="560"/>
      <c r="N74" s="1149"/>
      <c r="O74" s="1149"/>
      <c r="P74" s="2676"/>
      <c r="Q74" s="556"/>
    </row>
    <row r="75" spans="1:17" s="468" customFormat="1" ht="15.75" thickTop="1">
      <c r="A75" s="550"/>
      <c r="B75" s="543">
        <f>B14</f>
        <v>111</v>
      </c>
      <c r="C75" s="520"/>
      <c r="D75" s="520"/>
      <c r="E75" s="520"/>
      <c r="F75" s="520"/>
      <c r="G75" s="520"/>
      <c r="H75" s="561"/>
      <c r="I75" s="561"/>
      <c r="J75" s="561"/>
      <c r="K75" s="561"/>
      <c r="L75" s="562"/>
      <c r="M75" s="563"/>
      <c r="N75" s="1149"/>
      <c r="O75" s="1149"/>
      <c r="P75" s="2678"/>
      <c r="Q75" s="556"/>
    </row>
    <row r="76" spans="1:17" s="468" customFormat="1" ht="15.75" thickBot="1">
      <c r="A76" s="565"/>
      <c r="B76" s="566"/>
      <c r="C76" s="567"/>
      <c r="D76" s="567"/>
      <c r="E76" s="567"/>
      <c r="F76" s="567"/>
      <c r="G76" s="567"/>
      <c r="H76" s="568"/>
      <c r="I76" s="568"/>
      <c r="J76" s="568"/>
      <c r="K76" s="568"/>
      <c r="L76" s="568"/>
      <c r="M76" s="569"/>
      <c r="N76" s="1149"/>
      <c r="O76" s="1149"/>
      <c r="P76" s="2676"/>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7"/>
      <c r="O77" s="1147"/>
      <c r="P77" s="267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5"/>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7"/>
      <c r="O79" s="1147"/>
      <c r="P79" s="267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5"/>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7"/>
      <c r="O81" s="1147"/>
      <c r="P81" s="267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5"/>
      <c r="Q82" s="501"/>
    </row>
    <row r="83" spans="1:17" ht="15.75" thickTop="1">
      <c r="A83" s="531"/>
      <c r="B83" s="543" t="s">
        <v>2675</v>
      </c>
      <c r="C83" s="657" t="s">
        <v>2661</v>
      </c>
      <c r="D83" s="657" t="s">
        <v>2662</v>
      </c>
      <c r="E83" s="657" t="s">
        <v>2663</v>
      </c>
      <c r="F83" s="657" t="s">
        <v>2664</v>
      </c>
      <c r="G83" s="657" t="s">
        <v>2665</v>
      </c>
      <c r="H83" s="536"/>
      <c r="I83" s="536"/>
      <c r="J83" s="536"/>
      <c r="K83" s="536"/>
      <c r="L83" s="536"/>
      <c r="M83" s="1377"/>
      <c r="N83" s="1148"/>
      <c r="O83" s="1148"/>
      <c r="P83" s="267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5"/>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7"/>
      <c r="O85" s="1147"/>
      <c r="P85" s="267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5"/>
      <c r="Q86" s="501"/>
    </row>
    <row r="87" spans="1:17" s="114" customFormat="1" ht="27.75" thickTop="1">
      <c r="A87" s="576"/>
      <c r="B87" s="535" t="s">
        <v>2685</v>
      </c>
      <c r="C87" s="551"/>
      <c r="D87" s="551"/>
      <c r="E87" s="551"/>
      <c r="F87" s="551"/>
      <c r="G87" s="551"/>
      <c r="H87" s="551"/>
      <c r="I87" s="551"/>
      <c r="J87" s="551"/>
      <c r="K87" s="551"/>
      <c r="L87" s="577"/>
      <c r="M87" s="578"/>
      <c r="N87" s="1146"/>
      <c r="O87" s="1146"/>
      <c r="P87" s="2675"/>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5"/>
      <c r="Q88" s="501"/>
    </row>
    <row r="89" spans="1:17" s="114" customFormat="1" ht="15.75" thickTop="1">
      <c r="A89" s="576"/>
      <c r="B89" s="535" t="str">
        <f>B27</f>
        <v>楼层</v>
      </c>
      <c r="C89" s="551"/>
      <c r="D89" s="551"/>
      <c r="E89" s="551"/>
      <c r="F89" s="2626"/>
      <c r="G89" s="551"/>
      <c r="H89" s="551"/>
      <c r="I89" s="551"/>
      <c r="J89" s="551"/>
      <c r="K89" s="551"/>
      <c r="L89" s="551"/>
      <c r="M89" s="578"/>
      <c r="N89" s="1146"/>
      <c r="O89" s="1146"/>
      <c r="P89" s="2675"/>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6"/>
      <c r="Q92" s="556"/>
    </row>
    <row r="93" spans="1:17" ht="15.75" thickTop="1">
      <c r="A93" s="531"/>
      <c r="B93" s="535">
        <f>B29</f>
        <v>111</v>
      </c>
      <c r="C93" s="551"/>
      <c r="D93" s="551"/>
      <c r="E93" s="551"/>
      <c r="F93" s="551"/>
      <c r="G93" s="551"/>
      <c r="H93" s="551"/>
      <c r="I93" s="551"/>
      <c r="J93" s="551"/>
      <c r="K93" s="551"/>
      <c r="L93" s="577"/>
      <c r="M93" s="578"/>
      <c r="N93" s="1147"/>
      <c r="O93" s="1147"/>
      <c r="P93" s="2675"/>
      <c r="Q93" s="501"/>
    </row>
    <row r="94" spans="1:17" ht="15.75" thickBot="1">
      <c r="A94" s="531"/>
      <c r="B94" s="540"/>
      <c r="C94" s="557"/>
      <c r="D94" s="533"/>
      <c r="E94" s="533"/>
      <c r="F94" s="533"/>
      <c r="G94" s="533"/>
      <c r="H94" s="533"/>
      <c r="I94" s="533"/>
      <c r="J94" s="533"/>
      <c r="K94" s="533"/>
      <c r="L94" s="533"/>
      <c r="M94" s="534"/>
      <c r="N94" s="1148"/>
      <c r="O94" s="1148"/>
      <c r="P94" s="2675"/>
      <c r="Q94" s="501"/>
    </row>
    <row r="95" spans="1:17" ht="15.75" thickTop="1">
      <c r="A95" s="531"/>
      <c r="B95" s="535">
        <f>B30</f>
        <v>111</v>
      </c>
      <c r="C95" s="551"/>
      <c r="D95" s="551"/>
      <c r="E95" s="551"/>
      <c r="F95" s="551"/>
      <c r="G95" s="580"/>
      <c r="H95" s="580"/>
      <c r="I95" s="580"/>
      <c r="J95" s="580"/>
      <c r="K95" s="581"/>
      <c r="L95" s="582"/>
      <c r="M95" s="583"/>
      <c r="N95" s="1147"/>
      <c r="O95" s="1147"/>
      <c r="P95" s="2675"/>
      <c r="Q95" s="501"/>
    </row>
    <row r="96" spans="1:17" ht="15.75" thickBot="1">
      <c r="A96" s="531"/>
      <c r="B96" s="540"/>
      <c r="C96" s="557"/>
      <c r="D96" s="557"/>
      <c r="E96" s="557"/>
      <c r="F96" s="557"/>
      <c r="G96" s="533"/>
      <c r="H96" s="533"/>
      <c r="I96" s="533"/>
      <c r="J96" s="533"/>
      <c r="K96" s="533"/>
      <c r="L96" s="533"/>
      <c r="M96" s="534"/>
      <c r="N96" s="1148"/>
      <c r="O96" s="1148"/>
      <c r="P96" s="2675"/>
      <c r="Q96" s="501"/>
    </row>
    <row r="97" spans="1:17" ht="15.75" thickTop="1">
      <c r="A97" s="531"/>
      <c r="B97" s="535">
        <f>B31</f>
        <v>111</v>
      </c>
      <c r="C97" s="551"/>
      <c r="D97" s="551"/>
      <c r="E97" s="551"/>
      <c r="F97" s="551"/>
      <c r="G97" s="580"/>
      <c r="H97" s="580"/>
      <c r="I97" s="580"/>
      <c r="J97" s="580"/>
      <c r="K97" s="581"/>
      <c r="L97" s="582"/>
      <c r="M97" s="583"/>
      <c r="N97" s="1147"/>
      <c r="O97" s="1147"/>
      <c r="P97" s="2675"/>
      <c r="Q97" s="501"/>
    </row>
    <row r="98" spans="1:17" ht="15.75" thickBot="1">
      <c r="A98" s="531"/>
      <c r="B98" s="540"/>
      <c r="C98" s="557"/>
      <c r="D98" s="533"/>
      <c r="E98" s="533"/>
      <c r="F98" s="533"/>
      <c r="G98" s="533"/>
      <c r="H98" s="533"/>
      <c r="I98" s="533"/>
      <c r="J98" s="533"/>
      <c r="K98" s="533"/>
      <c r="L98" s="533"/>
      <c r="M98" s="534"/>
      <c r="N98" s="1148"/>
      <c r="O98" s="1148"/>
      <c r="P98" s="2675"/>
      <c r="Q98" s="501"/>
    </row>
    <row r="99" spans="1:17" ht="15.75" thickTop="1">
      <c r="A99" s="531"/>
      <c r="B99" s="543">
        <f>B32</f>
        <v>111</v>
      </c>
      <c r="C99" s="520"/>
      <c r="D99" s="520"/>
      <c r="E99" s="520"/>
      <c r="F99" s="520"/>
      <c r="G99" s="584"/>
      <c r="H99" s="584"/>
      <c r="I99" s="584"/>
      <c r="J99" s="584"/>
      <c r="K99" s="585"/>
      <c r="L99" s="586"/>
      <c r="M99" s="587"/>
      <c r="N99" s="1147"/>
      <c r="O99" s="1147"/>
      <c r="P99" s="2675"/>
      <c r="Q99" s="501"/>
    </row>
    <row r="100" spans="1:17" ht="15.75" thickBot="1">
      <c r="A100" s="2627"/>
      <c r="B100" s="566"/>
      <c r="C100" s="567"/>
      <c r="D100" s="567"/>
      <c r="E100" s="567"/>
      <c r="F100" s="567"/>
      <c r="G100" s="588"/>
      <c r="H100" s="588"/>
      <c r="I100" s="588"/>
      <c r="J100" s="588"/>
      <c r="K100" s="588"/>
      <c r="L100" s="588"/>
      <c r="M100" s="589"/>
      <c r="N100" s="1148"/>
      <c r="O100" s="1148"/>
      <c r="P100" s="2675"/>
      <c r="Q100" s="501"/>
    </row>
    <row r="101" spans="1:17">
      <c r="A101" s="524" t="s">
        <v>2549</v>
      </c>
      <c r="B101" s="525" t="s">
        <v>2598</v>
      </c>
      <c r="C101" s="527"/>
      <c r="D101" s="527"/>
      <c r="E101" s="527"/>
      <c r="F101" s="527"/>
      <c r="G101" s="527"/>
      <c r="H101" s="527"/>
      <c r="I101" s="527"/>
      <c r="J101" s="527"/>
      <c r="K101" s="528"/>
      <c r="L101" s="529"/>
      <c r="M101" s="530"/>
      <c r="N101" s="1147"/>
      <c r="O101" s="1147"/>
      <c r="P101" s="267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5"/>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5"/>
      <c r="Q103" s="501"/>
    </row>
    <row r="104" spans="1:17" s="468" customFormat="1">
      <c r="A104" s="590"/>
      <c r="B104" s="591"/>
      <c r="C104" s="592"/>
      <c r="D104" s="592"/>
      <c r="E104" s="592"/>
      <c r="F104" s="592"/>
      <c r="G104" s="592"/>
      <c r="H104" s="592"/>
      <c r="I104" s="592"/>
      <c r="J104" s="593"/>
      <c r="K104" s="593"/>
      <c r="L104" s="594"/>
      <c r="M104" s="595"/>
      <c r="N104" s="1149"/>
      <c r="O104" s="1149"/>
      <c r="P104" s="267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6"/>
      <c r="Q105" s="556"/>
    </row>
    <row r="106" spans="1:17" ht="15" thickTop="1">
      <c r="A106" s="596"/>
      <c r="B106" s="535" t="s">
        <v>2600</v>
      </c>
      <c r="C106" s="551"/>
      <c r="D106" s="551"/>
      <c r="E106" s="580"/>
      <c r="F106" s="580"/>
      <c r="G106" s="580"/>
      <c r="H106" s="580"/>
      <c r="I106" s="580"/>
      <c r="J106" s="580"/>
      <c r="K106" s="581"/>
      <c r="L106" s="582"/>
      <c r="M106" s="583"/>
      <c r="N106" s="1147"/>
      <c r="O106" s="1147"/>
      <c r="P106" s="267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5"/>
      <c r="Q107" s="501"/>
    </row>
    <row r="108" spans="1:17" ht="15" thickTop="1">
      <c r="A108" s="596"/>
      <c r="B108" s="535" t="s">
        <v>2602</v>
      </c>
      <c r="C108" s="551"/>
      <c r="D108" s="551"/>
      <c r="E108" s="551"/>
      <c r="F108" s="580"/>
      <c r="G108" s="580"/>
      <c r="H108" s="580"/>
      <c r="I108" s="580"/>
      <c r="J108" s="580"/>
      <c r="K108" s="581"/>
      <c r="L108" s="582"/>
      <c r="M108" s="583"/>
      <c r="N108" s="1147"/>
      <c r="O108" s="1147"/>
      <c r="P108" s="267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5"/>
      <c r="Q109" s="501"/>
    </row>
    <row r="110" spans="1:17" ht="15" thickTop="1">
      <c r="A110" s="596"/>
      <c r="B110" s="535" t="s">
        <v>1981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5"/>
      <c r="Q112" s="501"/>
    </row>
    <row r="113" spans="1:17" s="468" customFormat="1" ht="15" thickTop="1">
      <c r="A113" s="590"/>
      <c r="B113" s="535" t="s">
        <v>2686</v>
      </c>
      <c r="C113" s="551"/>
      <c r="D113" s="551"/>
      <c r="E113" s="551"/>
      <c r="F113" s="551"/>
      <c r="G113" s="551"/>
      <c r="H113" s="580"/>
      <c r="I113" s="580"/>
      <c r="J113" s="580"/>
      <c r="K113" s="581"/>
      <c r="L113" s="582"/>
      <c r="M113" s="583"/>
      <c r="N113" s="1149"/>
      <c r="O113" s="1149"/>
      <c r="P113" s="267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6"/>
      <c r="Q114" s="556"/>
    </row>
    <row r="115" spans="1:17" ht="15" thickTop="1">
      <c r="A115" s="596"/>
      <c r="B115" s="535" t="s">
        <v>2603</v>
      </c>
      <c r="C115" s="551"/>
      <c r="D115" s="551"/>
      <c r="E115" s="580"/>
      <c r="F115" s="580"/>
      <c r="G115" s="580"/>
      <c r="H115" s="580"/>
      <c r="I115" s="580"/>
      <c r="J115" s="580"/>
      <c r="K115" s="581"/>
      <c r="L115" s="582"/>
      <c r="M115" s="583"/>
      <c r="N115" s="1147"/>
      <c r="O115" s="1147"/>
      <c r="P115" s="267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5"/>
      <c r="Q116" s="501"/>
    </row>
    <row r="117" spans="1:17" ht="15" thickTop="1">
      <c r="A117" s="596"/>
      <c r="B117" s="535" t="s">
        <v>2604</v>
      </c>
      <c r="C117" s="551"/>
      <c r="D117" s="551"/>
      <c r="E117" s="551"/>
      <c r="F117" s="551"/>
      <c r="G117" s="551"/>
      <c r="H117" s="580"/>
      <c r="I117" s="580"/>
      <c r="J117" s="580"/>
      <c r="K117" s="581"/>
      <c r="L117" s="582"/>
      <c r="M117" s="583"/>
      <c r="N117" s="1147"/>
      <c r="O117" s="1147"/>
      <c r="P117" s="267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5"/>
      <c r="Q118" s="501"/>
    </row>
    <row r="119" spans="1:17" ht="15" thickTop="1">
      <c r="A119" s="596"/>
      <c r="B119" s="633" t="s">
        <v>2687</v>
      </c>
      <c r="C119" s="580"/>
      <c r="D119" s="580"/>
      <c r="E119" s="580"/>
      <c r="F119" s="580"/>
      <c r="G119" s="580"/>
      <c r="H119" s="580"/>
      <c r="I119" s="580"/>
      <c r="J119" s="580"/>
      <c r="K119" s="580"/>
      <c r="L119" s="2680"/>
      <c r="M119" s="2681"/>
      <c r="N119" s="1148"/>
      <c r="O119" s="1148"/>
      <c r="P119" s="268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5"/>
      <c r="Q120" s="501"/>
    </row>
    <row r="121" spans="1:17" s="468" customFormat="1" ht="15" thickTop="1">
      <c r="A121" s="590"/>
      <c r="B121" s="535" t="s">
        <v>2670</v>
      </c>
      <c r="C121" s="551"/>
      <c r="D121" s="551"/>
      <c r="E121" s="551"/>
      <c r="F121" s="580"/>
      <c r="G121" s="552"/>
      <c r="H121" s="552"/>
      <c r="I121" s="552"/>
      <c r="J121" s="552"/>
      <c r="K121" s="552"/>
      <c r="L121" s="553"/>
      <c r="M121" s="554"/>
      <c r="N121" s="1149"/>
      <c r="O121" s="1149"/>
      <c r="P121" s="267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6"/>
      <c r="Q122" s="556"/>
    </row>
    <row r="123" spans="1:17" ht="15" thickTop="1">
      <c r="A123" s="596"/>
      <c r="B123" s="535" t="s">
        <v>2606</v>
      </c>
      <c r="C123" s="551"/>
      <c r="D123" s="551"/>
      <c r="E123" s="551"/>
      <c r="F123" s="580"/>
      <c r="G123" s="580"/>
      <c r="H123" s="580"/>
      <c r="I123" s="580"/>
      <c r="J123" s="580"/>
      <c r="K123" s="581"/>
      <c r="L123" s="582"/>
      <c r="M123" s="583"/>
      <c r="N123" s="1147"/>
      <c r="O123" s="1147"/>
      <c r="P123" s="267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5"/>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7"/>
      <c r="O125" s="1147"/>
      <c r="P125" s="267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6"/>
      <c r="Q128" s="556"/>
    </row>
    <row r="129" spans="1:17" ht="15" thickTop="1">
      <c r="A129" s="596"/>
      <c r="B129" s="535">
        <f>B46</f>
        <v>111</v>
      </c>
      <c r="C129" s="551"/>
      <c r="D129" s="551"/>
      <c r="E129" s="551"/>
      <c r="F129" s="551"/>
      <c r="G129" s="580"/>
      <c r="H129" s="580"/>
      <c r="I129" s="580"/>
      <c r="J129" s="580"/>
      <c r="K129" s="581"/>
      <c r="L129" s="582"/>
      <c r="M129" s="583"/>
      <c r="N129" s="1147"/>
      <c r="O129" s="1147"/>
      <c r="P129" s="2675"/>
      <c r="Q129" s="501"/>
    </row>
    <row r="130" spans="1:17" ht="15.75" thickBot="1">
      <c r="A130" s="531"/>
      <c r="B130" s="540"/>
      <c r="C130" s="557"/>
      <c r="D130" s="557"/>
      <c r="E130" s="557"/>
      <c r="F130" s="557"/>
      <c r="G130" s="533"/>
      <c r="H130" s="533"/>
      <c r="I130" s="533"/>
      <c r="J130" s="533"/>
      <c r="K130" s="533"/>
      <c r="L130" s="533"/>
      <c r="M130" s="534"/>
      <c r="N130" s="1148"/>
      <c r="O130" s="1148"/>
      <c r="P130" s="2675"/>
      <c r="Q130" s="501"/>
    </row>
    <row r="131" spans="1:17" ht="15" thickTop="1">
      <c r="A131" s="596"/>
      <c r="B131" s="543">
        <f>B47</f>
        <v>111</v>
      </c>
      <c r="C131" s="520"/>
      <c r="D131" s="520"/>
      <c r="E131" s="520"/>
      <c r="F131" s="520"/>
      <c r="G131" s="584"/>
      <c r="H131" s="584"/>
      <c r="I131" s="584"/>
      <c r="J131" s="584"/>
      <c r="K131" s="520"/>
      <c r="L131" s="521"/>
      <c r="M131" s="587"/>
      <c r="N131" s="1147"/>
      <c r="O131" s="1147"/>
      <c r="P131" s="2675"/>
      <c r="Q131" s="501"/>
    </row>
    <row r="132" spans="1:17" ht="15.75" thickBot="1">
      <c r="A132" s="2627"/>
      <c r="B132" s="566"/>
      <c r="C132" s="567"/>
      <c r="D132" s="567"/>
      <c r="E132" s="567"/>
      <c r="F132" s="567"/>
      <c r="G132" s="588"/>
      <c r="H132" s="588"/>
      <c r="I132" s="588"/>
      <c r="J132" s="588"/>
      <c r="K132" s="588"/>
      <c r="L132" s="588"/>
      <c r="M132" s="589"/>
      <c r="N132" s="1148"/>
      <c r="O132" s="1148"/>
      <c r="P132" s="2675"/>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2630</v>
      </c>
      <c r="D3" s="396">
        <f>IF(D1="",'数据-汇总表'!E3,SUMIF('数据-汇总表'!$C19:$C33,D1,'数据-汇总表'!$E19:$E33))</f>
        <v>3130.82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12" t="s">
        <v>2633</v>
      </c>
      <c r="S4" s="3213"/>
      <c r="T4" s="3212" t="s">
        <v>2634</v>
      </c>
      <c r="U4" s="3213"/>
      <c r="V4" s="3237" t="s">
        <v>2635</v>
      </c>
      <c r="W4" s="3237"/>
      <c r="X4" s="1808"/>
      <c r="Y4" s="3212" t="s">
        <v>2637</v>
      </c>
      <c r="Z4" s="3213"/>
      <c r="AA4" s="3207" t="s">
        <v>2633</v>
      </c>
      <c r="AB4" s="3208" t="s">
        <v>2634</v>
      </c>
      <c r="AC4" s="3207" t="s">
        <v>2635</v>
      </c>
    </row>
    <row r="5" spans="1:29" ht="15">
      <c r="A5" s="401"/>
      <c r="B5" s="402"/>
      <c r="C5" s="3218" t="s">
        <v>2528</v>
      </c>
      <c r="D5" s="3219"/>
      <c r="E5" s="3216" t="s">
        <v>2529</v>
      </c>
      <c r="F5" s="3217"/>
      <c r="G5" s="3218" t="s">
        <v>2530</v>
      </c>
      <c r="H5" s="3219"/>
      <c r="I5" s="3218" t="s">
        <v>2531</v>
      </c>
      <c r="J5" s="3219"/>
      <c r="K5" s="607"/>
      <c r="L5" s="1125"/>
      <c r="M5" s="1126"/>
      <c r="N5" s="1126"/>
      <c r="O5" s="1126"/>
      <c r="P5" s="3231"/>
      <c r="Q5" s="3232"/>
      <c r="R5" s="3214"/>
      <c r="S5" s="3215"/>
      <c r="T5" s="3214"/>
      <c r="U5" s="3215"/>
      <c r="V5" s="3237"/>
      <c r="W5" s="3237"/>
      <c r="X5" s="1808"/>
      <c r="Y5" s="3214"/>
      <c r="Z5" s="3215"/>
      <c r="AA5" s="3208"/>
      <c r="AB5" s="3208"/>
      <c r="AC5" s="3208"/>
    </row>
    <row r="6" spans="1:29" ht="15.75" thickBot="1">
      <c r="A6" s="403"/>
      <c r="B6" s="404"/>
      <c r="C6" s="3220" t="s">
        <v>2532</v>
      </c>
      <c r="D6" s="3221"/>
      <c r="E6" s="3222" t="s">
        <v>2532</v>
      </c>
      <c r="F6" s="3223"/>
      <c r="G6" s="3220" t="s">
        <v>2532</v>
      </c>
      <c r="H6" s="3221"/>
      <c r="I6" s="3220" t="s">
        <v>2532</v>
      </c>
      <c r="J6" s="3221"/>
      <c r="K6" s="607" t="s">
        <v>2533</v>
      </c>
      <c r="L6" s="1125"/>
      <c r="M6" s="1126"/>
      <c r="N6" s="1126"/>
      <c r="O6" s="1126"/>
      <c r="P6" s="3233"/>
      <c r="Q6" s="3234"/>
      <c r="R6" s="3214"/>
      <c r="S6" s="3215"/>
      <c r="T6" s="3235"/>
      <c r="U6" s="3236"/>
      <c r="V6" s="3237"/>
      <c r="W6" s="3237"/>
      <c r="X6" s="1808"/>
      <c r="Y6" s="3235"/>
      <c r="Z6" s="3236"/>
      <c r="AA6" s="3209"/>
      <c r="AB6" s="3209"/>
      <c r="AC6" s="3209"/>
    </row>
    <row r="7" spans="1:29" s="114" customFormat="1" ht="15.75" thickBot="1">
      <c r="A7" s="405" t="s">
        <v>2534</v>
      </c>
      <c r="B7" s="406"/>
      <c r="C7" s="407">
        <f>'数据-取费表'!B2</f>
        <v>43110</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10" t="s">
        <v>2535</v>
      </c>
      <c r="Q7" s="3238"/>
      <c r="R7" s="767" t="s">
        <v>17</v>
      </c>
      <c r="S7" s="768">
        <f t="shared" ref="S7:S15" si="0">F7</f>
        <v>0</v>
      </c>
      <c r="T7" s="767" t="s">
        <v>17</v>
      </c>
      <c r="U7" s="768">
        <f t="shared" ref="U7:U15" si="1">H7</f>
        <v>0</v>
      </c>
      <c r="V7" s="767" t="s">
        <v>17</v>
      </c>
      <c r="W7" s="768">
        <f t="shared" ref="W7:W15" si="2">J7</f>
        <v>0</v>
      </c>
      <c r="X7" s="769"/>
      <c r="Y7" s="3210" t="s">
        <v>2535</v>
      </c>
      <c r="Z7" s="3211"/>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10" t="s">
        <v>2538</v>
      </c>
      <c r="Q8" s="3211"/>
      <c r="R8" s="767" t="s">
        <v>17</v>
      </c>
      <c r="S8" s="768">
        <f t="shared" si="0"/>
        <v>0</v>
      </c>
      <c r="T8" s="767" t="s">
        <v>17</v>
      </c>
      <c r="U8" s="768">
        <f t="shared" si="1"/>
        <v>0</v>
      </c>
      <c r="V8" s="767" t="s">
        <v>17</v>
      </c>
      <c r="W8" s="768">
        <f t="shared" si="2"/>
        <v>0</v>
      </c>
      <c r="X8" s="769"/>
      <c r="Y8" s="3210" t="s">
        <v>2538</v>
      </c>
      <c r="Z8" s="3211"/>
      <c r="AA8" s="770" t="e">
        <f t="shared" ref="AA8:AA40" si="3">D8/F8</f>
        <v>#DIV/0!</v>
      </c>
      <c r="AB8" s="770" t="e">
        <f t="shared" ref="AB8:AB40" si="4">D8/H8</f>
        <v>#DIV/0!</v>
      </c>
      <c r="AC8" s="770" t="e">
        <f t="shared" ref="AC8:AC40" si="5">D8/J8</f>
        <v>#DIV/0!</v>
      </c>
    </row>
    <row r="9" spans="1:29" s="114" customFormat="1">
      <c r="A9" s="412" t="s">
        <v>2539</v>
      </c>
      <c r="B9" s="71" t="s">
        <v>2540</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242" t="s">
        <v>2541</v>
      </c>
      <c r="Q9" s="1790" t="str">
        <f t="shared" ref="Q9:Q15" si="6">B9</f>
        <v>用途</v>
      </c>
      <c r="R9" s="767" t="s">
        <v>17</v>
      </c>
      <c r="S9" s="768">
        <f t="shared" si="0"/>
        <v>100</v>
      </c>
      <c r="T9" s="767" t="s">
        <v>17</v>
      </c>
      <c r="U9" s="768">
        <f t="shared" si="1"/>
        <v>100</v>
      </c>
      <c r="V9" s="767" t="s">
        <v>17</v>
      </c>
      <c r="W9" s="768">
        <f t="shared" si="2"/>
        <v>100</v>
      </c>
      <c r="X9" s="769"/>
      <c r="Y9" s="3080"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242"/>
      <c r="Q10" s="1790" t="str">
        <f t="shared" si="6"/>
        <v>土地使用年限（年）</v>
      </c>
      <c r="R10" s="767" t="s">
        <v>17</v>
      </c>
      <c r="S10" s="768">
        <f t="shared" si="0"/>
        <v>100</v>
      </c>
      <c r="T10" s="767" t="s">
        <v>17</v>
      </c>
      <c r="U10" s="768">
        <f t="shared" si="1"/>
        <v>100</v>
      </c>
      <c r="V10" s="767" t="s">
        <v>17</v>
      </c>
      <c r="W10" s="768">
        <f t="shared" si="2"/>
        <v>100</v>
      </c>
      <c r="X10" s="769"/>
      <c r="Y10" s="3080"/>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242"/>
      <c r="Q11" s="1790" t="str">
        <f t="shared" si="6"/>
        <v>容积率</v>
      </c>
      <c r="R11" s="767" t="s">
        <v>17</v>
      </c>
      <c r="S11" s="768" t="e">
        <f t="shared" si="0"/>
        <v>#N/A</v>
      </c>
      <c r="T11" s="767" t="s">
        <v>17</v>
      </c>
      <c r="U11" s="768" t="e">
        <f t="shared" si="1"/>
        <v>#N/A</v>
      </c>
      <c r="V11" s="767" t="s">
        <v>17</v>
      </c>
      <c r="W11" s="768" t="e">
        <f t="shared" si="2"/>
        <v>#N/A</v>
      </c>
      <c r="X11" s="769"/>
      <c r="Y11" s="3080"/>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133">
        <f>SUMIF(64:64,E12,65:65)-SUMIF(64:64,C12,65:65)+100</f>
        <v>100</v>
      </c>
      <c r="G12" s="2683"/>
      <c r="H12" s="133">
        <f>SUMIF(64:64,G12,65:65)-SUMIF(64:64,C12,65:65)+100</f>
        <v>100</v>
      </c>
      <c r="I12" s="466"/>
      <c r="J12" s="133">
        <f>SUMIF(64:64,I12,65:65)-SUMIF(64:64,C12,65:65)+100</f>
        <v>100</v>
      </c>
      <c r="K12" s="610"/>
      <c r="L12" s="1127"/>
      <c r="M12" s="1128"/>
      <c r="N12" s="1128"/>
      <c r="O12" s="1129"/>
      <c r="P12" s="3242"/>
      <c r="Q12" s="1790">
        <f t="shared" si="6"/>
        <v>111</v>
      </c>
      <c r="R12" s="767" t="s">
        <v>17</v>
      </c>
      <c r="S12" s="768">
        <f t="shared" si="0"/>
        <v>100</v>
      </c>
      <c r="T12" s="767" t="s">
        <v>17</v>
      </c>
      <c r="U12" s="768">
        <f t="shared" si="1"/>
        <v>100</v>
      </c>
      <c r="V12" s="767" t="s">
        <v>17</v>
      </c>
      <c r="W12" s="768">
        <f t="shared" si="2"/>
        <v>100</v>
      </c>
      <c r="X12" s="769"/>
      <c r="Y12" s="3080"/>
      <c r="Z12" s="55">
        <f t="shared" si="7"/>
        <v>111</v>
      </c>
      <c r="AA12" s="770">
        <f>D12/F12</f>
        <v>1</v>
      </c>
      <c r="AB12" s="770">
        <f>D12/H12</f>
        <v>1</v>
      </c>
      <c r="AC12" s="770">
        <f>D12/J12</f>
        <v>1</v>
      </c>
    </row>
    <row r="13" spans="1:29" ht="15">
      <c r="A13" s="425"/>
      <c r="B13" s="2591">
        <v>111</v>
      </c>
      <c r="C13" s="431"/>
      <c r="D13" s="432">
        <v>100</v>
      </c>
      <c r="E13" s="431"/>
      <c r="F13" s="133">
        <f>SUMIF(66:66,E13,67:67)-SUMIF(66:66,C13,67:67)+100</f>
        <v>100</v>
      </c>
      <c r="G13" s="2683"/>
      <c r="H13" s="432">
        <f>SUMIF(66:66,G13,67:67)-SUMIF(66:66,C13,67:67)+100</f>
        <v>100</v>
      </c>
      <c r="I13" s="466"/>
      <c r="J13" s="432">
        <f>SUMIF(66:66,I13,67:67)-SUMIF(66:66,C13,67:67)+100</f>
        <v>100</v>
      </c>
      <c r="K13" s="610"/>
      <c r="L13" s="1135"/>
      <c r="M13" s="1126"/>
      <c r="N13" s="1126"/>
      <c r="O13" s="1134"/>
      <c r="P13" s="3242"/>
      <c r="Q13" s="1790">
        <f t="shared" si="6"/>
        <v>111</v>
      </c>
      <c r="R13" s="767" t="s">
        <v>17</v>
      </c>
      <c r="S13" s="768">
        <f t="shared" si="0"/>
        <v>100</v>
      </c>
      <c r="T13" s="767" t="s">
        <v>17</v>
      </c>
      <c r="U13" s="768">
        <f t="shared" si="1"/>
        <v>100</v>
      </c>
      <c r="V13" s="767" t="s">
        <v>17</v>
      </c>
      <c r="W13" s="768">
        <f t="shared" si="2"/>
        <v>100</v>
      </c>
      <c r="X13" s="769"/>
      <c r="Y13" s="3080"/>
      <c r="Z13" s="55">
        <f t="shared" si="7"/>
        <v>111</v>
      </c>
      <c r="AA13" s="770">
        <f t="shared" si="3"/>
        <v>1</v>
      </c>
      <c r="AB13" s="770">
        <f t="shared" si="4"/>
        <v>1</v>
      </c>
      <c r="AC13" s="770">
        <f t="shared" si="5"/>
        <v>1</v>
      </c>
    </row>
    <row r="14" spans="1:29" ht="15.75" thickBot="1">
      <c r="A14" s="433"/>
      <c r="B14" s="2593">
        <v>111</v>
      </c>
      <c r="C14" s="434"/>
      <c r="D14" s="435">
        <v>100</v>
      </c>
      <c r="E14" s="434"/>
      <c r="F14" s="435">
        <f>SUMIF(68:68,E14,69:69)-SUMIF(68:68,C14,69:69)+100</f>
        <v>100</v>
      </c>
      <c r="G14" s="2683"/>
      <c r="H14" s="435">
        <f>SUMIF(68:68,G14,69:69)-SUMIF(68:68,C14,69:69)+100</f>
        <v>100</v>
      </c>
      <c r="I14" s="466"/>
      <c r="J14" s="435">
        <f>SUMIF(68:68,I14,69:69)-SUMIF(68:68,C14,69:69)+100</f>
        <v>100</v>
      </c>
      <c r="K14" s="610"/>
      <c r="L14" s="1135"/>
      <c r="M14" s="1126"/>
      <c r="N14" s="1126"/>
      <c r="O14" s="1134"/>
      <c r="P14" s="3242"/>
      <c r="Q14" s="1790">
        <f t="shared" si="6"/>
        <v>111</v>
      </c>
      <c r="R14" s="767" t="s">
        <v>17</v>
      </c>
      <c r="S14" s="768">
        <f t="shared" si="0"/>
        <v>100</v>
      </c>
      <c r="T14" s="767" t="s">
        <v>17</v>
      </c>
      <c r="U14" s="768">
        <f t="shared" si="1"/>
        <v>100</v>
      </c>
      <c r="V14" s="767" t="s">
        <v>17</v>
      </c>
      <c r="W14" s="768">
        <f t="shared" si="2"/>
        <v>100</v>
      </c>
      <c r="X14" s="769"/>
      <c r="Y14" s="3080"/>
      <c r="Z14" s="55">
        <f t="shared" si="7"/>
        <v>111</v>
      </c>
      <c r="AA14" s="770">
        <f t="shared" si="3"/>
        <v>1</v>
      </c>
      <c r="AB14" s="770">
        <f t="shared" si="4"/>
        <v>1</v>
      </c>
      <c r="AC14" s="770">
        <f t="shared" si="5"/>
        <v>1</v>
      </c>
    </row>
    <row r="15" spans="1:29" ht="57">
      <c r="A15" s="437" t="s">
        <v>2545</v>
      </c>
      <c r="B15" s="69" t="s">
        <v>2689</v>
      </c>
      <c r="C15" s="2684"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244" t="s">
        <v>2546</v>
      </c>
      <c r="Q15" s="1805" t="str">
        <f t="shared" si="6"/>
        <v>产业集聚程度</v>
      </c>
      <c r="R15" s="771" t="s">
        <v>17</v>
      </c>
      <c r="S15" s="772">
        <f t="shared" si="0"/>
        <v>100</v>
      </c>
      <c r="T15" s="771" t="s">
        <v>17</v>
      </c>
      <c r="U15" s="772">
        <f t="shared" si="1"/>
        <v>100</v>
      </c>
      <c r="V15" s="771" t="s">
        <v>17</v>
      </c>
      <c r="W15" s="772">
        <f t="shared" si="2"/>
        <v>100</v>
      </c>
      <c r="X15" s="1808"/>
      <c r="Y15" s="3244" t="s">
        <v>2546</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34"/>
      <c r="P16" s="3245"/>
      <c r="Q16" s="1805"/>
      <c r="R16" s="771"/>
      <c r="S16" s="772"/>
      <c r="T16" s="771"/>
      <c r="U16" s="772"/>
      <c r="V16" s="771"/>
      <c r="W16" s="772"/>
      <c r="X16" s="1808"/>
      <c r="Y16" s="3245"/>
      <c r="Z16" s="1809"/>
      <c r="AA16" s="1806">
        <v>1</v>
      </c>
      <c r="AB16" s="1806">
        <v>1</v>
      </c>
      <c r="AC16" s="1806">
        <v>1</v>
      </c>
    </row>
    <row r="17" spans="1:29" ht="85.5">
      <c r="A17" s="425"/>
      <c r="B17" s="448" t="s">
        <v>2082</v>
      </c>
      <c r="C17" s="2598"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245"/>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34"/>
      <c r="P18" s="3245"/>
      <c r="Q18" s="1805"/>
      <c r="R18" s="771"/>
      <c r="S18" s="772"/>
      <c r="T18" s="771"/>
      <c r="U18" s="772"/>
      <c r="V18" s="771"/>
      <c r="W18" s="772"/>
      <c r="X18" s="1808"/>
      <c r="Y18" s="3245"/>
      <c r="Z18" s="1809"/>
      <c r="AA18" s="1806">
        <v>1</v>
      </c>
      <c r="AB18" s="1806">
        <v>1</v>
      </c>
      <c r="AC18" s="1806">
        <v>1</v>
      </c>
    </row>
    <row r="19" spans="1:29" ht="42.75">
      <c r="A19" s="425"/>
      <c r="B19" s="448" t="s">
        <v>2674</v>
      </c>
      <c r="C19" s="2598"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245"/>
      <c r="Q19" s="1805" t="str">
        <f>B19</f>
        <v>公共配套设施</v>
      </c>
      <c r="R19" s="771" t="s">
        <v>17</v>
      </c>
      <c r="S19" s="772">
        <f>F19</f>
        <v>100</v>
      </c>
      <c r="T19" s="771" t="s">
        <v>17</v>
      </c>
      <c r="U19" s="772">
        <f>H19</f>
        <v>100</v>
      </c>
      <c r="V19" s="771" t="s">
        <v>17</v>
      </c>
      <c r="W19" s="772">
        <f>J19</f>
        <v>100</v>
      </c>
      <c r="X19" s="1808"/>
      <c r="Y19" s="3245"/>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34"/>
      <c r="P20" s="3245"/>
      <c r="Q20" s="1805"/>
      <c r="R20" s="771"/>
      <c r="S20" s="772"/>
      <c r="T20" s="771"/>
      <c r="U20" s="772"/>
      <c r="V20" s="771"/>
      <c r="W20" s="772"/>
      <c r="X20" s="1808"/>
      <c r="Y20" s="3245"/>
      <c r="Z20" s="1809"/>
      <c r="AA20" s="1806">
        <v>1</v>
      </c>
      <c r="AB20" s="1806">
        <v>1</v>
      </c>
      <c r="AC20" s="1806">
        <v>1</v>
      </c>
    </row>
    <row r="21" spans="1:29" ht="28.5">
      <c r="A21" s="425"/>
      <c r="B21" s="1379" t="s">
        <v>2675</v>
      </c>
      <c r="C21" s="2598"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245"/>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34"/>
      <c r="P22" s="3245"/>
      <c r="Q22" s="1805"/>
      <c r="R22" s="771"/>
      <c r="S22" s="772"/>
      <c r="T22" s="771"/>
      <c r="U22" s="772"/>
      <c r="V22" s="771"/>
      <c r="W22" s="772"/>
      <c r="X22" s="1808"/>
      <c r="Y22" s="3245"/>
      <c r="Z22" s="1809"/>
      <c r="AA22" s="1806">
        <v>1</v>
      </c>
      <c r="AB22" s="1806">
        <v>1</v>
      </c>
      <c r="AC22" s="1806">
        <v>1</v>
      </c>
    </row>
    <row r="23" spans="1:29" ht="71.25">
      <c r="A23" s="425"/>
      <c r="B23" s="448" t="s">
        <v>2676</v>
      </c>
      <c r="C23" s="2598"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245"/>
      <c r="Q23" s="1805" t="str">
        <f>B23</f>
        <v>环境质量</v>
      </c>
      <c r="R23" s="771" t="s">
        <v>17</v>
      </c>
      <c r="S23" s="772">
        <f>F23</f>
        <v>100</v>
      </c>
      <c r="T23" s="771" t="s">
        <v>17</v>
      </c>
      <c r="U23" s="772">
        <f>H23</f>
        <v>100</v>
      </c>
      <c r="V23" s="771" t="s">
        <v>17</v>
      </c>
      <c r="W23" s="772">
        <f>J23</f>
        <v>100</v>
      </c>
      <c r="X23" s="1808"/>
      <c r="Y23" s="3245"/>
      <c r="Z23" s="1809" t="str">
        <f>Q23</f>
        <v>环境质量</v>
      </c>
      <c r="AA23" s="1806">
        <f t="shared" si="3"/>
        <v>1</v>
      </c>
      <c r="AB23" s="1806">
        <f t="shared" si="4"/>
        <v>1</v>
      </c>
      <c r="AC23" s="1806">
        <f t="shared" si="5"/>
        <v>1</v>
      </c>
    </row>
    <row r="24" spans="1:29" ht="15">
      <c r="A24" s="425"/>
      <c r="B24" s="1379"/>
      <c r="C24" s="444"/>
      <c r="D24" s="445"/>
      <c r="E24" s="2596"/>
      <c r="F24" s="446"/>
      <c r="G24" s="2595"/>
      <c r="H24" s="445"/>
      <c r="I24" s="2596"/>
      <c r="J24" s="445"/>
      <c r="K24" s="612"/>
      <c r="L24" s="1135"/>
      <c r="M24" s="1126"/>
      <c r="N24" s="1126"/>
      <c r="O24" s="1134"/>
      <c r="P24" s="3245"/>
      <c r="Q24" s="1805"/>
      <c r="R24" s="771"/>
      <c r="S24" s="772"/>
      <c r="T24" s="771"/>
      <c r="U24" s="772"/>
      <c r="V24" s="771"/>
      <c r="W24" s="772"/>
      <c r="X24" s="1808"/>
      <c r="Y24" s="3245"/>
      <c r="Z24" s="1809"/>
      <c r="AA24" s="1806">
        <v>1</v>
      </c>
      <c r="AB24" s="1806">
        <v>1</v>
      </c>
      <c r="AC24" s="1806">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245"/>
      <c r="Q25" s="1805">
        <f>B25</f>
        <v>111</v>
      </c>
      <c r="R25" s="771" t="s">
        <v>17</v>
      </c>
      <c r="S25" s="772">
        <f>F25</f>
        <v>100</v>
      </c>
      <c r="T25" s="771" t="s">
        <v>17</v>
      </c>
      <c r="U25" s="772">
        <f>H25</f>
        <v>100</v>
      </c>
      <c r="V25" s="771" t="s">
        <v>17</v>
      </c>
      <c r="W25" s="772">
        <f>J25</f>
        <v>100</v>
      </c>
      <c r="X25" s="1808"/>
      <c r="Y25" s="3245"/>
      <c r="Z25" s="1809">
        <f>Q25</f>
        <v>111</v>
      </c>
      <c r="AA25" s="1806">
        <f t="shared" si="3"/>
        <v>1</v>
      </c>
      <c r="AB25" s="1806">
        <f t="shared" si="4"/>
        <v>1</v>
      </c>
      <c r="AC25" s="1806">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245"/>
      <c r="Q26" s="1805">
        <f t="shared" ref="Q26:Q40" si="11">B26</f>
        <v>111</v>
      </c>
      <c r="R26" s="771" t="s">
        <v>17</v>
      </c>
      <c r="S26" s="772">
        <f>F26</f>
        <v>100</v>
      </c>
      <c r="T26" s="771" t="s">
        <v>17</v>
      </c>
      <c r="U26" s="772">
        <f>H26</f>
        <v>100</v>
      </c>
      <c r="V26" s="771" t="s">
        <v>17</v>
      </c>
      <c r="W26" s="772">
        <f>J26</f>
        <v>100</v>
      </c>
      <c r="X26" s="1808"/>
      <c r="Y26" s="3245"/>
      <c r="Z26" s="1809">
        <f>Q26</f>
        <v>111</v>
      </c>
      <c r="AA26" s="1806">
        <f t="shared" si="3"/>
        <v>1</v>
      </c>
      <c r="AB26" s="1806">
        <f t="shared" si="4"/>
        <v>1</v>
      </c>
      <c r="AC26" s="1806">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245"/>
      <c r="Q27" s="1790">
        <f t="shared" si="11"/>
        <v>111</v>
      </c>
      <c r="R27" s="767" t="s">
        <v>17</v>
      </c>
      <c r="S27" s="768">
        <f>F27</f>
        <v>100</v>
      </c>
      <c r="T27" s="767" t="s">
        <v>17</v>
      </c>
      <c r="U27" s="768">
        <f>H27</f>
        <v>100</v>
      </c>
      <c r="V27" s="767" t="s">
        <v>17</v>
      </c>
      <c r="W27" s="768">
        <f>J27</f>
        <v>100</v>
      </c>
      <c r="X27" s="769"/>
      <c r="Y27" s="3245"/>
      <c r="Z27" s="55">
        <f>Q27</f>
        <v>111</v>
      </c>
      <c r="AA27" s="1806">
        <f>D27/F27</f>
        <v>1</v>
      </c>
      <c r="AB27" s="1806">
        <f>D27/H27</f>
        <v>1</v>
      </c>
      <c r="AC27" s="1806">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245"/>
      <c r="Q28" s="1805">
        <f t="shared" si="11"/>
        <v>111</v>
      </c>
      <c r="R28" s="771" t="s">
        <v>17</v>
      </c>
      <c r="S28" s="772">
        <f t="shared" ref="S28:S40" si="12">F28</f>
        <v>100</v>
      </c>
      <c r="T28" s="771" t="s">
        <v>17</v>
      </c>
      <c r="U28" s="772">
        <f t="shared" ref="U28:U40" si="13">H28</f>
        <v>100</v>
      </c>
      <c r="V28" s="771" t="s">
        <v>17</v>
      </c>
      <c r="W28" s="772">
        <f t="shared" ref="W28:W40" si="14">J28</f>
        <v>100</v>
      </c>
      <c r="X28" s="1808"/>
      <c r="Y28" s="3245"/>
      <c r="Z28" s="1809">
        <f t="shared" ref="Z28:Z40" si="15">Q28</f>
        <v>111</v>
      </c>
      <c r="AA28" s="1806">
        <f t="shared" si="3"/>
        <v>1</v>
      </c>
      <c r="AB28" s="1806">
        <f t="shared" si="4"/>
        <v>1</v>
      </c>
      <c r="AC28" s="1806">
        <f t="shared" si="5"/>
        <v>1</v>
      </c>
    </row>
    <row r="29" spans="1:29" ht="15">
      <c r="A29" s="463" t="s">
        <v>2549</v>
      </c>
      <c r="B29" s="71" t="s">
        <v>2679</v>
      </c>
      <c r="C29" s="2670"/>
      <c r="D29" s="464">
        <v>100</v>
      </c>
      <c r="E29" s="2670"/>
      <c r="F29" s="458">
        <f>SUMIF(88:88,E29,89:89)-SUMIF(88:88,C29,89:89)+100</f>
        <v>100</v>
      </c>
      <c r="G29" s="2670"/>
      <c r="H29" s="432">
        <f>SUMIF(88:88,G29,89:89)-SUMIF(88:88,C29,89:89)+100</f>
        <v>100</v>
      </c>
      <c r="I29" s="2670"/>
      <c r="J29" s="464">
        <f>SUMIF(88:88,I29,89:89)-SUMIF(88:88,C29,89:89)+100</f>
        <v>100</v>
      </c>
      <c r="K29" s="609"/>
      <c r="L29" s="1135"/>
      <c r="M29" s="1126"/>
      <c r="N29" s="1126"/>
      <c r="O29" s="1134"/>
      <c r="P29" s="3253" t="s">
        <v>2551</v>
      </c>
      <c r="Q29" s="1805" t="str">
        <f t="shared" si="11"/>
        <v>建筑类型</v>
      </c>
      <c r="R29" s="771" t="s">
        <v>17</v>
      </c>
      <c r="S29" s="772">
        <f t="shared" si="12"/>
        <v>100</v>
      </c>
      <c r="T29" s="771" t="s">
        <v>17</v>
      </c>
      <c r="U29" s="772">
        <f t="shared" si="13"/>
        <v>100</v>
      </c>
      <c r="V29" s="771" t="s">
        <v>17</v>
      </c>
      <c r="W29" s="772">
        <f t="shared" si="14"/>
        <v>100</v>
      </c>
      <c r="X29" s="1808"/>
      <c r="Y29" s="3249" t="s">
        <v>2551</v>
      </c>
      <c r="Z29" s="1809" t="str">
        <f t="shared" si="15"/>
        <v>建筑类型</v>
      </c>
      <c r="AA29" s="1806">
        <f t="shared" si="3"/>
        <v>1</v>
      </c>
      <c r="AB29" s="1806">
        <f t="shared" si="4"/>
        <v>1</v>
      </c>
      <c r="AC29" s="1806">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249"/>
      <c r="Q30" s="773" t="str">
        <f t="shared" si="11"/>
        <v>项目建筑规模</v>
      </c>
      <c r="R30" s="774" t="s">
        <v>17</v>
      </c>
      <c r="S30" s="775" t="e">
        <f t="shared" si="12"/>
        <v>#N/A</v>
      </c>
      <c r="T30" s="774" t="s">
        <v>17</v>
      </c>
      <c r="U30" s="775" t="e">
        <f t="shared" si="13"/>
        <v>#N/A</v>
      </c>
      <c r="V30" s="774" t="s">
        <v>17</v>
      </c>
      <c r="W30" s="775" t="e">
        <f t="shared" si="14"/>
        <v>#N/A</v>
      </c>
      <c r="X30" s="776"/>
      <c r="Y30" s="3249"/>
      <c r="Z30" s="777" t="str">
        <f t="shared" si="15"/>
        <v>项目建筑规模</v>
      </c>
      <c r="AA30" s="1806" t="e">
        <f t="shared" si="3"/>
        <v>#N/A</v>
      </c>
      <c r="AB30" s="1806" t="e">
        <f t="shared" si="4"/>
        <v>#N/A</v>
      </c>
      <c r="AC30" s="1806"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249"/>
      <c r="Q31" s="1805" t="str">
        <f t="shared" si="11"/>
        <v>建筑结构</v>
      </c>
      <c r="R31" s="771" t="s">
        <v>17</v>
      </c>
      <c r="S31" s="772">
        <f t="shared" si="12"/>
        <v>100</v>
      </c>
      <c r="T31" s="771" t="s">
        <v>17</v>
      </c>
      <c r="U31" s="772">
        <f t="shared" si="13"/>
        <v>100</v>
      </c>
      <c r="V31" s="771" t="s">
        <v>17</v>
      </c>
      <c r="W31" s="772">
        <f t="shared" si="14"/>
        <v>100</v>
      </c>
      <c r="X31" s="1808"/>
      <c r="Y31" s="3249"/>
      <c r="Z31" s="1809" t="str">
        <f t="shared" si="15"/>
        <v>建筑结构</v>
      </c>
      <c r="AA31" s="1806">
        <f t="shared" si="3"/>
        <v>1</v>
      </c>
      <c r="AB31" s="1806">
        <f t="shared" si="4"/>
        <v>1</v>
      </c>
      <c r="AC31" s="1806">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249"/>
      <c r="Q32" s="1805" t="str">
        <f t="shared" si="11"/>
        <v>公共部分装修</v>
      </c>
      <c r="R32" s="771" t="s">
        <v>17</v>
      </c>
      <c r="S32" s="772">
        <f t="shared" si="12"/>
        <v>100</v>
      </c>
      <c r="T32" s="771" t="s">
        <v>17</v>
      </c>
      <c r="U32" s="772">
        <f t="shared" si="13"/>
        <v>100</v>
      </c>
      <c r="V32" s="771" t="s">
        <v>17</v>
      </c>
      <c r="W32" s="772">
        <f t="shared" si="14"/>
        <v>100</v>
      </c>
      <c r="X32" s="1808"/>
      <c r="Y32" s="3249"/>
      <c r="Z32" s="1809" t="str">
        <f t="shared" si="15"/>
        <v>公共部分装修</v>
      </c>
      <c r="AA32" s="1806">
        <f t="shared" si="3"/>
        <v>1</v>
      </c>
      <c r="AB32" s="1806">
        <f t="shared" si="4"/>
        <v>1</v>
      </c>
      <c r="AC32" s="1806">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249"/>
      <c r="Q33" s="1805" t="str">
        <f t="shared" si="11"/>
        <v>成新度</v>
      </c>
      <c r="R33" s="771" t="s">
        <v>17</v>
      </c>
      <c r="S33" s="772" t="e">
        <f t="shared" si="12"/>
        <v>#N/A</v>
      </c>
      <c r="T33" s="771" t="s">
        <v>17</v>
      </c>
      <c r="U33" s="772" t="e">
        <f t="shared" si="13"/>
        <v>#N/A</v>
      </c>
      <c r="V33" s="771" t="s">
        <v>17</v>
      </c>
      <c r="W33" s="772" t="e">
        <f t="shared" si="14"/>
        <v>#N/A</v>
      </c>
      <c r="X33" s="1808"/>
      <c r="Y33" s="3249"/>
      <c r="Z33" s="1809" t="str">
        <f t="shared" si="15"/>
        <v>成新度</v>
      </c>
      <c r="AA33" s="1806" t="e">
        <f t="shared" si="3"/>
        <v>#N/A</v>
      </c>
      <c r="AB33" s="1806" t="e">
        <f t="shared" si="4"/>
        <v>#N/A</v>
      </c>
      <c r="AC33" s="1806"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249"/>
      <c r="Q34" s="1790" t="str">
        <f t="shared" si="11"/>
        <v>物业管理</v>
      </c>
      <c r="R34" s="767" t="s">
        <v>17</v>
      </c>
      <c r="S34" s="768">
        <f t="shared" si="12"/>
        <v>100</v>
      </c>
      <c r="T34" s="767" t="s">
        <v>17</v>
      </c>
      <c r="U34" s="768">
        <f t="shared" si="13"/>
        <v>100</v>
      </c>
      <c r="V34" s="767" t="s">
        <v>17</v>
      </c>
      <c r="W34" s="768">
        <f t="shared" si="14"/>
        <v>100</v>
      </c>
      <c r="X34" s="769"/>
      <c r="Y34" s="3249"/>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249" t="s">
        <v>2551</v>
      </c>
      <c r="Q35" s="1805" t="str">
        <f t="shared" si="11"/>
        <v>市政基础设施</v>
      </c>
      <c r="R35" s="771" t="s">
        <v>17</v>
      </c>
      <c r="S35" s="772">
        <f t="shared" si="12"/>
        <v>100</v>
      </c>
      <c r="T35" s="771" t="s">
        <v>17</v>
      </c>
      <c r="U35" s="772">
        <f t="shared" si="13"/>
        <v>100</v>
      </c>
      <c r="V35" s="771" t="s">
        <v>17</v>
      </c>
      <c r="W35" s="772">
        <f t="shared" si="14"/>
        <v>100</v>
      </c>
      <c r="X35" s="1808"/>
      <c r="Y35" s="3249" t="s">
        <v>2551</v>
      </c>
      <c r="Z35" s="1809" t="str">
        <f t="shared" si="15"/>
        <v>市政基础设施</v>
      </c>
      <c r="AA35" s="1806">
        <f t="shared" si="3"/>
        <v>1</v>
      </c>
      <c r="AB35" s="1806">
        <f t="shared" si="4"/>
        <v>1</v>
      </c>
      <c r="AC35" s="1806">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249"/>
      <c r="Q36" s="1805" t="str">
        <f t="shared" si="11"/>
        <v>内部装修</v>
      </c>
      <c r="R36" s="771" t="s">
        <v>17</v>
      </c>
      <c r="S36" s="772">
        <f t="shared" si="12"/>
        <v>100</v>
      </c>
      <c r="T36" s="771" t="s">
        <v>17</v>
      </c>
      <c r="U36" s="772">
        <f t="shared" si="13"/>
        <v>100</v>
      </c>
      <c r="V36" s="771" t="s">
        <v>17</v>
      </c>
      <c r="W36" s="772">
        <f t="shared" si="14"/>
        <v>100</v>
      </c>
      <c r="X36" s="1808"/>
      <c r="Y36" s="3249"/>
      <c r="Z36" s="1809" t="str">
        <f t="shared" si="15"/>
        <v>内部装修</v>
      </c>
      <c r="AA36" s="1806">
        <f t="shared" si="3"/>
        <v>1</v>
      </c>
      <c r="AB36" s="1806">
        <f t="shared" si="4"/>
        <v>1</v>
      </c>
      <c r="AC36" s="1806">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249"/>
      <c r="Q37" s="1805" t="str">
        <f t="shared" si="11"/>
        <v>内部装修状况</v>
      </c>
      <c r="R37" s="771" t="s">
        <v>17</v>
      </c>
      <c r="S37" s="772">
        <f t="shared" si="12"/>
        <v>100</v>
      </c>
      <c r="T37" s="771" t="s">
        <v>17</v>
      </c>
      <c r="U37" s="772">
        <f t="shared" si="13"/>
        <v>100</v>
      </c>
      <c r="V37" s="771" t="s">
        <v>17</v>
      </c>
      <c r="W37" s="772">
        <f t="shared" si="14"/>
        <v>100</v>
      </c>
      <c r="X37" s="1808"/>
      <c r="Y37" s="3249"/>
      <c r="Z37" s="1809" t="str">
        <f t="shared" si="15"/>
        <v>内部装修状况</v>
      </c>
      <c r="AA37" s="1806">
        <f t="shared" si="3"/>
        <v>1</v>
      </c>
      <c r="AB37" s="1806">
        <f t="shared" si="4"/>
        <v>1</v>
      </c>
      <c r="AC37" s="1806">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249"/>
      <c r="Q38" s="773">
        <f t="shared" si="11"/>
        <v>111</v>
      </c>
      <c r="R38" s="774" t="s">
        <v>17</v>
      </c>
      <c r="S38" s="775">
        <f t="shared" si="12"/>
        <v>100</v>
      </c>
      <c r="T38" s="774" t="s">
        <v>17</v>
      </c>
      <c r="U38" s="775">
        <f t="shared" si="13"/>
        <v>100</v>
      </c>
      <c r="V38" s="774" t="s">
        <v>17</v>
      </c>
      <c r="W38" s="775">
        <f t="shared" si="14"/>
        <v>100</v>
      </c>
      <c r="X38" s="776"/>
      <c r="Y38" s="3249"/>
      <c r="Z38" s="777">
        <f t="shared" si="15"/>
        <v>111</v>
      </c>
      <c r="AA38" s="1806">
        <f t="shared" si="3"/>
        <v>1</v>
      </c>
      <c r="AB38" s="1806">
        <f t="shared" si="4"/>
        <v>1</v>
      </c>
      <c r="AC38" s="1806">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249"/>
      <c r="Q39" s="1805">
        <f t="shared" si="11"/>
        <v>111</v>
      </c>
      <c r="R39" s="771" t="s">
        <v>17</v>
      </c>
      <c r="S39" s="772">
        <f t="shared" si="12"/>
        <v>100</v>
      </c>
      <c r="T39" s="771" t="s">
        <v>17</v>
      </c>
      <c r="U39" s="772">
        <f t="shared" si="13"/>
        <v>100</v>
      </c>
      <c r="V39" s="771" t="s">
        <v>17</v>
      </c>
      <c r="W39" s="772">
        <f t="shared" si="14"/>
        <v>100</v>
      </c>
      <c r="X39" s="1808"/>
      <c r="Y39" s="3249"/>
      <c r="Z39" s="1809">
        <f t="shared" si="15"/>
        <v>111</v>
      </c>
      <c r="AA39" s="1806">
        <f t="shared" si="3"/>
        <v>1</v>
      </c>
      <c r="AB39" s="1806">
        <f t="shared" si="4"/>
        <v>1</v>
      </c>
      <c r="AC39" s="1806">
        <f t="shared" si="5"/>
        <v>1</v>
      </c>
    </row>
    <row r="40" spans="1:29" ht="15.75" thickBot="1">
      <c r="A40" s="475"/>
      <c r="B40" s="259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50"/>
      <c r="Q40" s="1805">
        <f t="shared" si="11"/>
        <v>111</v>
      </c>
      <c r="R40" s="771" t="s">
        <v>17</v>
      </c>
      <c r="S40" s="772">
        <f t="shared" si="12"/>
        <v>100</v>
      </c>
      <c r="T40" s="771" t="s">
        <v>17</v>
      </c>
      <c r="U40" s="772">
        <f t="shared" si="13"/>
        <v>100</v>
      </c>
      <c r="V40" s="771" t="s">
        <v>17</v>
      </c>
      <c r="W40" s="772">
        <f t="shared" si="14"/>
        <v>100</v>
      </c>
      <c r="X40" s="1808"/>
      <c r="Y40" s="3250"/>
      <c r="Z40" s="1809">
        <f t="shared" si="15"/>
        <v>111</v>
      </c>
      <c r="AA40" s="1806">
        <f t="shared" si="3"/>
        <v>1</v>
      </c>
      <c r="AB40" s="1806">
        <f t="shared" si="4"/>
        <v>1</v>
      </c>
      <c r="AC40" s="1806">
        <f t="shared" si="5"/>
        <v>1</v>
      </c>
    </row>
    <row r="41" spans="1:29" ht="15">
      <c r="A41" s="476" t="s">
        <v>2563</v>
      </c>
      <c r="B41" s="477"/>
      <c r="C41" s="1402" t="s">
        <v>1</v>
      </c>
      <c r="D41" s="1403"/>
      <c r="E41" s="1404"/>
      <c r="F41" s="1405"/>
      <c r="G41" s="1406"/>
      <c r="H41" s="1407"/>
      <c r="I41" s="1404"/>
      <c r="J41" s="1407"/>
      <c r="K41" s="780"/>
      <c r="L41" s="1138"/>
      <c r="M41" s="1139"/>
      <c r="N41" s="1126"/>
      <c r="O41" s="1139"/>
      <c r="P41" s="3242" t="str">
        <f>A41</f>
        <v>成交单价（元/平方米）</v>
      </c>
      <c r="Q41" s="3242"/>
      <c r="R41" s="3243">
        <f>E41</f>
        <v>0</v>
      </c>
      <c r="S41" s="3243"/>
      <c r="T41" s="3243">
        <f>G41</f>
        <v>0</v>
      </c>
      <c r="U41" s="3243"/>
      <c r="V41" s="3243">
        <f>I41</f>
        <v>0</v>
      </c>
      <c r="W41" s="3243"/>
      <c r="X41" s="756"/>
      <c r="Y41" s="778"/>
      <c r="Z41" s="756"/>
      <c r="AA41" s="756"/>
      <c r="AB41" s="756"/>
      <c r="AC41" s="756"/>
    </row>
    <row r="42" spans="1:29" ht="15.75" thickBot="1">
      <c r="A42" s="483" t="s">
        <v>2655</v>
      </c>
      <c r="B42" s="484"/>
      <c r="C42" s="1408" t="e">
        <f>R43</f>
        <v>#DIV/0!</v>
      </c>
      <c r="D42" s="1409"/>
      <c r="E42" s="1410" t="e">
        <f>R42</f>
        <v>#DIV/0!</v>
      </c>
      <c r="F42" s="1410"/>
      <c r="G42" s="1408" t="e">
        <f>T42</f>
        <v>#DIV/0!</v>
      </c>
      <c r="H42" s="1409"/>
      <c r="I42" s="1410" t="e">
        <f>V42</f>
        <v>#DIV/0!</v>
      </c>
      <c r="J42" s="1409"/>
      <c r="K42" s="781"/>
      <c r="L42" s="1138"/>
      <c r="M42" s="1139"/>
      <c r="N42" s="1126"/>
      <c r="O42" s="1139"/>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6"/>
      <c r="Y42" s="756"/>
      <c r="Z42" s="756"/>
      <c r="AA42" s="756"/>
      <c r="AB42" s="756"/>
      <c r="AC42" s="756"/>
    </row>
    <row r="43" spans="1:29" ht="15.75" thickBot="1">
      <c r="A43" s="489" t="s">
        <v>2656</v>
      </c>
      <c r="B43" s="490"/>
      <c r="C43" s="1412" t="e">
        <f>R43</f>
        <v>#DIV/0!</v>
      </c>
      <c r="D43" s="1412"/>
      <c r="E43" s="1412"/>
      <c r="F43" s="1412"/>
      <c r="G43" s="1412"/>
      <c r="H43" s="1412"/>
      <c r="I43" s="1412"/>
      <c r="J43" s="1412"/>
      <c r="K43" s="782"/>
      <c r="L43" s="1138"/>
      <c r="M43" s="1139"/>
      <c r="N43" s="1139"/>
      <c r="O43" s="1139"/>
      <c r="P43" s="3239" t="str">
        <f>A43</f>
        <v>估价对象XX用房的比较价值（楼面单价，元/平方米）</v>
      </c>
      <c r="Q43" s="3240"/>
      <c r="R43" s="3241" t="e">
        <f>IF(F1="售价",ROUND(AVERAGE(R42:V42),0),ROUND(AVERAGE(R42:V42),1))</f>
        <v>#DIV/0!</v>
      </c>
      <c r="S43" s="3241"/>
      <c r="T43" s="3241"/>
      <c r="U43" s="3241"/>
      <c r="V43" s="3241"/>
      <c r="W43" s="3241"/>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2660</v>
      </c>
      <c r="B51" s="756"/>
      <c r="C51" s="761"/>
      <c r="D51" s="761"/>
      <c r="E51" s="761"/>
      <c r="F51" s="762"/>
      <c r="G51" s="762"/>
      <c r="H51" s="761"/>
      <c r="I51" s="761"/>
      <c r="J51" s="761"/>
      <c r="K51" s="1155"/>
      <c r="L51" s="1156"/>
      <c r="M51" s="1154"/>
      <c r="N51" s="1154"/>
      <c r="O51" s="1154"/>
      <c r="P51" s="500"/>
      <c r="Q51" s="501"/>
    </row>
    <row r="52" spans="1:17" s="505" customFormat="1" ht="15">
      <c r="A52" s="502" t="s">
        <v>2534</v>
      </c>
      <c r="B52" s="503"/>
      <c r="C52" s="1569" t="str">
        <f>YEAR(C7)&amp;"-"&amp;MONTH(C7)</f>
        <v>2018-1</v>
      </c>
      <c r="D52" s="1570">
        <f>EDATE(C52,-1)</f>
        <v>43070</v>
      </c>
      <c r="E52" s="1570">
        <f t="shared" ref="E52:O52" si="16">EDATE(D52,-1)</f>
        <v>43040</v>
      </c>
      <c r="F52" s="1570">
        <f t="shared" si="16"/>
        <v>43009</v>
      </c>
      <c r="G52" s="1570">
        <f t="shared" si="16"/>
        <v>42979</v>
      </c>
      <c r="H52" s="1570">
        <f t="shared" si="16"/>
        <v>42948</v>
      </c>
      <c r="I52" s="1570">
        <f t="shared" si="16"/>
        <v>42917</v>
      </c>
      <c r="J52" s="1570">
        <f t="shared" si="16"/>
        <v>42887</v>
      </c>
      <c r="K52" s="1570">
        <f t="shared" si="16"/>
        <v>42856</v>
      </c>
      <c r="L52" s="1570">
        <f t="shared" si="16"/>
        <v>42826</v>
      </c>
      <c r="M52" s="1570">
        <f t="shared" si="16"/>
        <v>42795</v>
      </c>
      <c r="N52" s="1570">
        <f t="shared" si="16"/>
        <v>42767</v>
      </c>
      <c r="O52" s="1570">
        <f t="shared" si="16"/>
        <v>42736</v>
      </c>
      <c r="P52" s="504"/>
    </row>
    <row r="53" spans="1:17" s="114" customFormat="1" ht="15">
      <c r="A53" s="506"/>
      <c r="B53" s="507"/>
      <c r="C53" s="1568">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2574</v>
      </c>
      <c r="B57" s="525" t="s">
        <v>2540</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27"/>
      <c r="B87" s="566"/>
      <c r="C87" s="567"/>
      <c r="D87" s="567"/>
      <c r="E87" s="567"/>
      <c r="F87" s="567"/>
      <c r="G87" s="588"/>
      <c r="H87" s="588"/>
      <c r="I87" s="588"/>
      <c r="J87" s="588"/>
      <c r="K87" s="588"/>
      <c r="L87" s="588"/>
      <c r="M87" s="589"/>
      <c r="N87" s="1148"/>
      <c r="O87" s="1148"/>
      <c r="P87" s="45"/>
      <c r="Q87" s="501"/>
    </row>
    <row r="88" spans="1:17">
      <c r="A88" s="524" t="s">
        <v>2549</v>
      </c>
      <c r="B88" s="525" t="s">
        <v>2598</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2600</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2602</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2603</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2604</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2606</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2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3130.82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225" t="s">
        <v>2522</v>
      </c>
      <c r="D4" s="3226"/>
      <c r="E4" s="3227" t="s">
        <v>2523</v>
      </c>
      <c r="F4" s="3228"/>
      <c r="G4" s="3225" t="s">
        <v>2524</v>
      </c>
      <c r="H4" s="3226"/>
      <c r="I4" s="3225" t="s">
        <v>2525</v>
      </c>
      <c r="J4" s="3226"/>
      <c r="K4" s="2587" t="s">
        <v>2526</v>
      </c>
      <c r="L4" s="1125"/>
      <c r="M4" s="1126"/>
      <c r="N4" s="1126"/>
      <c r="O4" s="1126"/>
      <c r="P4" s="3229" t="s">
        <v>2527</v>
      </c>
      <c r="Q4" s="3230"/>
      <c r="R4" s="3212" t="s">
        <v>2523</v>
      </c>
      <c r="S4" s="3213"/>
      <c r="T4" s="3212" t="s">
        <v>2524</v>
      </c>
      <c r="U4" s="3213"/>
      <c r="V4" s="3237" t="s">
        <v>2525</v>
      </c>
      <c r="W4" s="3237"/>
      <c r="X4" s="2931"/>
      <c r="Y4" s="3212" t="s">
        <v>2527</v>
      </c>
      <c r="Z4" s="3213"/>
      <c r="AA4" s="3207" t="s">
        <v>2523</v>
      </c>
      <c r="AB4" s="3207" t="s">
        <v>2524</v>
      </c>
      <c r="AC4" s="3207" t="s">
        <v>2525</v>
      </c>
    </row>
    <row r="5" spans="1:29" ht="15">
      <c r="A5" s="401"/>
      <c r="B5" s="402"/>
      <c r="C5" s="3218" t="s">
        <v>2528</v>
      </c>
      <c r="D5" s="3219"/>
      <c r="E5" s="3216" t="s">
        <v>2529</v>
      </c>
      <c r="F5" s="3217"/>
      <c r="G5" s="3218" t="s">
        <v>2530</v>
      </c>
      <c r="H5" s="3219"/>
      <c r="I5" s="3218" t="s">
        <v>2531</v>
      </c>
      <c r="J5" s="3219"/>
      <c r="K5" s="2588"/>
      <c r="L5" s="1125"/>
      <c r="M5" s="1126"/>
      <c r="N5" s="1126"/>
      <c r="O5" s="1126"/>
      <c r="P5" s="3231"/>
      <c r="Q5" s="3232"/>
      <c r="R5" s="3214"/>
      <c r="S5" s="3215"/>
      <c r="T5" s="3214"/>
      <c r="U5" s="3215"/>
      <c r="V5" s="3237"/>
      <c r="W5" s="3237"/>
      <c r="X5" s="2931"/>
      <c r="Y5" s="3214"/>
      <c r="Z5" s="3215"/>
      <c r="AA5" s="3208"/>
      <c r="AB5" s="3208"/>
      <c r="AC5" s="3208"/>
    </row>
    <row r="6" spans="1:29" ht="15.75" thickBot="1">
      <c r="A6" s="403"/>
      <c r="B6" s="404"/>
      <c r="C6" s="3220" t="s">
        <v>2532</v>
      </c>
      <c r="D6" s="3221"/>
      <c r="E6" s="3222" t="s">
        <v>2532</v>
      </c>
      <c r="F6" s="3223"/>
      <c r="G6" s="3220" t="s">
        <v>2532</v>
      </c>
      <c r="H6" s="3221"/>
      <c r="I6" s="3220" t="s">
        <v>2532</v>
      </c>
      <c r="J6" s="3221"/>
      <c r="K6" s="2588" t="s">
        <v>2533</v>
      </c>
      <c r="L6" s="1125"/>
      <c r="M6" s="1126"/>
      <c r="N6" s="1126"/>
      <c r="O6" s="1126"/>
      <c r="P6" s="3233"/>
      <c r="Q6" s="3234"/>
      <c r="R6" s="3214"/>
      <c r="S6" s="3215"/>
      <c r="T6" s="3235"/>
      <c r="U6" s="3236"/>
      <c r="V6" s="3237"/>
      <c r="W6" s="3237"/>
      <c r="X6" s="2931"/>
      <c r="Y6" s="3235"/>
      <c r="Z6" s="3236"/>
      <c r="AA6" s="3209"/>
      <c r="AB6" s="3209"/>
      <c r="AC6" s="3209"/>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10" t="s">
        <v>2535</v>
      </c>
      <c r="Q7" s="3238"/>
      <c r="R7" s="767" t="s">
        <v>23</v>
      </c>
      <c r="S7" s="768">
        <f t="shared" ref="S7:S15" si="0">F7</f>
        <v>0</v>
      </c>
      <c r="T7" s="767" t="s">
        <v>23</v>
      </c>
      <c r="U7" s="768">
        <f t="shared" ref="U7:U15" si="1">H7</f>
        <v>0</v>
      </c>
      <c r="V7" s="767" t="s">
        <v>23</v>
      </c>
      <c r="W7" s="768">
        <f t="shared" ref="W7:W15" si="2">J7</f>
        <v>0</v>
      </c>
      <c r="X7" s="769"/>
      <c r="Y7" s="3210" t="s">
        <v>2535</v>
      </c>
      <c r="Z7" s="3211"/>
      <c r="AA7" s="770" t="e">
        <f>D7/F7</f>
        <v>#DIV/0!</v>
      </c>
      <c r="AB7" s="770" t="e">
        <f>D7/H7</f>
        <v>#DIV/0!</v>
      </c>
      <c r="AC7" s="770" t="e">
        <f>D7/J7</f>
        <v>#DIV/0!</v>
      </c>
    </row>
    <row r="8" spans="1:29" s="114" customFormat="1" ht="15.75" thickBot="1">
      <c r="A8" s="405" t="s">
        <v>2536</v>
      </c>
      <c r="B8" s="406"/>
      <c r="C8" s="411" t="s">
        <v>2537</v>
      </c>
      <c r="D8" s="408">
        <v>100</v>
      </c>
      <c r="E8" s="2590"/>
      <c r="F8" s="410">
        <f>SUMIF(61:61,E8,62:62)-SUMIF(61:61,C8,62:62)+100</f>
        <v>0</v>
      </c>
      <c r="G8" s="411"/>
      <c r="H8" s="408">
        <f>SUMIF(61:61,G8,62:62)-SUMIF(61:61,C8,62:62)+100</f>
        <v>0</v>
      </c>
      <c r="I8" s="2590"/>
      <c r="J8" s="408">
        <f>SUMIF(61:61,I8,62:62)-SUMIF(61:61,C8,62:62)+100</f>
        <v>0</v>
      </c>
      <c r="K8" s="2589"/>
      <c r="L8" s="1127"/>
      <c r="M8" s="1128"/>
      <c r="N8" s="1128"/>
      <c r="O8" s="1128"/>
      <c r="P8" s="3210" t="s">
        <v>2538</v>
      </c>
      <c r="Q8" s="3211"/>
      <c r="R8" s="767" t="s">
        <v>23</v>
      </c>
      <c r="S8" s="768">
        <f t="shared" si="0"/>
        <v>0</v>
      </c>
      <c r="T8" s="767" t="s">
        <v>23</v>
      </c>
      <c r="U8" s="768">
        <f t="shared" si="1"/>
        <v>0</v>
      </c>
      <c r="V8" s="767" t="s">
        <v>23</v>
      </c>
      <c r="W8" s="768">
        <f t="shared" si="2"/>
        <v>0</v>
      </c>
      <c r="X8" s="769"/>
      <c r="Y8" s="3210" t="s">
        <v>2538</v>
      </c>
      <c r="Z8" s="3211"/>
      <c r="AA8" s="770" t="e">
        <f t="shared" ref="AA8:AA19" si="3">D8/F8</f>
        <v>#DIV/0!</v>
      </c>
      <c r="AB8" s="770" t="e">
        <f t="shared" ref="AB8:AB19" si="4">D8/H8</f>
        <v>#DIV/0!</v>
      </c>
      <c r="AC8" s="770" t="e">
        <f t="shared" ref="AC8:AC19" si="5">D8/J8</f>
        <v>#DIV/0!</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224" t="s">
        <v>2541</v>
      </c>
      <c r="Q9" s="2917" t="str">
        <f t="shared" ref="Q9:Q15" si="6">B9</f>
        <v>用途</v>
      </c>
      <c r="R9" s="767" t="s">
        <v>17</v>
      </c>
      <c r="S9" s="768">
        <f t="shared" si="0"/>
        <v>100</v>
      </c>
      <c r="T9" s="767" t="s">
        <v>17</v>
      </c>
      <c r="U9" s="768">
        <f t="shared" si="1"/>
        <v>100</v>
      </c>
      <c r="V9" s="767" t="s">
        <v>17</v>
      </c>
      <c r="W9" s="768">
        <f t="shared" si="2"/>
        <v>100</v>
      </c>
      <c r="X9" s="769"/>
      <c r="Y9" s="3080" t="s">
        <v>2542</v>
      </c>
      <c r="Z9" s="2918" t="str">
        <f t="shared" ref="Z9:Z15" si="7">Q9</f>
        <v>用途</v>
      </c>
      <c r="AA9" s="770">
        <f t="shared" si="3"/>
        <v>1</v>
      </c>
      <c r="AB9" s="770">
        <f t="shared" si="4"/>
        <v>1</v>
      </c>
      <c r="AC9" s="770">
        <f t="shared" si="5"/>
        <v>1</v>
      </c>
    </row>
    <row r="10" spans="1:29" s="424" customFormat="1" ht="27">
      <c r="A10" s="418"/>
      <c r="B10" s="2923"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224"/>
      <c r="Q10" s="2917" t="str">
        <f t="shared" si="6"/>
        <v>土地使用年限（年）</v>
      </c>
      <c r="R10" s="767" t="s">
        <v>17</v>
      </c>
      <c r="S10" s="768">
        <f t="shared" si="0"/>
        <v>100</v>
      </c>
      <c r="T10" s="767" t="s">
        <v>17</v>
      </c>
      <c r="U10" s="768">
        <f t="shared" si="1"/>
        <v>100</v>
      </c>
      <c r="V10" s="767" t="s">
        <v>17</v>
      </c>
      <c r="W10" s="768">
        <f t="shared" si="2"/>
        <v>100</v>
      </c>
      <c r="X10" s="769"/>
      <c r="Y10" s="3080"/>
      <c r="Z10" s="2918" t="str">
        <f t="shared" si="7"/>
        <v>土地使用年限（年）</v>
      </c>
      <c r="AA10" s="770">
        <f t="shared" si="3"/>
        <v>1</v>
      </c>
      <c r="AB10" s="770">
        <f t="shared" si="4"/>
        <v>1</v>
      </c>
      <c r="AC10" s="770">
        <f t="shared" si="5"/>
        <v>1</v>
      </c>
    </row>
    <row r="11" spans="1:29" ht="15">
      <c r="A11" s="425"/>
      <c r="B11" s="2923" t="s">
        <v>2544</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224"/>
      <c r="Q11" s="2917" t="str">
        <f t="shared" si="6"/>
        <v>容积率</v>
      </c>
      <c r="R11" s="767" t="s">
        <v>21</v>
      </c>
      <c r="S11" s="768" t="e">
        <f t="shared" si="0"/>
        <v>#N/A</v>
      </c>
      <c r="T11" s="767" t="s">
        <v>21</v>
      </c>
      <c r="U11" s="768" t="e">
        <f t="shared" si="1"/>
        <v>#N/A</v>
      </c>
      <c r="V11" s="767" t="s">
        <v>21</v>
      </c>
      <c r="W11" s="768" t="e">
        <f t="shared" si="2"/>
        <v>#N/A</v>
      </c>
      <c r="X11" s="769"/>
      <c r="Y11" s="3080"/>
      <c r="Z11" s="2918" t="str">
        <f t="shared" si="7"/>
        <v>容积率</v>
      </c>
      <c r="AA11" s="770" t="e">
        <f t="shared" si="3"/>
        <v>#N/A</v>
      </c>
      <c r="AB11" s="770" t="e">
        <f t="shared" si="4"/>
        <v>#N/A</v>
      </c>
      <c r="AC11" s="770" t="e">
        <f t="shared" si="5"/>
        <v>#N/A</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224"/>
      <c r="Q12" s="2917">
        <f t="shared" si="6"/>
        <v>111</v>
      </c>
      <c r="R12" s="767" t="s">
        <v>21</v>
      </c>
      <c r="S12" s="768">
        <f t="shared" si="0"/>
        <v>100</v>
      </c>
      <c r="T12" s="767" t="s">
        <v>21</v>
      </c>
      <c r="U12" s="768">
        <f t="shared" si="1"/>
        <v>100</v>
      </c>
      <c r="V12" s="767" t="s">
        <v>21</v>
      </c>
      <c r="W12" s="768">
        <f t="shared" si="2"/>
        <v>100</v>
      </c>
      <c r="X12" s="769"/>
      <c r="Y12" s="3080"/>
      <c r="Z12" s="2918">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224"/>
      <c r="Q13" s="2917">
        <f t="shared" si="6"/>
        <v>111</v>
      </c>
      <c r="R13" s="767" t="s">
        <v>21</v>
      </c>
      <c r="S13" s="768">
        <f t="shared" si="0"/>
        <v>100</v>
      </c>
      <c r="T13" s="767" t="s">
        <v>21</v>
      </c>
      <c r="U13" s="768">
        <f t="shared" si="1"/>
        <v>100</v>
      </c>
      <c r="V13" s="767" t="s">
        <v>21</v>
      </c>
      <c r="W13" s="768">
        <f t="shared" si="2"/>
        <v>100</v>
      </c>
      <c r="X13" s="769"/>
      <c r="Y13" s="3080"/>
      <c r="Z13" s="2918">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224"/>
      <c r="Q14" s="2917">
        <f t="shared" si="6"/>
        <v>111</v>
      </c>
      <c r="R14" s="767" t="s">
        <v>21</v>
      </c>
      <c r="S14" s="768">
        <f t="shared" si="0"/>
        <v>100</v>
      </c>
      <c r="T14" s="767" t="s">
        <v>21</v>
      </c>
      <c r="U14" s="768">
        <f t="shared" si="1"/>
        <v>100</v>
      </c>
      <c r="V14" s="767" t="s">
        <v>21</v>
      </c>
      <c r="W14" s="768">
        <f t="shared" si="2"/>
        <v>100</v>
      </c>
      <c r="X14" s="769"/>
      <c r="Y14" s="3080"/>
      <c r="Z14" s="2918">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51" t="s">
        <v>2546</v>
      </c>
      <c r="Q15" s="2929" t="str">
        <f t="shared" si="6"/>
        <v>居住社区成熟度</v>
      </c>
      <c r="R15" s="771" t="s">
        <v>21</v>
      </c>
      <c r="S15" s="772">
        <f t="shared" si="0"/>
        <v>100</v>
      </c>
      <c r="T15" s="771" t="s">
        <v>21</v>
      </c>
      <c r="U15" s="772">
        <f t="shared" si="1"/>
        <v>100</v>
      </c>
      <c r="V15" s="771" t="s">
        <v>21</v>
      </c>
      <c r="W15" s="772">
        <f t="shared" si="2"/>
        <v>100</v>
      </c>
      <c r="X15" s="2931"/>
      <c r="Y15" s="3244" t="s">
        <v>2546</v>
      </c>
      <c r="Z15" s="2932" t="str">
        <f t="shared" si="7"/>
        <v>居住社区成熟度</v>
      </c>
      <c r="AA15" s="2930">
        <f t="shared" si="3"/>
        <v>1</v>
      </c>
      <c r="AB15" s="2930">
        <f t="shared" si="4"/>
        <v>1</v>
      </c>
      <c r="AC15" s="2930">
        <f t="shared" si="5"/>
        <v>1</v>
      </c>
    </row>
    <row r="16" spans="1:29" ht="15">
      <c r="A16" s="425"/>
      <c r="B16" s="443"/>
      <c r="C16" s="444"/>
      <c r="D16" s="445"/>
      <c r="E16" s="2595"/>
      <c r="F16" s="445"/>
      <c r="G16" s="2596"/>
      <c r="H16" s="447"/>
      <c r="I16" s="2596"/>
      <c r="J16" s="445"/>
      <c r="K16" s="2597"/>
      <c r="L16" s="1135"/>
      <c r="M16" s="1126"/>
      <c r="N16" s="1126"/>
      <c r="O16" s="1126"/>
      <c r="P16" s="3252"/>
      <c r="Q16" s="2929"/>
      <c r="R16" s="771"/>
      <c r="S16" s="772"/>
      <c r="T16" s="771"/>
      <c r="U16" s="772"/>
      <c r="V16" s="771"/>
      <c r="W16" s="772"/>
      <c r="X16" s="2931"/>
      <c r="Y16" s="3245"/>
      <c r="Z16" s="2932"/>
      <c r="AA16" s="2930">
        <v>1</v>
      </c>
      <c r="AB16" s="2930">
        <v>1</v>
      </c>
      <c r="AC16" s="2930">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52"/>
      <c r="Q17" s="2929" t="str">
        <f>B17</f>
        <v>交通便捷度</v>
      </c>
      <c r="R17" s="771" t="s">
        <v>21</v>
      </c>
      <c r="S17" s="772">
        <f>F17</f>
        <v>100</v>
      </c>
      <c r="T17" s="771" t="s">
        <v>21</v>
      </c>
      <c r="U17" s="772">
        <f>H17</f>
        <v>100</v>
      </c>
      <c r="V17" s="771" t="s">
        <v>21</v>
      </c>
      <c r="W17" s="772">
        <f>J17</f>
        <v>100</v>
      </c>
      <c r="X17" s="2931"/>
      <c r="Y17" s="3245"/>
      <c r="Z17" s="2932" t="str">
        <f>Q17</f>
        <v>交通便捷度</v>
      </c>
      <c r="AA17" s="2930">
        <f t="shared" si="3"/>
        <v>1</v>
      </c>
      <c r="AB17" s="2930">
        <f t="shared" si="4"/>
        <v>1</v>
      </c>
      <c r="AC17" s="2930">
        <f t="shared" si="5"/>
        <v>1</v>
      </c>
    </row>
    <row r="18" spans="1:29" ht="15">
      <c r="A18" s="425"/>
      <c r="B18" s="453"/>
      <c r="C18" s="2599"/>
      <c r="D18" s="447"/>
      <c r="E18" s="2600"/>
      <c r="F18" s="447"/>
      <c r="G18" s="2601"/>
      <c r="H18" s="445"/>
      <c r="I18" s="2601"/>
      <c r="J18" s="445"/>
      <c r="K18" s="2597"/>
      <c r="L18" s="1135"/>
      <c r="M18" s="1126"/>
      <c r="N18" s="1126"/>
      <c r="O18" s="1126"/>
      <c r="P18" s="3252"/>
      <c r="Q18" s="2929"/>
      <c r="R18" s="771"/>
      <c r="S18" s="772"/>
      <c r="T18" s="771"/>
      <c r="U18" s="772"/>
      <c r="V18" s="771"/>
      <c r="W18" s="772"/>
      <c r="X18" s="2931"/>
      <c r="Y18" s="3245"/>
      <c r="Z18" s="2932"/>
      <c r="AA18" s="2930">
        <v>1</v>
      </c>
      <c r="AB18" s="2930">
        <v>1</v>
      </c>
      <c r="AC18" s="2930">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52"/>
      <c r="Q19" s="2929" t="str">
        <f>B19</f>
        <v>公共配套设施</v>
      </c>
      <c r="R19" s="771" t="s">
        <v>21</v>
      </c>
      <c r="S19" s="772">
        <f>F19</f>
        <v>100</v>
      </c>
      <c r="T19" s="771" t="s">
        <v>21</v>
      </c>
      <c r="U19" s="772">
        <f>H19</f>
        <v>100</v>
      </c>
      <c r="V19" s="771" t="s">
        <v>21</v>
      </c>
      <c r="W19" s="772">
        <f>J19</f>
        <v>100</v>
      </c>
      <c r="X19" s="2931"/>
      <c r="Y19" s="3245"/>
      <c r="Z19" s="2932" t="str">
        <f>Q19</f>
        <v>公共配套设施</v>
      </c>
      <c r="AA19" s="2930">
        <f t="shared" si="3"/>
        <v>1</v>
      </c>
      <c r="AB19" s="2930">
        <f t="shared" si="4"/>
        <v>1</v>
      </c>
      <c r="AC19" s="2930">
        <f t="shared" si="5"/>
        <v>1</v>
      </c>
    </row>
    <row r="20" spans="1:29" ht="15">
      <c r="A20" s="425"/>
      <c r="B20" s="453"/>
      <c r="C20" s="444"/>
      <c r="D20" s="445"/>
      <c r="E20" s="2595"/>
      <c r="F20" s="445"/>
      <c r="G20" s="2596"/>
      <c r="H20" s="445"/>
      <c r="I20" s="2596"/>
      <c r="J20" s="445"/>
      <c r="K20" s="2597"/>
      <c r="L20" s="1135"/>
      <c r="M20" s="1126"/>
      <c r="N20" s="1126"/>
      <c r="O20" s="1126"/>
      <c r="P20" s="3252"/>
      <c r="Q20" s="2929"/>
      <c r="R20" s="771"/>
      <c r="S20" s="772"/>
      <c r="T20" s="771"/>
      <c r="U20" s="772"/>
      <c r="V20" s="771"/>
      <c r="W20" s="772"/>
      <c r="X20" s="2931"/>
      <c r="Y20" s="3245"/>
      <c r="Z20" s="2932"/>
      <c r="AA20" s="2930">
        <v>1</v>
      </c>
      <c r="AB20" s="2930">
        <v>1</v>
      </c>
      <c r="AC20" s="2930">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52"/>
      <c r="Q21" s="2929" t="str">
        <f>B21</f>
        <v>基础设施水平</v>
      </c>
      <c r="R21" s="771" t="s">
        <v>17</v>
      </c>
      <c r="S21" s="772">
        <f>F21</f>
        <v>100</v>
      </c>
      <c r="T21" s="771" t="s">
        <v>17</v>
      </c>
      <c r="U21" s="772">
        <f>H21</f>
        <v>100</v>
      </c>
      <c r="V21" s="771" t="s">
        <v>17</v>
      </c>
      <c r="W21" s="772">
        <f>J21</f>
        <v>100</v>
      </c>
      <c r="X21" s="2931"/>
      <c r="Y21" s="3245"/>
      <c r="Z21" s="2932" t="str">
        <f>Q21</f>
        <v>基础设施水平</v>
      </c>
      <c r="AA21" s="2930">
        <f t="shared" ref="AA21" si="8">D21/F21</f>
        <v>1</v>
      </c>
      <c r="AB21" s="2930">
        <f t="shared" ref="AB21" si="9">D21/H21</f>
        <v>1</v>
      </c>
      <c r="AC21" s="2930">
        <f t="shared" ref="AC21" si="10">D21/J21</f>
        <v>1</v>
      </c>
    </row>
    <row r="22" spans="1:29" ht="15">
      <c r="A22" s="425"/>
      <c r="B22" s="1379"/>
      <c r="C22" s="2599"/>
      <c r="D22" s="445"/>
      <c r="E22" s="444"/>
      <c r="F22" s="445"/>
      <c r="G22" s="2602"/>
      <c r="H22" s="445"/>
      <c r="I22" s="444"/>
      <c r="J22" s="445"/>
      <c r="K22" s="2603"/>
      <c r="L22" s="1135"/>
      <c r="M22" s="1126"/>
      <c r="N22" s="1126"/>
      <c r="O22" s="1126"/>
      <c r="P22" s="3252"/>
      <c r="Q22" s="2929"/>
      <c r="R22" s="771"/>
      <c r="S22" s="772"/>
      <c r="T22" s="771"/>
      <c r="U22" s="772"/>
      <c r="V22" s="771"/>
      <c r="W22" s="772"/>
      <c r="X22" s="2931"/>
      <c r="Y22" s="3245"/>
      <c r="Z22" s="2932"/>
      <c r="AA22" s="2930">
        <v>1</v>
      </c>
      <c r="AB22" s="2930">
        <v>1</v>
      </c>
      <c r="AC22" s="2930">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52"/>
      <c r="Q23" s="2929" t="str">
        <f>B23</f>
        <v>自然及人文环境</v>
      </c>
      <c r="R23" s="771" t="s">
        <v>21</v>
      </c>
      <c r="S23" s="772">
        <f>F23</f>
        <v>100</v>
      </c>
      <c r="T23" s="771" t="s">
        <v>21</v>
      </c>
      <c r="U23" s="772">
        <f>H23</f>
        <v>100</v>
      </c>
      <c r="V23" s="771" t="s">
        <v>21</v>
      </c>
      <c r="W23" s="772">
        <f>J23</f>
        <v>100</v>
      </c>
      <c r="X23" s="2931"/>
      <c r="Y23" s="3245"/>
      <c r="Z23" s="2932" t="str">
        <f>Q23</f>
        <v>自然及人文环境</v>
      </c>
      <c r="AA23" s="2930">
        <f>D23/F23</f>
        <v>1</v>
      </c>
      <c r="AB23" s="2930">
        <f>D23/H23</f>
        <v>1</v>
      </c>
      <c r="AC23" s="2930">
        <f>D23/J23</f>
        <v>1</v>
      </c>
    </row>
    <row r="24" spans="1:29" ht="15">
      <c r="A24" s="425"/>
      <c r="B24" s="453"/>
      <c r="C24" s="444"/>
      <c r="D24" s="445"/>
      <c r="E24" s="2595"/>
      <c r="F24" s="445"/>
      <c r="G24" s="2596"/>
      <c r="H24" s="445"/>
      <c r="I24" s="2596"/>
      <c r="J24" s="445"/>
      <c r="K24" s="2597"/>
      <c r="L24" s="1135"/>
      <c r="M24" s="1126"/>
      <c r="N24" s="1126"/>
      <c r="O24" s="1126"/>
      <c r="P24" s="3252"/>
      <c r="Q24" s="2929"/>
      <c r="R24" s="771"/>
      <c r="S24" s="772"/>
      <c r="T24" s="771"/>
      <c r="U24" s="772"/>
      <c r="V24" s="771"/>
      <c r="W24" s="772"/>
      <c r="X24" s="2931"/>
      <c r="Y24" s="3245"/>
      <c r="Z24" s="2932"/>
      <c r="AA24" s="2930">
        <v>1</v>
      </c>
      <c r="AB24" s="2930">
        <v>1</v>
      </c>
      <c r="AC24" s="2930">
        <v>1</v>
      </c>
    </row>
    <row r="25" spans="1:29" ht="15">
      <c r="A25" s="425"/>
      <c r="B25" s="2923"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252"/>
      <c r="Q25" s="2929" t="str">
        <f t="shared" ref="Q25:Q46" si="11">B25</f>
        <v>楼层-1</v>
      </c>
      <c r="R25" s="771" t="s">
        <v>21</v>
      </c>
      <c r="S25" s="772">
        <f t="shared" ref="S25:S46" si="12">F25</f>
        <v>100</v>
      </c>
      <c r="T25" s="771" t="s">
        <v>21</v>
      </c>
      <c r="U25" s="772">
        <f t="shared" ref="U25:U46" si="13">H25</f>
        <v>100</v>
      </c>
      <c r="V25" s="771" t="s">
        <v>21</v>
      </c>
      <c r="W25" s="772">
        <f t="shared" ref="W25:W46" si="14">J25</f>
        <v>100</v>
      </c>
      <c r="X25" s="2931"/>
      <c r="Y25" s="3245"/>
      <c r="Z25" s="2932" t="str">
        <f>Q25</f>
        <v>楼层-1</v>
      </c>
      <c r="AA25" s="2930">
        <f t="shared" ref="AA25:AA46" si="15">D25/F25</f>
        <v>1</v>
      </c>
      <c r="AB25" s="2930">
        <f t="shared" ref="AB25:AB46" si="16">D25/H25</f>
        <v>1</v>
      </c>
      <c r="AC25" s="2930">
        <f t="shared" ref="AC25:AC46" si="17">D25/J25</f>
        <v>1</v>
      </c>
    </row>
    <row r="26" spans="1:29" ht="15">
      <c r="A26" s="425"/>
      <c r="B26" s="2923"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252"/>
      <c r="Q26" s="2929" t="str">
        <f t="shared" si="11"/>
        <v>朝向</v>
      </c>
      <c r="R26" s="771" t="s">
        <v>21</v>
      </c>
      <c r="S26" s="772">
        <f t="shared" si="12"/>
        <v>100</v>
      </c>
      <c r="T26" s="771" t="s">
        <v>21</v>
      </c>
      <c r="U26" s="772">
        <f t="shared" si="13"/>
        <v>100</v>
      </c>
      <c r="V26" s="771" t="s">
        <v>21</v>
      </c>
      <c r="W26" s="772">
        <f t="shared" si="14"/>
        <v>100</v>
      </c>
      <c r="X26" s="2931"/>
      <c r="Y26" s="3245"/>
      <c r="Z26" s="2932" t="str">
        <f>Q26</f>
        <v>朝向</v>
      </c>
      <c r="AA26" s="2930">
        <f t="shared" si="15"/>
        <v>1</v>
      </c>
      <c r="AB26" s="2930">
        <f t="shared" si="16"/>
        <v>1</v>
      </c>
      <c r="AC26" s="2930">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252"/>
      <c r="Q27" s="2917">
        <f t="shared" si="11"/>
        <v>111</v>
      </c>
      <c r="R27" s="767" t="s">
        <v>21</v>
      </c>
      <c r="S27" s="768">
        <f t="shared" si="12"/>
        <v>100</v>
      </c>
      <c r="T27" s="767" t="s">
        <v>21</v>
      </c>
      <c r="U27" s="768">
        <f t="shared" si="13"/>
        <v>100</v>
      </c>
      <c r="V27" s="767" t="s">
        <v>21</v>
      </c>
      <c r="W27" s="768">
        <f t="shared" si="14"/>
        <v>100</v>
      </c>
      <c r="X27" s="769"/>
      <c r="Y27" s="3245"/>
      <c r="Z27" s="2918">
        <f>Q27</f>
        <v>111</v>
      </c>
      <c r="AA27" s="2930">
        <f t="shared" si="15"/>
        <v>1</v>
      </c>
      <c r="AB27" s="2930">
        <f t="shared" si="16"/>
        <v>1</v>
      </c>
      <c r="AC27" s="2930">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252"/>
      <c r="Q28" s="2929">
        <f t="shared" si="11"/>
        <v>111</v>
      </c>
      <c r="R28" s="771" t="s">
        <v>21</v>
      </c>
      <c r="S28" s="772">
        <f t="shared" si="12"/>
        <v>100</v>
      </c>
      <c r="T28" s="771" t="s">
        <v>21</v>
      </c>
      <c r="U28" s="772">
        <f t="shared" si="13"/>
        <v>100</v>
      </c>
      <c r="V28" s="771" t="s">
        <v>21</v>
      </c>
      <c r="W28" s="772">
        <f t="shared" si="14"/>
        <v>100</v>
      </c>
      <c r="X28" s="2931"/>
      <c r="Y28" s="3245"/>
      <c r="Z28" s="2932">
        <f t="shared" ref="Z28:Z46" si="18">Q28</f>
        <v>111</v>
      </c>
      <c r="AA28" s="2930">
        <f t="shared" si="15"/>
        <v>1</v>
      </c>
      <c r="AB28" s="2930">
        <f t="shared" si="16"/>
        <v>1</v>
      </c>
      <c r="AC28" s="2930">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252"/>
      <c r="Q29" s="2929">
        <f t="shared" si="11"/>
        <v>111</v>
      </c>
      <c r="R29" s="771" t="s">
        <v>21</v>
      </c>
      <c r="S29" s="772">
        <f t="shared" si="12"/>
        <v>100</v>
      </c>
      <c r="T29" s="771" t="s">
        <v>21</v>
      </c>
      <c r="U29" s="772">
        <f t="shared" si="13"/>
        <v>100</v>
      </c>
      <c r="V29" s="771" t="s">
        <v>21</v>
      </c>
      <c r="W29" s="772">
        <f t="shared" si="14"/>
        <v>100</v>
      </c>
      <c r="X29" s="2931"/>
      <c r="Y29" s="3245"/>
      <c r="Z29" s="2932">
        <f t="shared" si="18"/>
        <v>111</v>
      </c>
      <c r="AA29" s="2930">
        <f t="shared" si="15"/>
        <v>1</v>
      </c>
      <c r="AB29" s="2930">
        <f t="shared" si="16"/>
        <v>1</v>
      </c>
      <c r="AC29" s="2930">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252"/>
      <c r="Q30" s="2929">
        <f t="shared" si="11"/>
        <v>111</v>
      </c>
      <c r="R30" s="771" t="s">
        <v>21</v>
      </c>
      <c r="S30" s="772">
        <f t="shared" si="12"/>
        <v>100</v>
      </c>
      <c r="T30" s="771" t="s">
        <v>21</v>
      </c>
      <c r="U30" s="772">
        <f t="shared" si="13"/>
        <v>100</v>
      </c>
      <c r="V30" s="771" t="s">
        <v>21</v>
      </c>
      <c r="W30" s="772">
        <f t="shared" si="14"/>
        <v>100</v>
      </c>
      <c r="X30" s="2931"/>
      <c r="Y30" s="3245"/>
      <c r="Z30" s="2932">
        <f t="shared" si="18"/>
        <v>111</v>
      </c>
      <c r="AA30" s="2930">
        <f t="shared" si="15"/>
        <v>1</v>
      </c>
      <c r="AB30" s="2930">
        <f t="shared" si="16"/>
        <v>1</v>
      </c>
      <c r="AC30" s="2930">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252"/>
      <c r="Q31" s="2929">
        <f t="shared" si="11"/>
        <v>111</v>
      </c>
      <c r="R31" s="771" t="s">
        <v>21</v>
      </c>
      <c r="S31" s="772">
        <f t="shared" si="12"/>
        <v>100</v>
      </c>
      <c r="T31" s="771" t="s">
        <v>21</v>
      </c>
      <c r="U31" s="772">
        <f t="shared" si="13"/>
        <v>100</v>
      </c>
      <c r="V31" s="771" t="s">
        <v>21</v>
      </c>
      <c r="W31" s="772">
        <f t="shared" si="14"/>
        <v>100</v>
      </c>
      <c r="X31" s="2931"/>
      <c r="Y31" s="3245"/>
      <c r="Z31" s="2932">
        <f t="shared" si="18"/>
        <v>111</v>
      </c>
      <c r="AA31" s="2930">
        <f t="shared" si="15"/>
        <v>1</v>
      </c>
      <c r="AB31" s="2930">
        <f t="shared" si="16"/>
        <v>1</v>
      </c>
      <c r="AC31" s="2930">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246" t="s">
        <v>2551</v>
      </c>
      <c r="Q32" s="2929" t="str">
        <f t="shared" si="11"/>
        <v>建筑类型</v>
      </c>
      <c r="R32" s="771" t="s">
        <v>21</v>
      </c>
      <c r="S32" s="772">
        <f t="shared" si="12"/>
        <v>100</v>
      </c>
      <c r="T32" s="771" t="s">
        <v>21</v>
      </c>
      <c r="U32" s="772">
        <f t="shared" si="13"/>
        <v>100</v>
      </c>
      <c r="V32" s="771" t="s">
        <v>21</v>
      </c>
      <c r="W32" s="772">
        <f t="shared" si="14"/>
        <v>100</v>
      </c>
      <c r="X32" s="2931"/>
      <c r="Y32" s="3249" t="s">
        <v>2551</v>
      </c>
      <c r="Z32" s="2932" t="str">
        <f t="shared" si="18"/>
        <v>建筑类型</v>
      </c>
      <c r="AA32" s="2930">
        <f t="shared" si="15"/>
        <v>1</v>
      </c>
      <c r="AB32" s="2930">
        <f t="shared" si="16"/>
        <v>1</v>
      </c>
      <c r="AC32" s="2930">
        <f t="shared" si="17"/>
        <v>1</v>
      </c>
    </row>
    <row r="33" spans="1:29" s="468" customFormat="1" ht="15">
      <c r="A33" s="465"/>
      <c r="B33" s="2923" t="s">
        <v>2552</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2"/>
      <c r="L33" s="1133"/>
      <c r="M33" s="1136"/>
      <c r="N33" s="1136"/>
      <c r="O33" s="1136"/>
      <c r="P33" s="3247"/>
      <c r="Q33" s="773" t="str">
        <f t="shared" si="11"/>
        <v>项目建筑规模</v>
      </c>
      <c r="R33" s="774" t="s">
        <v>21</v>
      </c>
      <c r="S33" s="775" t="e">
        <f t="shared" si="12"/>
        <v>#N/A</v>
      </c>
      <c r="T33" s="774" t="s">
        <v>21</v>
      </c>
      <c r="U33" s="775" t="e">
        <f t="shared" si="13"/>
        <v>#N/A</v>
      </c>
      <c r="V33" s="774" t="s">
        <v>21</v>
      </c>
      <c r="W33" s="775" t="e">
        <f t="shared" si="14"/>
        <v>#N/A</v>
      </c>
      <c r="X33" s="776"/>
      <c r="Y33" s="3249"/>
      <c r="Z33" s="777" t="str">
        <f t="shared" si="18"/>
        <v>项目建筑规模</v>
      </c>
      <c r="AA33" s="2930" t="e">
        <f t="shared" si="15"/>
        <v>#N/A</v>
      </c>
      <c r="AB33" s="2930" t="e">
        <f t="shared" si="16"/>
        <v>#N/A</v>
      </c>
      <c r="AC33" s="2930" t="e">
        <f t="shared" si="17"/>
        <v>#N/A</v>
      </c>
    </row>
    <row r="34" spans="1:29" ht="15">
      <c r="A34" s="469"/>
      <c r="B34" s="2923"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247"/>
      <c r="Q34" s="2929" t="str">
        <f t="shared" si="11"/>
        <v>建筑结构</v>
      </c>
      <c r="R34" s="771" t="s">
        <v>21</v>
      </c>
      <c r="S34" s="772">
        <f t="shared" si="12"/>
        <v>100</v>
      </c>
      <c r="T34" s="771" t="s">
        <v>21</v>
      </c>
      <c r="U34" s="772">
        <f t="shared" si="13"/>
        <v>100</v>
      </c>
      <c r="V34" s="771" t="s">
        <v>21</v>
      </c>
      <c r="W34" s="772">
        <f t="shared" si="14"/>
        <v>100</v>
      </c>
      <c r="X34" s="2931"/>
      <c r="Y34" s="3249"/>
      <c r="Z34" s="2932" t="str">
        <f t="shared" si="18"/>
        <v>建筑结构</v>
      </c>
      <c r="AA34" s="2930">
        <f t="shared" si="15"/>
        <v>1</v>
      </c>
      <c r="AB34" s="2930">
        <f t="shared" si="16"/>
        <v>1</v>
      </c>
      <c r="AC34" s="2930">
        <f t="shared" si="17"/>
        <v>1</v>
      </c>
    </row>
    <row r="35" spans="1:29" ht="15">
      <c r="A35" s="469"/>
      <c r="B35" s="2923"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247"/>
      <c r="Q35" s="2929" t="str">
        <f t="shared" si="11"/>
        <v>建筑品质</v>
      </c>
      <c r="R35" s="771" t="s">
        <v>21</v>
      </c>
      <c r="S35" s="772">
        <f t="shared" si="12"/>
        <v>100</v>
      </c>
      <c r="T35" s="771" t="s">
        <v>21</v>
      </c>
      <c r="U35" s="772">
        <f t="shared" si="13"/>
        <v>100</v>
      </c>
      <c r="V35" s="771" t="s">
        <v>21</v>
      </c>
      <c r="W35" s="772">
        <f t="shared" si="14"/>
        <v>100</v>
      </c>
      <c r="X35" s="2931"/>
      <c r="Y35" s="3249"/>
      <c r="Z35" s="2932" t="str">
        <f t="shared" si="18"/>
        <v>建筑品质</v>
      </c>
      <c r="AA35" s="2930">
        <f t="shared" si="15"/>
        <v>1</v>
      </c>
      <c r="AB35" s="2930">
        <f t="shared" si="16"/>
        <v>1</v>
      </c>
      <c r="AC35" s="2930">
        <f t="shared" si="17"/>
        <v>1</v>
      </c>
    </row>
    <row r="36" spans="1:29" ht="15">
      <c r="A36" s="469"/>
      <c r="B36" s="2923"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247"/>
      <c r="Q36" s="2929" t="str">
        <f t="shared" si="11"/>
        <v>公共部分装修</v>
      </c>
      <c r="R36" s="771" t="s">
        <v>21</v>
      </c>
      <c r="S36" s="772">
        <f t="shared" si="12"/>
        <v>100</v>
      </c>
      <c r="T36" s="771" t="s">
        <v>21</v>
      </c>
      <c r="U36" s="772">
        <f t="shared" si="13"/>
        <v>100</v>
      </c>
      <c r="V36" s="771" t="s">
        <v>21</v>
      </c>
      <c r="W36" s="772">
        <f t="shared" si="14"/>
        <v>100</v>
      </c>
      <c r="X36" s="2931"/>
      <c r="Y36" s="3249"/>
      <c r="Z36" s="2932" t="str">
        <f t="shared" si="18"/>
        <v>公共部分装修</v>
      </c>
      <c r="AA36" s="2930">
        <f t="shared" si="15"/>
        <v>1</v>
      </c>
      <c r="AB36" s="2930">
        <f t="shared" si="16"/>
        <v>1</v>
      </c>
      <c r="AC36" s="2930">
        <f t="shared" si="17"/>
        <v>1</v>
      </c>
    </row>
    <row r="37" spans="1:29" s="114" customFormat="1" ht="15">
      <c r="A37" s="470"/>
      <c r="B37" s="2923"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247"/>
      <c r="Q37" s="2917" t="str">
        <f t="shared" si="11"/>
        <v>成新度</v>
      </c>
      <c r="R37" s="767" t="s">
        <v>21</v>
      </c>
      <c r="S37" s="768" t="e">
        <f t="shared" si="12"/>
        <v>#N/A</v>
      </c>
      <c r="T37" s="767" t="s">
        <v>21</v>
      </c>
      <c r="U37" s="768" t="e">
        <f t="shared" si="13"/>
        <v>#N/A</v>
      </c>
      <c r="V37" s="767" t="s">
        <v>21</v>
      </c>
      <c r="W37" s="768" t="e">
        <f t="shared" si="14"/>
        <v>#N/A</v>
      </c>
      <c r="X37" s="769"/>
      <c r="Y37" s="3249"/>
      <c r="Z37" s="2918" t="str">
        <f t="shared" si="18"/>
        <v>成新度</v>
      </c>
      <c r="AA37" s="770" t="e">
        <f t="shared" si="15"/>
        <v>#N/A</v>
      </c>
      <c r="AB37" s="770" t="e">
        <f t="shared" si="16"/>
        <v>#N/A</v>
      </c>
      <c r="AC37" s="770" t="e">
        <f t="shared" si="17"/>
        <v>#N/A</v>
      </c>
    </row>
    <row r="38" spans="1:29" ht="15">
      <c r="A38" s="469"/>
      <c r="B38" s="2923"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247" t="s">
        <v>2551</v>
      </c>
      <c r="Q38" s="2929" t="str">
        <f t="shared" si="11"/>
        <v>物业管理</v>
      </c>
      <c r="R38" s="771" t="s">
        <v>21</v>
      </c>
      <c r="S38" s="772">
        <f t="shared" si="12"/>
        <v>100</v>
      </c>
      <c r="T38" s="771" t="s">
        <v>21</v>
      </c>
      <c r="U38" s="772">
        <f t="shared" si="13"/>
        <v>100</v>
      </c>
      <c r="V38" s="771" t="s">
        <v>21</v>
      </c>
      <c r="W38" s="772">
        <f t="shared" si="14"/>
        <v>100</v>
      </c>
      <c r="X38" s="2931"/>
      <c r="Y38" s="3249" t="s">
        <v>2551</v>
      </c>
      <c r="Z38" s="2932" t="str">
        <f t="shared" si="18"/>
        <v>物业管理</v>
      </c>
      <c r="AA38" s="2930">
        <f t="shared" si="15"/>
        <v>1</v>
      </c>
      <c r="AB38" s="2930">
        <f t="shared" si="16"/>
        <v>1</v>
      </c>
      <c r="AC38" s="2930">
        <f t="shared" si="17"/>
        <v>1</v>
      </c>
    </row>
    <row r="39" spans="1:29" ht="15">
      <c r="A39" s="469"/>
      <c r="B39" s="2923"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247"/>
      <c r="Q39" s="2929" t="str">
        <f t="shared" si="11"/>
        <v>市政基础设施</v>
      </c>
      <c r="R39" s="771" t="s">
        <v>21</v>
      </c>
      <c r="S39" s="772">
        <f t="shared" si="12"/>
        <v>100</v>
      </c>
      <c r="T39" s="771" t="s">
        <v>21</v>
      </c>
      <c r="U39" s="772">
        <f t="shared" si="13"/>
        <v>100</v>
      </c>
      <c r="V39" s="771" t="s">
        <v>21</v>
      </c>
      <c r="W39" s="772">
        <f t="shared" si="14"/>
        <v>100</v>
      </c>
      <c r="X39" s="2931"/>
      <c r="Y39" s="3249"/>
      <c r="Z39" s="2932" t="str">
        <f t="shared" si="18"/>
        <v>市政基础设施</v>
      </c>
      <c r="AA39" s="2930">
        <f t="shared" si="15"/>
        <v>1</v>
      </c>
      <c r="AB39" s="2930">
        <f t="shared" si="16"/>
        <v>1</v>
      </c>
      <c r="AC39" s="2930">
        <f t="shared" si="17"/>
        <v>1</v>
      </c>
    </row>
    <row r="40" spans="1:29" ht="15">
      <c r="A40" s="469"/>
      <c r="B40" s="2923"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247"/>
      <c r="Q40" s="2929" t="str">
        <f t="shared" si="11"/>
        <v>房型</v>
      </c>
      <c r="R40" s="771" t="s">
        <v>21</v>
      </c>
      <c r="S40" s="772">
        <f t="shared" si="12"/>
        <v>100</v>
      </c>
      <c r="T40" s="771" t="s">
        <v>21</v>
      </c>
      <c r="U40" s="772">
        <f t="shared" si="13"/>
        <v>100</v>
      </c>
      <c r="V40" s="771" t="s">
        <v>21</v>
      </c>
      <c r="W40" s="772">
        <f t="shared" si="14"/>
        <v>100</v>
      </c>
      <c r="X40" s="2931"/>
      <c r="Y40" s="3249"/>
      <c r="Z40" s="2932" t="str">
        <f t="shared" si="18"/>
        <v>房型</v>
      </c>
      <c r="AA40" s="2930">
        <f t="shared" si="15"/>
        <v>1</v>
      </c>
      <c r="AB40" s="2930">
        <f t="shared" si="16"/>
        <v>1</v>
      </c>
      <c r="AC40" s="2930">
        <f t="shared" si="17"/>
        <v>1</v>
      </c>
    </row>
    <row r="41" spans="1:29" s="468" customFormat="1" ht="28.5">
      <c r="A41" s="465"/>
      <c r="B41" s="2923"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247"/>
      <c r="Q41" s="773" t="str">
        <f t="shared" si="11"/>
        <v>单套/主力户型建筑面积</v>
      </c>
      <c r="R41" s="774" t="s">
        <v>21</v>
      </c>
      <c r="S41" s="775">
        <f t="shared" si="12"/>
        <v>100</v>
      </c>
      <c r="T41" s="774" t="s">
        <v>21</v>
      </c>
      <c r="U41" s="775">
        <f t="shared" si="13"/>
        <v>100</v>
      </c>
      <c r="V41" s="774" t="s">
        <v>21</v>
      </c>
      <c r="W41" s="775">
        <f t="shared" si="14"/>
        <v>100</v>
      </c>
      <c r="X41" s="776"/>
      <c r="Y41" s="3249"/>
      <c r="Z41" s="777" t="str">
        <f t="shared" si="18"/>
        <v>单套/主力户型建筑面积</v>
      </c>
      <c r="AA41" s="2930">
        <f t="shared" si="15"/>
        <v>1</v>
      </c>
      <c r="AB41" s="2930">
        <f t="shared" si="16"/>
        <v>1</v>
      </c>
      <c r="AC41" s="2930">
        <f t="shared" si="17"/>
        <v>1</v>
      </c>
    </row>
    <row r="42" spans="1:29" ht="15">
      <c r="A42" s="469"/>
      <c r="B42" s="2923"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247"/>
      <c r="Q42" s="2929" t="str">
        <f t="shared" si="11"/>
        <v>内部装修</v>
      </c>
      <c r="R42" s="771" t="s">
        <v>21</v>
      </c>
      <c r="S42" s="772">
        <f t="shared" si="12"/>
        <v>100</v>
      </c>
      <c r="T42" s="771" t="s">
        <v>21</v>
      </c>
      <c r="U42" s="772">
        <f t="shared" si="13"/>
        <v>100</v>
      </c>
      <c r="V42" s="771" t="s">
        <v>21</v>
      </c>
      <c r="W42" s="772">
        <f t="shared" si="14"/>
        <v>100</v>
      </c>
      <c r="X42" s="2931"/>
      <c r="Y42" s="3249"/>
      <c r="Z42" s="2932" t="str">
        <f t="shared" si="18"/>
        <v>内部装修</v>
      </c>
      <c r="AA42" s="2930">
        <f t="shared" si="15"/>
        <v>1</v>
      </c>
      <c r="AB42" s="2930">
        <f t="shared" si="16"/>
        <v>1</v>
      </c>
      <c r="AC42" s="2930">
        <f t="shared" si="17"/>
        <v>1</v>
      </c>
    </row>
    <row r="43" spans="1:29" ht="15">
      <c r="A43" s="469"/>
      <c r="B43" s="2923"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247"/>
      <c r="Q43" s="2929" t="str">
        <f t="shared" si="11"/>
        <v>内部装修维护情况</v>
      </c>
      <c r="R43" s="771" t="s">
        <v>21</v>
      </c>
      <c r="S43" s="772">
        <f t="shared" si="12"/>
        <v>100</v>
      </c>
      <c r="T43" s="771" t="s">
        <v>21</v>
      </c>
      <c r="U43" s="772">
        <f t="shared" si="13"/>
        <v>100</v>
      </c>
      <c r="V43" s="771" t="s">
        <v>21</v>
      </c>
      <c r="W43" s="772">
        <f t="shared" si="14"/>
        <v>100</v>
      </c>
      <c r="X43" s="2931"/>
      <c r="Y43" s="3249"/>
      <c r="Z43" s="2932" t="str">
        <f t="shared" si="18"/>
        <v>内部装修维护情况</v>
      </c>
      <c r="AA43" s="2930">
        <f t="shared" si="15"/>
        <v>1</v>
      </c>
      <c r="AB43" s="2930">
        <f t="shared" si="16"/>
        <v>1</v>
      </c>
      <c r="AC43" s="2930">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247"/>
      <c r="Q44" s="2917">
        <f t="shared" si="11"/>
        <v>111</v>
      </c>
      <c r="R44" s="767" t="s">
        <v>21</v>
      </c>
      <c r="S44" s="768">
        <f t="shared" si="12"/>
        <v>100</v>
      </c>
      <c r="T44" s="767" t="s">
        <v>21</v>
      </c>
      <c r="U44" s="768">
        <f t="shared" si="13"/>
        <v>100</v>
      </c>
      <c r="V44" s="767" t="s">
        <v>21</v>
      </c>
      <c r="W44" s="768">
        <f t="shared" si="14"/>
        <v>100</v>
      </c>
      <c r="X44" s="769"/>
      <c r="Y44" s="3249"/>
      <c r="Z44" s="2918">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247"/>
      <c r="Q45" s="2929">
        <f t="shared" si="11"/>
        <v>111</v>
      </c>
      <c r="R45" s="771" t="s">
        <v>21</v>
      </c>
      <c r="S45" s="772">
        <f t="shared" si="12"/>
        <v>100</v>
      </c>
      <c r="T45" s="771" t="s">
        <v>21</v>
      </c>
      <c r="U45" s="772">
        <f t="shared" si="13"/>
        <v>100</v>
      </c>
      <c r="V45" s="771" t="s">
        <v>21</v>
      </c>
      <c r="W45" s="772">
        <f t="shared" si="14"/>
        <v>100</v>
      </c>
      <c r="X45" s="2931"/>
      <c r="Y45" s="3249"/>
      <c r="Z45" s="2932">
        <f t="shared" si="18"/>
        <v>111</v>
      </c>
      <c r="AA45" s="2930">
        <f t="shared" si="15"/>
        <v>1</v>
      </c>
      <c r="AB45" s="2930">
        <f t="shared" si="16"/>
        <v>1</v>
      </c>
      <c r="AC45" s="2930">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248"/>
      <c r="Q46" s="2929">
        <f t="shared" si="11"/>
        <v>111</v>
      </c>
      <c r="R46" s="771" t="s">
        <v>20</v>
      </c>
      <c r="S46" s="772">
        <f t="shared" si="12"/>
        <v>100</v>
      </c>
      <c r="T46" s="771" t="s">
        <v>20</v>
      </c>
      <c r="U46" s="772">
        <f t="shared" si="13"/>
        <v>100</v>
      </c>
      <c r="V46" s="771" t="s">
        <v>20</v>
      </c>
      <c r="W46" s="772">
        <f t="shared" si="14"/>
        <v>100</v>
      </c>
      <c r="X46" s="2931"/>
      <c r="Y46" s="3250"/>
      <c r="Z46" s="2932">
        <f t="shared" si="18"/>
        <v>111</v>
      </c>
      <c r="AA46" s="2930">
        <f t="shared" si="15"/>
        <v>1</v>
      </c>
      <c r="AB46" s="2930">
        <f t="shared" si="16"/>
        <v>1</v>
      </c>
      <c r="AC46" s="2930">
        <f t="shared" si="17"/>
        <v>1</v>
      </c>
    </row>
    <row r="47" spans="1:29" ht="15">
      <c r="A47" s="476" t="s">
        <v>2563</v>
      </c>
      <c r="B47" s="477"/>
      <c r="C47" s="1402" t="s">
        <v>19</v>
      </c>
      <c r="D47" s="1403"/>
      <c r="E47" s="1404"/>
      <c r="F47" s="1405"/>
      <c r="G47" s="1406"/>
      <c r="H47" s="1407"/>
      <c r="I47" s="1404"/>
      <c r="J47" s="1407"/>
      <c r="K47" s="2612"/>
      <c r="L47" s="1138"/>
      <c r="M47" s="1139"/>
      <c r="N47" s="1126"/>
      <c r="O47" s="1139"/>
      <c r="P47" s="3242" t="str">
        <f>A47</f>
        <v>成交单价（元/平方米）</v>
      </c>
      <c r="Q47" s="3242"/>
      <c r="R47" s="3243">
        <f>E47</f>
        <v>0</v>
      </c>
      <c r="S47" s="3243"/>
      <c r="T47" s="3243">
        <f>G47</f>
        <v>0</v>
      </c>
      <c r="U47" s="3243"/>
      <c r="V47" s="3243">
        <f>I47</f>
        <v>0</v>
      </c>
      <c r="W47" s="3243"/>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239" t="str">
        <f>A49</f>
        <v>估价对象XX用房的比较价值（楼面单价，元/平方米）</v>
      </c>
      <c r="Q49" s="3240"/>
      <c r="R49" s="3241" t="e">
        <f>IF(F1="售价",ROUND(AVERAGE(R48:V48),0),ROUND(AVERAGE(R48:V48),1))</f>
        <v>#DIV/0!</v>
      </c>
      <c r="S49" s="3241"/>
      <c r="T49" s="3241"/>
      <c r="U49" s="3241"/>
      <c r="V49" s="3241"/>
      <c r="W49" s="3241"/>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6"/>
      <c r="B4" s="3018" t="s">
        <v>1632</v>
      </c>
      <c r="C4" s="3018"/>
      <c r="D4" s="3018"/>
      <c r="E4" s="1956"/>
    </row>
    <row r="5" spans="1:5" ht="16.5" thickTop="1">
      <c r="A5" s="1954"/>
      <c r="B5" s="3016" t="s">
        <v>1624</v>
      </c>
      <c r="C5" s="1957" t="s">
        <v>1625</v>
      </c>
      <c r="D5" s="1035">
        <f ca="1">结果表!H101</f>
        <v>9146</v>
      </c>
      <c r="E5" s="1954"/>
    </row>
    <row r="6" spans="1:5" ht="15.75">
      <c r="A6" s="1954"/>
      <c r="B6" s="3016"/>
      <c r="C6" s="1957" t="s">
        <v>1626</v>
      </c>
      <c r="D6" s="1035" t="str">
        <f ca="1">NUMBERSTRING(INT(D5*10000),2)&amp;"元整"</f>
        <v>玖仟壹佰肆拾陆万元整</v>
      </c>
      <c r="E6" s="1954"/>
    </row>
    <row r="7" spans="1:5" ht="15.75">
      <c r="A7" s="1954"/>
      <c r="B7" s="3021"/>
      <c r="C7" s="1958" t="s">
        <v>1627</v>
      </c>
      <c r="D7" s="1036">
        <f ca="1">结果表!H102</f>
        <v>29213</v>
      </c>
      <c r="E7" s="1954"/>
    </row>
    <row r="8" spans="1:5" ht="15.75">
      <c r="A8" s="1954"/>
      <c r="B8" s="3022" t="str">
        <f>结果表!E103</f>
        <v>2.估价师知悉的法定优先受偿款</v>
      </c>
      <c r="C8" s="1959" t="s">
        <v>1628</v>
      </c>
      <c r="D8" s="1036">
        <f>结果表!H103</f>
        <v>0</v>
      </c>
      <c r="E8" s="1954"/>
    </row>
    <row r="9" spans="1:5" ht="15.75">
      <c r="A9" s="1954"/>
      <c r="B9" s="3024"/>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3015" t="str">
        <f>结果表!E107</f>
        <v>——</v>
      </c>
      <c r="C13" s="1962" t="s">
        <v>1625</v>
      </c>
      <c r="D13" s="1038" t="str">
        <f>结果表!H107</f>
        <v>——</v>
      </c>
      <c r="E13" s="1954"/>
    </row>
    <row r="14" spans="1:5" ht="15.75">
      <c r="A14" s="1954"/>
      <c r="B14" s="3016"/>
      <c r="C14" s="1957" t="s">
        <v>1626</v>
      </c>
      <c r="D14" s="1035" t="e">
        <f>NUMBERSTRING(INT(D13*10000),2)&amp;"元整"</f>
        <v>#VALUE!</v>
      </c>
      <c r="E14" s="1954"/>
    </row>
    <row r="15" spans="1:5" ht="15">
      <c r="A15" s="1954"/>
      <c r="B15" s="3021"/>
      <c r="C15" s="1958" t="s">
        <v>1636</v>
      </c>
      <c r="D15" s="1047" t="e">
        <f>结果表!H108</f>
        <v>#VALUE!</v>
      </c>
      <c r="E15" s="1954"/>
    </row>
    <row r="16" spans="1:5" ht="15">
      <c r="A16" s="1954"/>
      <c r="B16" s="3022" t="str">
        <f>结果表!E109</f>
        <v>3.抵押担保权已注销时的房地产抵押价值</v>
      </c>
      <c r="C16" s="1962" t="s">
        <v>1637</v>
      </c>
      <c r="D16" s="1963">
        <f ca="1">结果表!H109</f>
        <v>9146</v>
      </c>
      <c r="E16" s="1954"/>
    </row>
    <row r="17" spans="1:5" ht="15.75">
      <c r="A17" s="1954"/>
      <c r="B17" s="3023"/>
      <c r="C17" s="1957" t="s">
        <v>1638</v>
      </c>
      <c r="D17" s="1035" t="str">
        <f ca="1">NUMBERSTRING(INT(D16*10000),2)&amp;"元整"</f>
        <v>玖仟壹佰肆拾陆万元整</v>
      </c>
      <c r="E17" s="1954"/>
    </row>
    <row r="18" spans="1:5" ht="15">
      <c r="A18" s="1954"/>
      <c r="B18" s="3024"/>
      <c r="C18" s="1958" t="s">
        <v>1627</v>
      </c>
      <c r="D18" s="1047">
        <f ca="1">结果表!H110</f>
        <v>29213</v>
      </c>
      <c r="E18" s="1954"/>
    </row>
    <row r="19" spans="1:5" ht="15.75">
      <c r="A19" s="1954"/>
      <c r="B19" s="3015" t="str">
        <f>结果表!E111</f>
        <v>——</v>
      </c>
      <c r="C19" s="1962" t="s">
        <v>1625</v>
      </c>
      <c r="D19" s="1036" t="str">
        <f>结果表!H111</f>
        <v>——</v>
      </c>
      <c r="E19" s="1954"/>
    </row>
    <row r="20" spans="1:5" ht="15.75">
      <c r="A20" s="1954"/>
      <c r="B20" s="3016"/>
      <c r="C20" s="1957" t="s">
        <v>1638</v>
      </c>
      <c r="D20" s="1035" t="e">
        <f>NUMBERSTRING(INT(D19*10000),2)&amp;"元整"</f>
        <v>#VALUE!</v>
      </c>
      <c r="E20" s="1954"/>
    </row>
    <row r="21" spans="1:5" ht="15.75" thickBot="1">
      <c r="A21" s="1954"/>
      <c r="B21" s="3017"/>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0</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28"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0</v>
      </c>
      <c r="G8" s="1846"/>
      <c r="H8" s="346"/>
      <c r="I8" s="3261"/>
      <c r="J8" s="348"/>
      <c r="K8" s="349"/>
      <c r="L8" s="344" t="s">
        <v>1408</v>
      </c>
      <c r="M8" s="345">
        <f ca="1">INDIRECT("'数据-取费表'!ai"&amp;$G$1)</f>
        <v>0</v>
      </c>
    </row>
    <row r="9" spans="1:37" ht="18" customHeight="1">
      <c r="A9" s="346"/>
      <c r="B9" s="3262"/>
      <c r="C9" s="348"/>
      <c r="D9" s="349"/>
      <c r="E9" s="344" t="s">
        <v>1409</v>
      </c>
      <c r="F9" s="354">
        <f ca="1">INDIRECT("'数据-取费表'!w"&amp;$G$1)</f>
        <v>0</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63" t="s">
        <v>1550</v>
      </c>
      <c r="L53" s="3264"/>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2630</v>
      </c>
      <c r="D3" s="396">
        <f>SUMIF('数据-汇总表'!$C19:$C33,D1,'数据-汇总表'!$E19:$E33)</f>
        <v>0</v>
      </c>
      <c r="E3" s="397" t="s">
        <v>2694</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12" t="s">
        <v>2633</v>
      </c>
      <c r="S4" s="3213"/>
      <c r="T4" s="3212" t="s">
        <v>2634</v>
      </c>
      <c r="U4" s="3213"/>
      <c r="V4" s="3237" t="s">
        <v>2635</v>
      </c>
      <c r="W4" s="3237"/>
      <c r="X4" s="1808"/>
      <c r="Y4" s="3212" t="s">
        <v>2637</v>
      </c>
      <c r="Z4" s="3213"/>
      <c r="AA4" s="3207" t="s">
        <v>2633</v>
      </c>
      <c r="AB4" s="3208" t="s">
        <v>2634</v>
      </c>
      <c r="AC4" s="3207" t="s">
        <v>2635</v>
      </c>
    </row>
    <row r="5" spans="1:29" ht="15">
      <c r="A5" s="401"/>
      <c r="B5" s="402"/>
      <c r="C5" s="3218" t="s">
        <v>2528</v>
      </c>
      <c r="D5" s="3219"/>
      <c r="E5" s="3216" t="s">
        <v>2529</v>
      </c>
      <c r="F5" s="3217"/>
      <c r="G5" s="3218" t="s">
        <v>2530</v>
      </c>
      <c r="H5" s="3219"/>
      <c r="I5" s="3218" t="s">
        <v>2531</v>
      </c>
      <c r="J5" s="3219"/>
      <c r="K5" s="607"/>
      <c r="L5" s="1125"/>
      <c r="M5" s="1126"/>
      <c r="N5" s="1126"/>
      <c r="O5" s="1126"/>
      <c r="P5" s="3231"/>
      <c r="Q5" s="3232"/>
      <c r="R5" s="3214"/>
      <c r="S5" s="3215"/>
      <c r="T5" s="3214"/>
      <c r="U5" s="3215"/>
      <c r="V5" s="3237"/>
      <c r="W5" s="3237"/>
      <c r="X5" s="1808"/>
      <c r="Y5" s="3214"/>
      <c r="Z5" s="3215"/>
      <c r="AA5" s="3208"/>
      <c r="AB5" s="3208"/>
      <c r="AC5" s="3208"/>
    </row>
    <row r="6" spans="1:29" ht="15.75" thickBot="1">
      <c r="A6" s="403"/>
      <c r="B6" s="404"/>
      <c r="C6" s="3220" t="s">
        <v>2532</v>
      </c>
      <c r="D6" s="3221"/>
      <c r="E6" s="3222" t="s">
        <v>2532</v>
      </c>
      <c r="F6" s="3223"/>
      <c r="G6" s="3220" t="s">
        <v>2532</v>
      </c>
      <c r="H6" s="3221"/>
      <c r="I6" s="3220" t="s">
        <v>2532</v>
      </c>
      <c r="J6" s="3221"/>
      <c r="K6" s="607" t="s">
        <v>2533</v>
      </c>
      <c r="L6" s="1125"/>
      <c r="M6" s="1126"/>
      <c r="N6" s="1126"/>
      <c r="O6" s="1126"/>
      <c r="P6" s="3233"/>
      <c r="Q6" s="3234"/>
      <c r="R6" s="3214"/>
      <c r="S6" s="3215"/>
      <c r="T6" s="3235"/>
      <c r="U6" s="3236"/>
      <c r="V6" s="3237"/>
      <c r="W6" s="3237"/>
      <c r="X6" s="1808"/>
      <c r="Y6" s="3235"/>
      <c r="Z6" s="3236"/>
      <c r="AA6" s="3209"/>
      <c r="AB6" s="3209"/>
      <c r="AC6" s="3209"/>
    </row>
    <row r="7" spans="1:29" s="114" customFormat="1" ht="15.75" thickBot="1">
      <c r="A7" s="405" t="s">
        <v>2534</v>
      </c>
      <c r="B7" s="406"/>
      <c r="C7" s="407">
        <f>'数据-取费表'!B2</f>
        <v>43110</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10" t="s">
        <v>2535</v>
      </c>
      <c r="Q7" s="3238"/>
      <c r="R7" s="767" t="s">
        <v>17</v>
      </c>
      <c r="S7" s="768">
        <f t="shared" ref="S7:S14" si="0">F7</f>
        <v>0</v>
      </c>
      <c r="T7" s="767" t="s">
        <v>17</v>
      </c>
      <c r="U7" s="768">
        <f t="shared" ref="U7:U14" si="1">H7</f>
        <v>0</v>
      </c>
      <c r="V7" s="767" t="s">
        <v>17</v>
      </c>
      <c r="W7" s="768">
        <f t="shared" ref="W7:W14" si="2">J7</f>
        <v>0</v>
      </c>
      <c r="X7" s="769"/>
      <c r="Y7" s="3210" t="s">
        <v>2535</v>
      </c>
      <c r="Z7" s="3211"/>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10" t="s">
        <v>2538</v>
      </c>
      <c r="Q8" s="3211"/>
      <c r="R8" s="767" t="s">
        <v>17</v>
      </c>
      <c r="S8" s="768">
        <f t="shared" si="0"/>
        <v>0</v>
      </c>
      <c r="T8" s="767" t="s">
        <v>17</v>
      </c>
      <c r="U8" s="768">
        <f t="shared" si="1"/>
        <v>0</v>
      </c>
      <c r="V8" s="767" t="s">
        <v>17</v>
      </c>
      <c r="W8" s="768">
        <f t="shared" si="2"/>
        <v>0</v>
      </c>
      <c r="X8" s="769"/>
      <c r="Y8" s="3210" t="s">
        <v>2538</v>
      </c>
      <c r="Z8" s="3211"/>
      <c r="AA8" s="770" t="e">
        <f t="shared" ref="AA8:AA36" si="3">D8/F8</f>
        <v>#DIV/0!</v>
      </c>
      <c r="AB8" s="770" t="e">
        <f t="shared" ref="AB8:AB36" si="4">D8/H8</f>
        <v>#DIV/0!</v>
      </c>
      <c r="AC8" s="770" t="e">
        <f t="shared" ref="AC8:AC36" si="5">D8/J8</f>
        <v>#DIV/0!</v>
      </c>
    </row>
    <row r="9" spans="1:29" s="114" customFormat="1">
      <c r="A9" s="68"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242" t="s">
        <v>2541</v>
      </c>
      <c r="Q9" s="1790" t="str">
        <f t="shared" ref="Q9:Q14" si="6">B9</f>
        <v>用途</v>
      </c>
      <c r="R9" s="767" t="s">
        <v>17</v>
      </c>
      <c r="S9" s="768">
        <f t="shared" si="0"/>
        <v>100</v>
      </c>
      <c r="T9" s="767" t="s">
        <v>17</v>
      </c>
      <c r="U9" s="768">
        <f t="shared" si="1"/>
        <v>100</v>
      </c>
      <c r="V9" s="767" t="s">
        <v>17</v>
      </c>
      <c r="W9" s="768">
        <f t="shared" si="2"/>
        <v>100</v>
      </c>
      <c r="X9" s="769"/>
      <c r="Y9" s="3080"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242"/>
      <c r="Q10" s="1790" t="str">
        <f t="shared" si="6"/>
        <v>土地使用年限（年）</v>
      </c>
      <c r="R10" s="767" t="s">
        <v>17</v>
      </c>
      <c r="S10" s="768">
        <f t="shared" si="0"/>
        <v>100</v>
      </c>
      <c r="T10" s="767" t="s">
        <v>17</v>
      </c>
      <c r="U10" s="768">
        <f t="shared" si="1"/>
        <v>100</v>
      </c>
      <c r="V10" s="767" t="s">
        <v>17</v>
      </c>
      <c r="W10" s="768">
        <f t="shared" si="2"/>
        <v>100</v>
      </c>
      <c r="X10" s="769"/>
      <c r="Y10" s="3080"/>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242"/>
      <c r="Q11" s="1790">
        <f t="shared" si="6"/>
        <v>111</v>
      </c>
      <c r="R11" s="767" t="s">
        <v>17</v>
      </c>
      <c r="S11" s="768">
        <f t="shared" si="0"/>
        <v>100</v>
      </c>
      <c r="T11" s="767" t="s">
        <v>17</v>
      </c>
      <c r="U11" s="768">
        <f t="shared" si="1"/>
        <v>100</v>
      </c>
      <c r="V11" s="767" t="s">
        <v>17</v>
      </c>
      <c r="W11" s="768">
        <f t="shared" si="2"/>
        <v>100</v>
      </c>
      <c r="X11" s="769"/>
      <c r="Y11" s="3080"/>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242"/>
      <c r="Q12" s="1790">
        <f t="shared" si="6"/>
        <v>111</v>
      </c>
      <c r="R12" s="767" t="s">
        <v>17</v>
      </c>
      <c r="S12" s="768">
        <f t="shared" si="0"/>
        <v>100</v>
      </c>
      <c r="T12" s="767" t="s">
        <v>17</v>
      </c>
      <c r="U12" s="768">
        <f t="shared" si="1"/>
        <v>100</v>
      </c>
      <c r="V12" s="767" t="s">
        <v>17</v>
      </c>
      <c r="W12" s="768">
        <f t="shared" si="2"/>
        <v>100</v>
      </c>
      <c r="X12" s="769"/>
      <c r="Y12" s="3080"/>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242"/>
      <c r="Q13" s="1790">
        <f t="shared" si="6"/>
        <v>111</v>
      </c>
      <c r="R13" s="767" t="s">
        <v>17</v>
      </c>
      <c r="S13" s="768">
        <f t="shared" si="0"/>
        <v>100</v>
      </c>
      <c r="T13" s="767" t="s">
        <v>17</v>
      </c>
      <c r="U13" s="768">
        <f t="shared" si="1"/>
        <v>100</v>
      </c>
      <c r="V13" s="767" t="s">
        <v>17</v>
      </c>
      <c r="W13" s="768">
        <f t="shared" si="2"/>
        <v>100</v>
      </c>
      <c r="X13" s="769"/>
      <c r="Y13" s="3080"/>
      <c r="Z13" s="55">
        <f t="shared" si="7"/>
        <v>111</v>
      </c>
      <c r="AA13" s="770">
        <f t="shared" si="3"/>
        <v>1</v>
      </c>
      <c r="AB13" s="770">
        <f t="shared" si="4"/>
        <v>1</v>
      </c>
      <c r="AC13" s="770">
        <f t="shared" si="5"/>
        <v>1</v>
      </c>
    </row>
    <row r="14" spans="1:29" ht="85.5">
      <c r="A14" s="398" t="s">
        <v>2545</v>
      </c>
      <c r="B14" s="626" t="s">
        <v>2695</v>
      </c>
      <c r="C14" s="2684"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244" t="s">
        <v>2546</v>
      </c>
      <c r="Q14" s="1805" t="str">
        <f t="shared" si="6"/>
        <v>交通便捷度</v>
      </c>
      <c r="R14" s="771" t="s">
        <v>17</v>
      </c>
      <c r="S14" s="772">
        <f t="shared" si="0"/>
        <v>100</v>
      </c>
      <c r="T14" s="771" t="s">
        <v>17</v>
      </c>
      <c r="U14" s="772">
        <f t="shared" si="1"/>
        <v>100</v>
      </c>
      <c r="V14" s="771" t="s">
        <v>17</v>
      </c>
      <c r="W14" s="772">
        <f t="shared" si="2"/>
        <v>100</v>
      </c>
      <c r="X14" s="1808"/>
      <c r="Y14" s="3244" t="s">
        <v>2546</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5"/>
      <c r="M15" s="1126"/>
      <c r="N15" s="1126"/>
      <c r="O15" s="1126"/>
      <c r="P15" s="3245"/>
      <c r="Q15" s="1805"/>
      <c r="R15" s="771"/>
      <c r="S15" s="772"/>
      <c r="T15" s="771"/>
      <c r="U15" s="772"/>
      <c r="V15" s="771"/>
      <c r="W15" s="772"/>
      <c r="X15" s="1808"/>
      <c r="Y15" s="3245"/>
      <c r="Z15" s="1809"/>
      <c r="AA15" s="1806">
        <v>1</v>
      </c>
      <c r="AB15" s="1806">
        <v>1</v>
      </c>
      <c r="AC15" s="1806">
        <v>1</v>
      </c>
    </row>
    <row r="16" spans="1:29" ht="42.75">
      <c r="A16" s="401"/>
      <c r="B16" s="628" t="s">
        <v>2674</v>
      </c>
      <c r="C16" s="2598"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245"/>
      <c r="Q16" s="1805" t="str">
        <f>B16</f>
        <v>公共配套设施</v>
      </c>
      <c r="R16" s="771" t="s">
        <v>17</v>
      </c>
      <c r="S16" s="772">
        <f>F16</f>
        <v>100</v>
      </c>
      <c r="T16" s="771" t="s">
        <v>17</v>
      </c>
      <c r="U16" s="772">
        <f>H16</f>
        <v>100</v>
      </c>
      <c r="V16" s="771" t="s">
        <v>17</v>
      </c>
      <c r="W16" s="772">
        <f>J16</f>
        <v>100</v>
      </c>
      <c r="X16" s="1808"/>
      <c r="Y16" s="3245"/>
      <c r="Z16" s="1809" t="str">
        <f>Q16</f>
        <v>公共配套设施</v>
      </c>
      <c r="AA16" s="1806">
        <f t="shared" si="3"/>
        <v>1</v>
      </c>
      <c r="AB16" s="1806">
        <f t="shared" si="4"/>
        <v>1</v>
      </c>
      <c r="AC16" s="1806">
        <f t="shared" si="5"/>
        <v>1</v>
      </c>
    </row>
    <row r="17" spans="1:29" ht="15">
      <c r="A17" s="401"/>
      <c r="B17" s="629"/>
      <c r="C17" s="2599"/>
      <c r="D17" s="445"/>
      <c r="E17" s="444"/>
      <c r="F17" s="446"/>
      <c r="G17" s="444"/>
      <c r="H17" s="445"/>
      <c r="I17" s="444"/>
      <c r="J17" s="445"/>
      <c r="K17" s="612"/>
      <c r="L17" s="1135"/>
      <c r="M17" s="1126"/>
      <c r="N17" s="1126"/>
      <c r="O17" s="1126"/>
      <c r="P17" s="3245"/>
      <c r="Q17" s="1805"/>
      <c r="R17" s="771"/>
      <c r="S17" s="772"/>
      <c r="T17" s="771"/>
      <c r="U17" s="772"/>
      <c r="V17" s="771"/>
      <c r="W17" s="772"/>
      <c r="X17" s="1808"/>
      <c r="Y17" s="3245"/>
      <c r="Z17" s="1809"/>
      <c r="AA17" s="1806">
        <v>1</v>
      </c>
      <c r="AB17" s="1806">
        <v>1</v>
      </c>
      <c r="AC17" s="1806">
        <v>1</v>
      </c>
    </row>
    <row r="18" spans="1:29" ht="28.5">
      <c r="A18" s="401"/>
      <c r="B18" s="630" t="s">
        <v>2675</v>
      </c>
      <c r="C18" s="2598"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245"/>
      <c r="Q18" s="1805" t="str">
        <f>B18</f>
        <v>基础设施水平</v>
      </c>
      <c r="R18" s="771" t="s">
        <v>17</v>
      </c>
      <c r="S18" s="772">
        <f>F18</f>
        <v>100</v>
      </c>
      <c r="T18" s="771" t="s">
        <v>17</v>
      </c>
      <c r="U18" s="772">
        <f>H18</f>
        <v>100</v>
      </c>
      <c r="V18" s="771" t="s">
        <v>17</v>
      </c>
      <c r="W18" s="772">
        <f>J18</f>
        <v>100</v>
      </c>
      <c r="X18" s="1808"/>
      <c r="Y18" s="3245"/>
      <c r="Z18" s="1809" t="str">
        <f>Q18</f>
        <v>基础设施水平</v>
      </c>
      <c r="AA18" s="1806">
        <f t="shared" ref="AA18" si="8">D18/F18</f>
        <v>1</v>
      </c>
      <c r="AB18" s="1806">
        <f t="shared" ref="AB18" si="9">D18/H18</f>
        <v>1</v>
      </c>
      <c r="AC18" s="1806">
        <f t="shared" ref="AC18" si="10">D18/J18</f>
        <v>1</v>
      </c>
    </row>
    <row r="19" spans="1:29" ht="15">
      <c r="A19" s="401"/>
      <c r="B19" s="630"/>
      <c r="C19" s="2599"/>
      <c r="D19" s="447"/>
      <c r="E19" s="2599"/>
      <c r="F19" s="450"/>
      <c r="G19" s="2599"/>
      <c r="H19" s="445"/>
      <c r="I19" s="444"/>
      <c r="J19" s="445"/>
      <c r="K19" s="1378"/>
      <c r="L19" s="1135"/>
      <c r="M19" s="1126"/>
      <c r="N19" s="1126"/>
      <c r="O19" s="1126"/>
      <c r="P19" s="3245"/>
      <c r="Q19" s="1805"/>
      <c r="R19" s="771"/>
      <c r="S19" s="772"/>
      <c r="T19" s="771"/>
      <c r="U19" s="772"/>
      <c r="V19" s="771"/>
      <c r="W19" s="772"/>
      <c r="X19" s="1808"/>
      <c r="Y19" s="3245"/>
      <c r="Z19" s="1809"/>
      <c r="AA19" s="1806">
        <v>1</v>
      </c>
      <c r="AB19" s="1806">
        <v>1</v>
      </c>
      <c r="AC19" s="1806">
        <v>1</v>
      </c>
    </row>
    <row r="20" spans="1:29" ht="57">
      <c r="A20" s="401"/>
      <c r="B20" s="628" t="s">
        <v>2696</v>
      </c>
      <c r="C20" s="2598"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245"/>
      <c r="Q20" s="1805" t="str">
        <f>B20</f>
        <v>自然及人文环境</v>
      </c>
      <c r="R20" s="771" t="s">
        <v>17</v>
      </c>
      <c r="S20" s="772">
        <f>F20</f>
        <v>100</v>
      </c>
      <c r="T20" s="771" t="s">
        <v>17</v>
      </c>
      <c r="U20" s="772">
        <f>H20</f>
        <v>100</v>
      </c>
      <c r="V20" s="771" t="s">
        <v>17</v>
      </c>
      <c r="W20" s="772">
        <f>J20</f>
        <v>100</v>
      </c>
      <c r="X20" s="1808"/>
      <c r="Y20" s="3245"/>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5"/>
      <c r="M21" s="1126"/>
      <c r="N21" s="1126"/>
      <c r="O21" s="1126"/>
      <c r="P21" s="3245"/>
      <c r="Q21" s="1805"/>
      <c r="R21" s="771"/>
      <c r="S21" s="772"/>
      <c r="T21" s="771"/>
      <c r="U21" s="772"/>
      <c r="V21" s="771"/>
      <c r="W21" s="772"/>
      <c r="X21" s="1808"/>
      <c r="Y21" s="3245"/>
      <c r="Z21" s="1809"/>
      <c r="AA21" s="1806">
        <v>1</v>
      </c>
      <c r="AB21" s="1806">
        <v>1</v>
      </c>
      <c r="AC21" s="1806">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245"/>
      <c r="Q22" s="1805" t="str">
        <f>B22</f>
        <v>楼层</v>
      </c>
      <c r="R22" s="771" t="s">
        <v>17</v>
      </c>
      <c r="S22" s="772">
        <f>F22</f>
        <v>100</v>
      </c>
      <c r="T22" s="771" t="s">
        <v>17</v>
      </c>
      <c r="U22" s="772">
        <f>H22</f>
        <v>100</v>
      </c>
      <c r="V22" s="771" t="s">
        <v>17</v>
      </c>
      <c r="W22" s="772">
        <f>J22</f>
        <v>100</v>
      </c>
      <c r="X22" s="1808"/>
      <c r="Y22" s="3245"/>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245"/>
      <c r="Q23" s="1805">
        <f>B23</f>
        <v>111</v>
      </c>
      <c r="R23" s="771" t="s">
        <v>17</v>
      </c>
      <c r="S23" s="772">
        <f>F23</f>
        <v>100</v>
      </c>
      <c r="T23" s="771" t="s">
        <v>17</v>
      </c>
      <c r="U23" s="772">
        <f>H23</f>
        <v>100</v>
      </c>
      <c r="V23" s="771" t="s">
        <v>17</v>
      </c>
      <c r="W23" s="772">
        <f>J23</f>
        <v>100</v>
      </c>
      <c r="X23" s="1808"/>
      <c r="Y23" s="3245"/>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245"/>
      <c r="Q24" s="1805">
        <f t="shared" ref="Q24:Q36" si="11">B24</f>
        <v>111</v>
      </c>
      <c r="R24" s="771" t="s">
        <v>17</v>
      </c>
      <c r="S24" s="772">
        <f>F24</f>
        <v>100</v>
      </c>
      <c r="T24" s="771" t="s">
        <v>17</v>
      </c>
      <c r="U24" s="772">
        <f>H24</f>
        <v>100</v>
      </c>
      <c r="V24" s="771" t="s">
        <v>17</v>
      </c>
      <c r="W24" s="772">
        <f>J24</f>
        <v>100</v>
      </c>
      <c r="X24" s="1808"/>
      <c r="Y24" s="3245"/>
      <c r="Z24" s="1809">
        <f>Q24</f>
        <v>111</v>
      </c>
      <c r="AA24" s="1806">
        <f t="shared" si="3"/>
        <v>1</v>
      </c>
      <c r="AB24" s="1806">
        <f t="shared" si="4"/>
        <v>1</v>
      </c>
      <c r="AC24" s="1806">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245"/>
      <c r="Q25" s="1790">
        <f t="shared" si="11"/>
        <v>111</v>
      </c>
      <c r="R25" s="767" t="s">
        <v>17</v>
      </c>
      <c r="S25" s="768">
        <f>F25</f>
        <v>100</v>
      </c>
      <c r="T25" s="767" t="s">
        <v>17</v>
      </c>
      <c r="U25" s="768">
        <f>H25</f>
        <v>100</v>
      </c>
      <c r="V25" s="767" t="s">
        <v>17</v>
      </c>
      <c r="W25" s="768">
        <f>J25</f>
        <v>100</v>
      </c>
      <c r="X25" s="769"/>
      <c r="Y25" s="3245"/>
      <c r="Z25" s="55">
        <f>Q25</f>
        <v>111</v>
      </c>
      <c r="AA25" s="1806">
        <f>D25/F25</f>
        <v>1</v>
      </c>
      <c r="AB25" s="1806">
        <f>D25/H25</f>
        <v>1</v>
      </c>
      <c r="AC25" s="1806">
        <f>D25/J25</f>
        <v>1</v>
      </c>
    </row>
    <row r="26" spans="1:29" ht="15">
      <c r="A26" s="649" t="s">
        <v>2549</v>
      </c>
      <c r="B26" s="70" t="s">
        <v>2698</v>
      </c>
      <c r="C26" s="268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53" t="s">
        <v>2551</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49" t="s">
        <v>2551</v>
      </c>
      <c r="Z26" s="1809" t="str">
        <f t="shared" ref="Z26:Z36" si="15">Q26</f>
        <v>配套类型</v>
      </c>
      <c r="AA26" s="1806">
        <f t="shared" si="3"/>
        <v>1</v>
      </c>
      <c r="AB26" s="1806">
        <f t="shared" si="4"/>
        <v>1</v>
      </c>
      <c r="AC26" s="1806">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249"/>
      <c r="Q27" s="773" t="str">
        <f t="shared" si="11"/>
        <v>项目停车位配比</v>
      </c>
      <c r="R27" s="774" t="s">
        <v>17</v>
      </c>
      <c r="S27" s="775">
        <f t="shared" si="12"/>
        <v>100</v>
      </c>
      <c r="T27" s="774" t="s">
        <v>17</v>
      </c>
      <c r="U27" s="775">
        <f t="shared" si="13"/>
        <v>100</v>
      </c>
      <c r="V27" s="774" t="s">
        <v>17</v>
      </c>
      <c r="W27" s="775">
        <f t="shared" si="14"/>
        <v>100</v>
      </c>
      <c r="X27" s="776"/>
      <c r="Y27" s="3249"/>
      <c r="Z27" s="777" t="str">
        <f t="shared" si="15"/>
        <v>项目停车位配比</v>
      </c>
      <c r="AA27" s="1806">
        <f t="shared" si="3"/>
        <v>1</v>
      </c>
      <c r="AB27" s="1806">
        <f t="shared" si="4"/>
        <v>1</v>
      </c>
      <c r="AC27" s="1806">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249"/>
      <c r="Q28" s="1805" t="str">
        <f t="shared" si="11"/>
        <v>公共部分装修</v>
      </c>
      <c r="R28" s="771" t="s">
        <v>17</v>
      </c>
      <c r="S28" s="772">
        <f t="shared" si="12"/>
        <v>100</v>
      </c>
      <c r="T28" s="771" t="s">
        <v>17</v>
      </c>
      <c r="U28" s="772">
        <f t="shared" si="13"/>
        <v>100</v>
      </c>
      <c r="V28" s="771" t="s">
        <v>17</v>
      </c>
      <c r="W28" s="772">
        <f t="shared" si="14"/>
        <v>100</v>
      </c>
      <c r="X28" s="1808"/>
      <c r="Y28" s="3249"/>
      <c r="Z28" s="1809" t="str">
        <f t="shared" si="15"/>
        <v>公共部分装修</v>
      </c>
      <c r="AA28" s="1806">
        <f t="shared" si="3"/>
        <v>1</v>
      </c>
      <c r="AB28" s="1806">
        <f t="shared" si="4"/>
        <v>1</v>
      </c>
      <c r="AC28" s="1806">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249"/>
      <c r="Q29" s="1805" t="str">
        <f t="shared" si="11"/>
        <v>成新率</v>
      </c>
      <c r="R29" s="771" t="s">
        <v>17</v>
      </c>
      <c r="S29" s="772" t="e">
        <f t="shared" si="12"/>
        <v>#N/A</v>
      </c>
      <c r="T29" s="771" t="s">
        <v>17</v>
      </c>
      <c r="U29" s="772" t="e">
        <f t="shared" si="13"/>
        <v>#N/A</v>
      </c>
      <c r="V29" s="771" t="s">
        <v>17</v>
      </c>
      <c r="W29" s="772" t="e">
        <f t="shared" si="14"/>
        <v>#N/A</v>
      </c>
      <c r="X29" s="1808"/>
      <c r="Y29" s="3249"/>
      <c r="Z29" s="1809" t="str">
        <f t="shared" si="15"/>
        <v>成新率</v>
      </c>
      <c r="AA29" s="1806" t="e">
        <f t="shared" si="3"/>
        <v>#N/A</v>
      </c>
      <c r="AB29" s="1806" t="e">
        <f t="shared" si="4"/>
        <v>#N/A</v>
      </c>
      <c r="AC29" s="1806"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249"/>
      <c r="Q30" s="1805" t="str">
        <f t="shared" si="11"/>
        <v>物业等级</v>
      </c>
      <c r="R30" s="771" t="s">
        <v>17</v>
      </c>
      <c r="S30" s="772">
        <f t="shared" si="12"/>
        <v>100</v>
      </c>
      <c r="T30" s="771" t="s">
        <v>17</v>
      </c>
      <c r="U30" s="772">
        <f t="shared" si="13"/>
        <v>100</v>
      </c>
      <c r="V30" s="771" t="s">
        <v>17</v>
      </c>
      <c r="W30" s="772">
        <f t="shared" si="14"/>
        <v>100</v>
      </c>
      <c r="X30" s="1808"/>
      <c r="Y30" s="3249"/>
      <c r="Z30" s="1809" t="str">
        <f t="shared" si="15"/>
        <v>物业等级</v>
      </c>
      <c r="AA30" s="1806">
        <f t="shared" si="3"/>
        <v>1</v>
      </c>
      <c r="AB30" s="1806">
        <f t="shared" si="4"/>
        <v>1</v>
      </c>
      <c r="AC30" s="1806">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249"/>
      <c r="Q31" s="1790" t="str">
        <f t="shared" si="11"/>
        <v>停车位面积</v>
      </c>
      <c r="R31" s="767" t="s">
        <v>17</v>
      </c>
      <c r="S31" s="768" t="e">
        <f t="shared" si="12"/>
        <v>#N/A</v>
      </c>
      <c r="T31" s="767" t="s">
        <v>17</v>
      </c>
      <c r="U31" s="768" t="e">
        <f t="shared" si="13"/>
        <v>#N/A</v>
      </c>
      <c r="V31" s="767" t="s">
        <v>17</v>
      </c>
      <c r="W31" s="768" t="e">
        <f t="shared" si="14"/>
        <v>#N/A</v>
      </c>
      <c r="X31" s="769"/>
      <c r="Y31" s="3249"/>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249" t="s">
        <v>2551</v>
      </c>
      <c r="Q32" s="1805" t="str">
        <f t="shared" si="11"/>
        <v>车位类型</v>
      </c>
      <c r="R32" s="771" t="s">
        <v>17</v>
      </c>
      <c r="S32" s="772">
        <f t="shared" si="12"/>
        <v>100</v>
      </c>
      <c r="T32" s="771" t="s">
        <v>17</v>
      </c>
      <c r="U32" s="772">
        <f t="shared" si="13"/>
        <v>100</v>
      </c>
      <c r="V32" s="771" t="s">
        <v>17</v>
      </c>
      <c r="W32" s="772">
        <f t="shared" si="14"/>
        <v>100</v>
      </c>
      <c r="X32" s="1808"/>
      <c r="Y32" s="3249" t="s">
        <v>2551</v>
      </c>
      <c r="Z32" s="1809" t="str">
        <f t="shared" si="15"/>
        <v>车位类型</v>
      </c>
      <c r="AA32" s="1806">
        <f t="shared" si="3"/>
        <v>1</v>
      </c>
      <c r="AB32" s="1806">
        <f t="shared" si="4"/>
        <v>1</v>
      </c>
      <c r="AC32" s="1806">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249"/>
      <c r="Q33" s="1805" t="str">
        <f t="shared" si="11"/>
        <v>是否直接入户</v>
      </c>
      <c r="R33" s="771" t="s">
        <v>17</v>
      </c>
      <c r="S33" s="772">
        <f t="shared" si="12"/>
        <v>100</v>
      </c>
      <c r="T33" s="771" t="s">
        <v>17</v>
      </c>
      <c r="U33" s="772">
        <f t="shared" si="13"/>
        <v>100</v>
      </c>
      <c r="V33" s="771" t="s">
        <v>17</v>
      </c>
      <c r="W33" s="772">
        <f t="shared" si="14"/>
        <v>100</v>
      </c>
      <c r="X33" s="1808"/>
      <c r="Y33" s="3249"/>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249"/>
      <c r="Q34" s="1805">
        <f t="shared" si="11"/>
        <v>111</v>
      </c>
      <c r="R34" s="771" t="s">
        <v>17</v>
      </c>
      <c r="S34" s="772">
        <f t="shared" si="12"/>
        <v>100</v>
      </c>
      <c r="T34" s="771" t="s">
        <v>17</v>
      </c>
      <c r="U34" s="772">
        <f t="shared" si="13"/>
        <v>100</v>
      </c>
      <c r="V34" s="771" t="s">
        <v>17</v>
      </c>
      <c r="W34" s="772">
        <f t="shared" si="14"/>
        <v>100</v>
      </c>
      <c r="X34" s="1808"/>
      <c r="Y34" s="3249"/>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249"/>
      <c r="Q35" s="773">
        <f t="shared" si="11"/>
        <v>111</v>
      </c>
      <c r="R35" s="774" t="s">
        <v>17</v>
      </c>
      <c r="S35" s="775">
        <f t="shared" si="12"/>
        <v>100</v>
      </c>
      <c r="T35" s="774" t="s">
        <v>17</v>
      </c>
      <c r="U35" s="775">
        <f t="shared" si="13"/>
        <v>100</v>
      </c>
      <c r="V35" s="774" t="s">
        <v>17</v>
      </c>
      <c r="W35" s="775">
        <f t="shared" si="14"/>
        <v>100</v>
      </c>
      <c r="X35" s="776"/>
      <c r="Y35" s="3249"/>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249"/>
      <c r="Q36" s="1805">
        <f t="shared" si="11"/>
        <v>111</v>
      </c>
      <c r="R36" s="771" t="s">
        <v>17</v>
      </c>
      <c r="S36" s="772">
        <f t="shared" si="12"/>
        <v>100</v>
      </c>
      <c r="T36" s="771" t="s">
        <v>17</v>
      </c>
      <c r="U36" s="772">
        <f t="shared" si="13"/>
        <v>100</v>
      </c>
      <c r="V36" s="771" t="s">
        <v>17</v>
      </c>
      <c r="W36" s="772">
        <f t="shared" si="14"/>
        <v>100</v>
      </c>
      <c r="X36" s="1808"/>
      <c r="Y36" s="3249"/>
      <c r="Z36" s="1809">
        <f t="shared" si="15"/>
        <v>111</v>
      </c>
      <c r="AA36" s="1806">
        <f t="shared" si="3"/>
        <v>1</v>
      </c>
      <c r="AB36" s="1806">
        <f t="shared" si="4"/>
        <v>1</v>
      </c>
      <c r="AC36" s="1806">
        <f t="shared" si="5"/>
        <v>1</v>
      </c>
    </row>
    <row r="37" spans="1:29" ht="15">
      <c r="A37" s="476" t="s">
        <v>2706</v>
      </c>
      <c r="B37" s="2686" t="s">
        <v>2707</v>
      </c>
      <c r="C37" s="1402" t="s">
        <v>1</v>
      </c>
      <c r="D37" s="1403"/>
      <c r="E37" s="1404">
        <v>7000</v>
      </c>
      <c r="F37" s="1405"/>
      <c r="G37" s="1406">
        <v>7000</v>
      </c>
      <c r="H37" s="1407"/>
      <c r="I37" s="1404">
        <v>7000</v>
      </c>
      <c r="J37" s="1407"/>
      <c r="K37" s="616"/>
      <c r="L37" s="1138"/>
      <c r="M37" s="1139"/>
      <c r="N37" s="1126"/>
      <c r="O37" s="1139"/>
      <c r="P37" s="3242" t="str">
        <f>A37</f>
        <v>成交单价</v>
      </c>
      <c r="Q37" s="3242"/>
      <c r="R37" s="3243">
        <f>E37</f>
        <v>7000</v>
      </c>
      <c r="S37" s="3243"/>
      <c r="T37" s="3243">
        <f>G37</f>
        <v>7000</v>
      </c>
      <c r="U37" s="3243"/>
      <c r="V37" s="3243">
        <f>I37</f>
        <v>7000</v>
      </c>
      <c r="W37" s="3243"/>
      <c r="X37" s="756"/>
      <c r="Y37" s="778"/>
      <c r="Z37" s="756"/>
      <c r="AA37" s="756"/>
      <c r="AB37" s="756"/>
      <c r="AC37" s="756"/>
    </row>
    <row r="38" spans="1:29" ht="15.75" thickBot="1">
      <c r="A38" s="483" t="s">
        <v>2708</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6"/>
      <c r="Y38" s="756"/>
      <c r="Z38" s="756"/>
      <c r="AA38" s="756"/>
      <c r="AB38" s="756"/>
      <c r="AC38" s="756"/>
    </row>
    <row r="39" spans="1:29" ht="15.75" thickBot="1">
      <c r="A39" s="489" t="s">
        <v>2709</v>
      </c>
      <c r="B39" s="490"/>
      <c r="C39" s="1412" t="e">
        <f>R39</f>
        <v>#DIV/0!</v>
      </c>
      <c r="D39" s="1412"/>
      <c r="E39" s="1412"/>
      <c r="F39" s="1412"/>
      <c r="G39" s="1412"/>
      <c r="H39" s="1412"/>
      <c r="I39" s="1412"/>
      <c r="J39" s="1412"/>
      <c r="K39" s="618"/>
      <c r="L39" s="1138"/>
      <c r="M39" s="1139"/>
      <c r="N39" s="1139"/>
      <c r="O39" s="1139"/>
      <c r="P39" s="3239" t="str">
        <f>A39</f>
        <v>估价对象XX用房的比较价值（楼面单价，元/平方米）</v>
      </c>
      <c r="Q39" s="3240"/>
      <c r="R39" s="3241" t="e">
        <f>IF(F1="售价",ROUND(AVERAGE(R38:V38),0),ROUND(AVERAGE(R38:V38),1))</f>
        <v>#DIV/0!</v>
      </c>
      <c r="S39" s="3241"/>
      <c r="T39" s="3241"/>
      <c r="U39" s="3241"/>
      <c r="V39" s="3241"/>
      <c r="W39" s="3241"/>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2712</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2714</v>
      </c>
      <c r="B48" s="503"/>
      <c r="C48" s="1569" t="str">
        <f>YEAR(C7)&amp;"-"&amp;MONTH(C7)</f>
        <v>2018-1</v>
      </c>
      <c r="D48" s="1570">
        <f>EDATE(C48,-1)</f>
        <v>43070</v>
      </c>
      <c r="E48" s="1570">
        <f t="shared" ref="E48:O48" si="16">EDATE(D48,-1)</f>
        <v>43040</v>
      </c>
      <c r="F48" s="1570">
        <f t="shared" si="16"/>
        <v>43009</v>
      </c>
      <c r="G48" s="1570">
        <f t="shared" si="16"/>
        <v>42979</v>
      </c>
      <c r="H48" s="1570">
        <f t="shared" si="16"/>
        <v>42948</v>
      </c>
      <c r="I48" s="1570">
        <f t="shared" si="16"/>
        <v>42917</v>
      </c>
      <c r="J48" s="1570">
        <f t="shared" si="16"/>
        <v>42887</v>
      </c>
      <c r="K48" s="1570">
        <f t="shared" si="16"/>
        <v>42856</v>
      </c>
      <c r="L48" s="1570">
        <f t="shared" si="16"/>
        <v>42826</v>
      </c>
      <c r="M48" s="1570">
        <f t="shared" si="16"/>
        <v>42795</v>
      </c>
      <c r="N48" s="1570">
        <f t="shared" si="16"/>
        <v>42767</v>
      </c>
      <c r="O48" s="1570">
        <f t="shared" si="16"/>
        <v>42736</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2571</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2536</v>
      </c>
      <c r="B51" s="507"/>
      <c r="C51" s="519" t="s">
        <v>2638</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2574</v>
      </c>
      <c r="B53" s="525" t="s">
        <v>2540</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2589</v>
      </c>
      <c r="C65" s="575" t="s">
        <v>2583</v>
      </c>
      <c r="D65" s="575" t="s">
        <v>2584</v>
      </c>
      <c r="E65" s="575" t="s">
        <v>2585</v>
      </c>
      <c r="F65" s="575" t="s">
        <v>2586</v>
      </c>
      <c r="G65" s="575" t="s">
        <v>2587</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2675</v>
      </c>
      <c r="C67" s="657" t="s">
        <v>2661</v>
      </c>
      <c r="D67" s="657" t="s">
        <v>2662</v>
      </c>
      <c r="E67" s="657" t="s">
        <v>2663</v>
      </c>
      <c r="F67" s="657" t="s">
        <v>2664</v>
      </c>
      <c r="G67" s="657" t="s">
        <v>2665</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2595</v>
      </c>
      <c r="C69" s="575" t="s">
        <v>2583</v>
      </c>
      <c r="D69" s="575" t="s">
        <v>2584</v>
      </c>
      <c r="E69" s="575" t="s">
        <v>2585</v>
      </c>
      <c r="F69" s="575" t="s">
        <v>2586</v>
      </c>
      <c r="G69" s="575" t="s">
        <v>2587</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2715</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2549</v>
      </c>
      <c r="B79" s="525" t="s">
        <v>2716</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2602</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2719</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2721</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2722</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60" t="s">
        <v>1404</v>
      </c>
      <c r="C6" s="1291">
        <f ca="1">ROUND(F6*F8*F7*(1-F9)/10000,0)</f>
        <v>0</v>
      </c>
      <c r="D6" s="161" t="s">
        <v>3019</v>
      </c>
      <c r="E6" s="344" t="s">
        <v>1406</v>
      </c>
      <c r="F6" s="345">
        <f ca="1">INDIRECT("'数据-取费表'!u"&amp;$G$1)</f>
        <v>0</v>
      </c>
      <c r="G6" s="1846"/>
      <c r="H6" s="1286" t="s">
        <v>1035</v>
      </c>
      <c r="I6" s="3260" t="s">
        <v>1404</v>
      </c>
      <c r="J6" s="343">
        <f ca="1">ROUND(M6*M8*M7*(1-M9)/10000,0)</f>
        <v>0</v>
      </c>
      <c r="K6" s="161" t="s">
        <v>3018</v>
      </c>
      <c r="L6" s="344" t="s">
        <v>1406</v>
      </c>
      <c r="M6" s="345">
        <f ca="1">INDIRECT("'数据-取费表'!z"&amp;$G$1)</f>
        <v>0</v>
      </c>
    </row>
    <row r="7" spans="1:37" ht="18" customHeight="1">
      <c r="A7" s="1290"/>
      <c r="B7" s="3261"/>
      <c r="C7" s="1292"/>
      <c r="D7" s="349"/>
      <c r="E7" s="2928" t="s">
        <v>1407</v>
      </c>
      <c r="F7" s="345">
        <f ca="1">IF(INDIRECT("'数据-取费表'!ah"&amp;$G$1)="",INDIRECT("'数据-取费表'!k"&amp;$G$1),INDIRECT("'数据-取费表'!ah"&amp;$G$1))</f>
        <v>0</v>
      </c>
      <c r="G7" s="1846"/>
      <c r="H7" s="346"/>
      <c r="I7" s="3261"/>
      <c r="J7" s="348"/>
      <c r="K7" s="349"/>
      <c r="L7" s="344" t="s">
        <v>1407</v>
      </c>
      <c r="M7" s="345">
        <f ca="1">F7</f>
        <v>0</v>
      </c>
    </row>
    <row r="8" spans="1:37" ht="18" customHeight="1">
      <c r="A8" s="346"/>
      <c r="B8" s="3261"/>
      <c r="C8" s="348"/>
      <c r="D8" s="349"/>
      <c r="E8" s="344" t="s">
        <v>1408</v>
      </c>
      <c r="F8" s="345">
        <f ca="1">INDIRECT("'数据-取费表'!ai"&amp;$G$1)</f>
        <v>0</v>
      </c>
      <c r="G8" s="1846"/>
      <c r="H8" s="346"/>
      <c r="I8" s="3261"/>
      <c r="J8" s="348"/>
      <c r="K8" s="349"/>
      <c r="L8" s="344" t="s">
        <v>1408</v>
      </c>
      <c r="M8" s="345">
        <f ca="1">INDIRECT("'数据-取费表'!ai"&amp;$G$1)</f>
        <v>0</v>
      </c>
    </row>
    <row r="9" spans="1:37" ht="18" customHeight="1">
      <c r="A9" s="346"/>
      <c r="B9" s="3262"/>
      <c r="C9" s="348"/>
      <c r="D9" s="349"/>
      <c r="E9" s="344" t="s">
        <v>1409</v>
      </c>
      <c r="F9" s="354">
        <f ca="1">INDIRECT("'数据-取费表'!w"&amp;$G$1)</f>
        <v>0</v>
      </c>
      <c r="G9" s="1846"/>
      <c r="H9" s="346"/>
      <c r="I9" s="3262"/>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63" t="s">
        <v>1550</v>
      </c>
      <c r="L53" s="3264"/>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2630</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12" t="s">
        <v>2633</v>
      </c>
      <c r="S4" s="3213"/>
      <c r="T4" s="3212" t="s">
        <v>2634</v>
      </c>
      <c r="U4" s="3213"/>
      <c r="V4" s="3237" t="s">
        <v>2635</v>
      </c>
      <c r="W4" s="3237"/>
      <c r="X4" s="1808"/>
      <c r="Y4" s="3212" t="s">
        <v>2637</v>
      </c>
      <c r="Z4" s="3213"/>
      <c r="AA4" s="3207" t="s">
        <v>2633</v>
      </c>
      <c r="AB4" s="3208" t="s">
        <v>2634</v>
      </c>
      <c r="AC4" s="3207" t="s">
        <v>2635</v>
      </c>
    </row>
    <row r="5" spans="1:29" ht="15">
      <c r="A5" s="401"/>
      <c r="B5" s="402"/>
      <c r="C5" s="3218" t="s">
        <v>2528</v>
      </c>
      <c r="D5" s="3219"/>
      <c r="E5" s="3216" t="s">
        <v>2529</v>
      </c>
      <c r="F5" s="3217"/>
      <c r="G5" s="3218" t="s">
        <v>2530</v>
      </c>
      <c r="H5" s="3219"/>
      <c r="I5" s="3218" t="s">
        <v>2531</v>
      </c>
      <c r="J5" s="3219"/>
      <c r="K5" s="607"/>
      <c r="L5" s="1125"/>
      <c r="M5" s="1126"/>
      <c r="N5" s="1126"/>
      <c r="O5" s="1126"/>
      <c r="P5" s="3231"/>
      <c r="Q5" s="3232"/>
      <c r="R5" s="3214"/>
      <c r="S5" s="3215"/>
      <c r="T5" s="3214"/>
      <c r="U5" s="3215"/>
      <c r="V5" s="3237"/>
      <c r="W5" s="3237"/>
      <c r="X5" s="1808"/>
      <c r="Y5" s="3214"/>
      <c r="Z5" s="3215"/>
      <c r="AA5" s="3208"/>
      <c r="AB5" s="3208"/>
      <c r="AC5" s="3208"/>
    </row>
    <row r="6" spans="1:29" ht="15.75" thickBot="1">
      <c r="A6" s="403"/>
      <c r="B6" s="404"/>
      <c r="C6" s="3220" t="s">
        <v>2532</v>
      </c>
      <c r="D6" s="3221"/>
      <c r="E6" s="3222" t="s">
        <v>2532</v>
      </c>
      <c r="F6" s="3223"/>
      <c r="G6" s="3220" t="s">
        <v>2532</v>
      </c>
      <c r="H6" s="3221"/>
      <c r="I6" s="3220" t="s">
        <v>2532</v>
      </c>
      <c r="J6" s="3221"/>
      <c r="K6" s="607" t="s">
        <v>2533</v>
      </c>
      <c r="L6" s="1125"/>
      <c r="M6" s="1126"/>
      <c r="N6" s="1126"/>
      <c r="O6" s="1126"/>
      <c r="P6" s="3233"/>
      <c r="Q6" s="3234"/>
      <c r="R6" s="3214"/>
      <c r="S6" s="3215"/>
      <c r="T6" s="3235"/>
      <c r="U6" s="3236"/>
      <c r="V6" s="3237"/>
      <c r="W6" s="3237"/>
      <c r="X6" s="1808"/>
      <c r="Y6" s="3235"/>
      <c r="Z6" s="3236"/>
      <c r="AA6" s="3209"/>
      <c r="AB6" s="3209"/>
      <c r="AC6" s="3209"/>
    </row>
    <row r="7" spans="1:29" s="114" customFormat="1" ht="15.75" thickBot="1">
      <c r="A7" s="405" t="s">
        <v>2534</v>
      </c>
      <c r="B7" s="406"/>
      <c r="C7" s="407">
        <f>'数据-取费表'!B2</f>
        <v>43110</v>
      </c>
      <c r="D7" s="408">
        <v>100</v>
      </c>
      <c r="E7" s="409"/>
      <c r="F7" s="410">
        <f>SUMIF(46:46,YEAR(E7)&amp;"-"&amp;MONTH(E7),47:47)</f>
        <v>0</v>
      </c>
      <c r="G7" s="2687"/>
      <c r="H7" s="408">
        <f>SUMIF(46:46,YEAR(G7)&amp;"-"&amp;MONTH(G7),47:47)</f>
        <v>0</v>
      </c>
      <c r="I7" s="409"/>
      <c r="J7" s="408">
        <f>SUMIF(46:46,YEAR(I7)&amp;"-"&amp;MONTH(I7),47:47)</f>
        <v>0</v>
      </c>
      <c r="K7" s="608"/>
      <c r="L7" s="1127"/>
      <c r="M7" s="1128"/>
      <c r="N7" s="1128"/>
      <c r="O7" s="1128"/>
      <c r="P7" s="3210" t="s">
        <v>2535</v>
      </c>
      <c r="Q7" s="3238"/>
      <c r="R7" s="767" t="s">
        <v>17</v>
      </c>
      <c r="S7" s="768">
        <f t="shared" ref="S7:S14" si="0">F7</f>
        <v>0</v>
      </c>
      <c r="T7" s="767" t="s">
        <v>17</v>
      </c>
      <c r="U7" s="768">
        <f t="shared" ref="U7:U14" si="1">H7</f>
        <v>0</v>
      </c>
      <c r="V7" s="767" t="s">
        <v>17</v>
      </c>
      <c r="W7" s="768">
        <f t="shared" ref="W7:W14" si="2">J7</f>
        <v>0</v>
      </c>
      <c r="X7" s="769"/>
      <c r="Y7" s="3210" t="s">
        <v>2535</v>
      </c>
      <c r="Z7" s="3211"/>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10" t="s">
        <v>2538</v>
      </c>
      <c r="Q8" s="3211"/>
      <c r="R8" s="767" t="s">
        <v>17</v>
      </c>
      <c r="S8" s="768">
        <f t="shared" si="0"/>
        <v>0</v>
      </c>
      <c r="T8" s="767" t="s">
        <v>17</v>
      </c>
      <c r="U8" s="768">
        <f t="shared" si="1"/>
        <v>0</v>
      </c>
      <c r="V8" s="767" t="s">
        <v>17</v>
      </c>
      <c r="W8" s="768">
        <f t="shared" si="2"/>
        <v>0</v>
      </c>
      <c r="X8" s="769"/>
      <c r="Y8" s="3210" t="s">
        <v>2538</v>
      </c>
      <c r="Z8" s="3211"/>
      <c r="AA8" s="770" t="e">
        <f t="shared" ref="AA8:AA34" si="3">D8/F8</f>
        <v>#DIV/0!</v>
      </c>
      <c r="AB8" s="770" t="e">
        <f t="shared" ref="AB8:AB34" si="4">D8/H8</f>
        <v>#DIV/0!</v>
      </c>
      <c r="AC8" s="770" t="e">
        <f t="shared" ref="AC8:AC34" si="5">D8/J8</f>
        <v>#DIV/0!</v>
      </c>
    </row>
    <row r="9" spans="1:29" s="114" customFormat="1">
      <c r="A9" s="412" t="s">
        <v>2539</v>
      </c>
      <c r="B9" s="71" t="s">
        <v>2540</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242" t="s">
        <v>2541</v>
      </c>
      <c r="Q9" s="1790" t="str">
        <f t="shared" ref="Q9:Q14" si="6">B9</f>
        <v>用途</v>
      </c>
      <c r="R9" s="767" t="s">
        <v>17</v>
      </c>
      <c r="S9" s="768">
        <f t="shared" si="0"/>
        <v>100</v>
      </c>
      <c r="T9" s="767" t="s">
        <v>17</v>
      </c>
      <c r="U9" s="768">
        <f t="shared" si="1"/>
        <v>100</v>
      </c>
      <c r="V9" s="767" t="s">
        <v>17</v>
      </c>
      <c r="W9" s="768">
        <f t="shared" si="2"/>
        <v>100</v>
      </c>
      <c r="X9" s="769"/>
      <c r="Y9" s="3080"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242"/>
      <c r="Q10" s="1790" t="str">
        <f t="shared" si="6"/>
        <v>土地使用年限（年）</v>
      </c>
      <c r="R10" s="767" t="s">
        <v>17</v>
      </c>
      <c r="S10" s="768">
        <f t="shared" si="0"/>
        <v>100</v>
      </c>
      <c r="T10" s="767" t="s">
        <v>17</v>
      </c>
      <c r="U10" s="768">
        <f t="shared" si="1"/>
        <v>100</v>
      </c>
      <c r="V10" s="767" t="s">
        <v>17</v>
      </c>
      <c r="W10" s="768">
        <f t="shared" si="2"/>
        <v>100</v>
      </c>
      <c r="X10" s="769"/>
      <c r="Y10" s="3080"/>
      <c r="Z10" s="55" t="str">
        <f t="shared" si="7"/>
        <v>土地使用年限（年）</v>
      </c>
      <c r="AA10" s="770">
        <f t="shared" si="3"/>
        <v>1</v>
      </c>
      <c r="AB10" s="770">
        <f t="shared" si="4"/>
        <v>1</v>
      </c>
      <c r="AC10" s="770">
        <f t="shared" si="5"/>
        <v>1</v>
      </c>
    </row>
    <row r="11" spans="1:29" ht="15">
      <c r="A11" s="425"/>
      <c r="B11" s="2591">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242"/>
      <c r="Q11" s="1790">
        <f t="shared" si="6"/>
        <v>111</v>
      </c>
      <c r="R11" s="767" t="s">
        <v>17</v>
      </c>
      <c r="S11" s="768">
        <f t="shared" si="0"/>
        <v>100</v>
      </c>
      <c r="T11" s="767" t="s">
        <v>17</v>
      </c>
      <c r="U11" s="768">
        <f t="shared" si="1"/>
        <v>100</v>
      </c>
      <c r="V11" s="767" t="s">
        <v>17</v>
      </c>
      <c r="W11" s="768">
        <f t="shared" si="2"/>
        <v>100</v>
      </c>
      <c r="X11" s="769"/>
      <c r="Y11" s="3080"/>
      <c r="Z11" s="55">
        <f t="shared" si="7"/>
        <v>111</v>
      </c>
      <c r="AA11" s="770">
        <f t="shared" si="3"/>
        <v>1</v>
      </c>
      <c r="AB11" s="770">
        <f t="shared" si="4"/>
        <v>1</v>
      </c>
      <c r="AC11" s="770">
        <f t="shared" si="5"/>
        <v>1</v>
      </c>
    </row>
    <row r="12" spans="1:29" s="114" customFormat="1" ht="15">
      <c r="A12" s="428"/>
      <c r="B12" s="2591">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242"/>
      <c r="Q12" s="1790">
        <f t="shared" si="6"/>
        <v>111</v>
      </c>
      <c r="R12" s="767" t="s">
        <v>17</v>
      </c>
      <c r="S12" s="768">
        <f t="shared" si="0"/>
        <v>100</v>
      </c>
      <c r="T12" s="767" t="s">
        <v>17</v>
      </c>
      <c r="U12" s="768">
        <f t="shared" si="1"/>
        <v>100</v>
      </c>
      <c r="V12" s="767" t="s">
        <v>17</v>
      </c>
      <c r="W12" s="768">
        <f t="shared" si="2"/>
        <v>100</v>
      </c>
      <c r="X12" s="769"/>
      <c r="Y12" s="3080"/>
      <c r="Z12" s="55">
        <f t="shared" si="7"/>
        <v>111</v>
      </c>
      <c r="AA12" s="770">
        <f>D12/F12</f>
        <v>1</v>
      </c>
      <c r="AB12" s="770">
        <f>D12/H12</f>
        <v>1</v>
      </c>
      <c r="AC12" s="770">
        <f>D12/J12</f>
        <v>1</v>
      </c>
    </row>
    <row r="13" spans="1:29" ht="15.75" thickBot="1">
      <c r="A13" s="425"/>
      <c r="B13" s="2591">
        <v>111</v>
      </c>
      <c r="C13" s="431"/>
      <c r="D13" s="432">
        <v>100</v>
      </c>
      <c r="E13" s="466"/>
      <c r="F13" s="422">
        <f>SUMIF(59:59,E13,60:60)-SUMIF(59:59,C13,60:60)+100</f>
        <v>100</v>
      </c>
      <c r="G13" s="2688"/>
      <c r="H13" s="435">
        <f>SUMIF(59:59,G13,60:60)-SUMIF(59:59,C13,60:60)+100</f>
        <v>100</v>
      </c>
      <c r="I13" s="466"/>
      <c r="J13" s="432">
        <f>SUMIF(59:59,I13,60:60)-SUMIF(59:59,C13,60:60)+100</f>
        <v>100</v>
      </c>
      <c r="K13" s="610"/>
      <c r="L13" s="1135"/>
      <c r="M13" s="1126"/>
      <c r="N13" s="1126"/>
      <c r="O13" s="1134"/>
      <c r="P13" s="3242"/>
      <c r="Q13" s="1790">
        <f t="shared" si="6"/>
        <v>111</v>
      </c>
      <c r="R13" s="767" t="s">
        <v>17</v>
      </c>
      <c r="S13" s="768">
        <f t="shared" si="0"/>
        <v>100</v>
      </c>
      <c r="T13" s="767" t="s">
        <v>17</v>
      </c>
      <c r="U13" s="768">
        <f t="shared" si="1"/>
        <v>100</v>
      </c>
      <c r="V13" s="767" t="s">
        <v>17</v>
      </c>
      <c r="W13" s="768">
        <f t="shared" si="2"/>
        <v>100</v>
      </c>
      <c r="X13" s="769"/>
      <c r="Y13" s="3080"/>
      <c r="Z13" s="55">
        <f t="shared" si="7"/>
        <v>111</v>
      </c>
      <c r="AA13" s="770">
        <f t="shared" si="3"/>
        <v>1</v>
      </c>
      <c r="AB13" s="770">
        <f t="shared" si="4"/>
        <v>1</v>
      </c>
      <c r="AC13" s="770">
        <f t="shared" si="5"/>
        <v>1</v>
      </c>
    </row>
    <row r="14" spans="1:29" ht="85.5">
      <c r="A14" s="437" t="s">
        <v>2545</v>
      </c>
      <c r="B14" s="69" t="s">
        <v>2695</v>
      </c>
      <c r="C14" s="2684"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244" t="s">
        <v>2546</v>
      </c>
      <c r="Q14" s="1805" t="str">
        <f t="shared" si="6"/>
        <v>交通便捷度</v>
      </c>
      <c r="R14" s="771" t="s">
        <v>17</v>
      </c>
      <c r="S14" s="772">
        <f t="shared" si="0"/>
        <v>100</v>
      </c>
      <c r="T14" s="771" t="s">
        <v>17</v>
      </c>
      <c r="U14" s="772">
        <f t="shared" si="1"/>
        <v>100</v>
      </c>
      <c r="V14" s="771" t="s">
        <v>17</v>
      </c>
      <c r="W14" s="772">
        <f t="shared" si="2"/>
        <v>100</v>
      </c>
      <c r="X14" s="1808"/>
      <c r="Y14" s="3244" t="s">
        <v>2546</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5"/>
      <c r="M15" s="1126"/>
      <c r="N15" s="1126"/>
      <c r="O15" s="1134"/>
      <c r="P15" s="3245"/>
      <c r="Q15" s="1805"/>
      <c r="R15" s="771"/>
      <c r="S15" s="772"/>
      <c r="T15" s="771"/>
      <c r="U15" s="772"/>
      <c r="V15" s="771"/>
      <c r="W15" s="772"/>
      <c r="X15" s="1808"/>
      <c r="Y15" s="3245"/>
      <c r="Z15" s="1809"/>
      <c r="AA15" s="1806">
        <v>1</v>
      </c>
      <c r="AB15" s="1806">
        <v>1</v>
      </c>
      <c r="AC15" s="1806">
        <v>1</v>
      </c>
    </row>
    <row r="16" spans="1:29" ht="42.75">
      <c r="A16" s="425"/>
      <c r="B16" s="448" t="s">
        <v>2674</v>
      </c>
      <c r="C16" s="2598"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245"/>
      <c r="Q16" s="1805" t="str">
        <f>B16</f>
        <v>公共配套设施</v>
      </c>
      <c r="R16" s="771" t="s">
        <v>17</v>
      </c>
      <c r="S16" s="772">
        <f>F16</f>
        <v>100</v>
      </c>
      <c r="T16" s="771" t="s">
        <v>17</v>
      </c>
      <c r="U16" s="772">
        <f>H16</f>
        <v>100</v>
      </c>
      <c r="V16" s="771" t="s">
        <v>17</v>
      </c>
      <c r="W16" s="772">
        <f>J16</f>
        <v>100</v>
      </c>
      <c r="X16" s="1808"/>
      <c r="Y16" s="3245"/>
      <c r="Z16" s="1809" t="str">
        <f>Q16</f>
        <v>公共配套设施</v>
      </c>
      <c r="AA16" s="1806">
        <f t="shared" si="3"/>
        <v>1</v>
      </c>
      <c r="AB16" s="1806">
        <f t="shared" si="4"/>
        <v>1</v>
      </c>
      <c r="AC16" s="1806">
        <f t="shared" si="5"/>
        <v>1</v>
      </c>
    </row>
    <row r="17" spans="1:29" ht="15">
      <c r="A17" s="425"/>
      <c r="B17" s="453"/>
      <c r="C17" s="2599"/>
      <c r="D17" s="445"/>
      <c r="E17" s="444"/>
      <c r="F17" s="446"/>
      <c r="G17" s="444"/>
      <c r="H17" s="445"/>
      <c r="I17" s="444"/>
      <c r="J17" s="445"/>
      <c r="K17" s="612"/>
      <c r="L17" s="1135"/>
      <c r="M17" s="1126"/>
      <c r="N17" s="1126"/>
      <c r="O17" s="1134"/>
      <c r="P17" s="3245"/>
      <c r="Q17" s="1805"/>
      <c r="R17" s="771"/>
      <c r="S17" s="772"/>
      <c r="T17" s="771"/>
      <c r="U17" s="772"/>
      <c r="V17" s="771"/>
      <c r="W17" s="772"/>
      <c r="X17" s="1808"/>
      <c r="Y17" s="3245"/>
      <c r="Z17" s="1809"/>
      <c r="AA17" s="1806">
        <v>1</v>
      </c>
      <c r="AB17" s="1806">
        <v>1</v>
      </c>
      <c r="AC17" s="1806">
        <v>1</v>
      </c>
    </row>
    <row r="18" spans="1:29" ht="28.5">
      <c r="A18" s="425"/>
      <c r="B18" s="1379" t="s">
        <v>2675</v>
      </c>
      <c r="C18" s="2598"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245"/>
      <c r="Q18" s="1805" t="str">
        <f>B18</f>
        <v>基础设施水平</v>
      </c>
      <c r="R18" s="771" t="s">
        <v>17</v>
      </c>
      <c r="S18" s="772">
        <f>F18</f>
        <v>100</v>
      </c>
      <c r="T18" s="771" t="s">
        <v>17</v>
      </c>
      <c r="U18" s="772">
        <f>H18</f>
        <v>100</v>
      </c>
      <c r="V18" s="771" t="s">
        <v>17</v>
      </c>
      <c r="W18" s="772">
        <f>J18</f>
        <v>100</v>
      </c>
      <c r="X18" s="1808"/>
      <c r="Y18" s="3245"/>
      <c r="Z18" s="1809" t="str">
        <f>Q18</f>
        <v>基础设施水平</v>
      </c>
      <c r="AA18" s="1806">
        <f t="shared" ref="AA18" si="8">D18/F18</f>
        <v>1</v>
      </c>
      <c r="AB18" s="1806">
        <f t="shared" ref="AB18" si="9">D18/H18</f>
        <v>1</v>
      </c>
      <c r="AC18" s="1806">
        <f t="shared" ref="AC18" si="10">D18/J18</f>
        <v>1</v>
      </c>
    </row>
    <row r="19" spans="1:29" ht="15">
      <c r="A19" s="425"/>
      <c r="B19" s="1379"/>
      <c r="C19" s="2599"/>
      <c r="D19" s="447"/>
      <c r="E19" s="2599"/>
      <c r="F19" s="450"/>
      <c r="G19" s="2599"/>
      <c r="H19" s="445"/>
      <c r="I19" s="444"/>
      <c r="J19" s="445"/>
      <c r="K19" s="1378"/>
      <c r="L19" s="1135"/>
      <c r="M19" s="1126"/>
      <c r="N19" s="1126"/>
      <c r="O19" s="1134"/>
      <c r="P19" s="3245"/>
      <c r="Q19" s="1805"/>
      <c r="R19" s="771"/>
      <c r="S19" s="772"/>
      <c r="T19" s="771"/>
      <c r="U19" s="772"/>
      <c r="V19" s="771"/>
      <c r="W19" s="772"/>
      <c r="X19" s="1808"/>
      <c r="Y19" s="3245"/>
      <c r="Z19" s="1809"/>
      <c r="AA19" s="1806">
        <v>1</v>
      </c>
      <c r="AB19" s="1806">
        <v>1</v>
      </c>
      <c r="AC19" s="1806">
        <v>1</v>
      </c>
    </row>
    <row r="20" spans="1:29" ht="57">
      <c r="A20" s="425"/>
      <c r="B20" s="448" t="s">
        <v>2696</v>
      </c>
      <c r="C20" s="2598"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245"/>
      <c r="Q20" s="1805" t="str">
        <f>B20</f>
        <v>自然及人文环境</v>
      </c>
      <c r="R20" s="771" t="s">
        <v>17</v>
      </c>
      <c r="S20" s="772">
        <f>F20</f>
        <v>100</v>
      </c>
      <c r="T20" s="771" t="s">
        <v>17</v>
      </c>
      <c r="U20" s="772">
        <f>H20</f>
        <v>100</v>
      </c>
      <c r="V20" s="771" t="s">
        <v>17</v>
      </c>
      <c r="W20" s="772">
        <f>J20</f>
        <v>100</v>
      </c>
      <c r="X20" s="1808"/>
      <c r="Y20" s="3245"/>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5"/>
      <c r="M21" s="1126"/>
      <c r="N21" s="1126"/>
      <c r="O21" s="1134"/>
      <c r="P21" s="3245"/>
      <c r="Q21" s="1805"/>
      <c r="R21" s="771"/>
      <c r="S21" s="772"/>
      <c r="T21" s="771"/>
      <c r="U21" s="772"/>
      <c r="V21" s="771"/>
      <c r="W21" s="772"/>
      <c r="X21" s="1808"/>
      <c r="Y21" s="3245"/>
      <c r="Z21" s="1809"/>
      <c r="AA21" s="1806">
        <v>1</v>
      </c>
      <c r="AB21" s="1806">
        <v>1</v>
      </c>
      <c r="AC21" s="1806">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245"/>
      <c r="Q22" s="1805" t="str">
        <f>B22</f>
        <v>楼层</v>
      </c>
      <c r="R22" s="771" t="s">
        <v>17</v>
      </c>
      <c r="S22" s="772">
        <f>F22</f>
        <v>100</v>
      </c>
      <c r="T22" s="771" t="s">
        <v>17</v>
      </c>
      <c r="U22" s="772">
        <f>H22</f>
        <v>100</v>
      </c>
      <c r="V22" s="771" t="s">
        <v>17</v>
      </c>
      <c r="W22" s="772">
        <f>J22</f>
        <v>100</v>
      </c>
      <c r="X22" s="1808"/>
      <c r="Y22" s="3245"/>
      <c r="Z22" s="1809" t="str">
        <f>Q22</f>
        <v>楼层</v>
      </c>
      <c r="AA22" s="1806">
        <f t="shared" si="3"/>
        <v>1</v>
      </c>
      <c r="AB22" s="1806">
        <f t="shared" si="4"/>
        <v>1</v>
      </c>
      <c r="AC22" s="1806">
        <f t="shared" si="5"/>
        <v>1</v>
      </c>
    </row>
    <row r="23" spans="1:29" ht="15">
      <c r="A23" s="401"/>
      <c r="B23" s="259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245"/>
      <c r="Q23" s="1805">
        <f>B23</f>
        <v>111</v>
      </c>
      <c r="R23" s="771" t="s">
        <v>17</v>
      </c>
      <c r="S23" s="772">
        <f>F23</f>
        <v>100</v>
      </c>
      <c r="T23" s="771" t="s">
        <v>17</v>
      </c>
      <c r="U23" s="772">
        <f>H23</f>
        <v>100</v>
      </c>
      <c r="V23" s="771" t="s">
        <v>17</v>
      </c>
      <c r="W23" s="772">
        <f>J23</f>
        <v>100</v>
      </c>
      <c r="X23" s="1808"/>
      <c r="Y23" s="3245"/>
      <c r="Z23" s="1809">
        <f>Q23</f>
        <v>111</v>
      </c>
      <c r="AA23" s="1806">
        <f t="shared" si="3"/>
        <v>1</v>
      </c>
      <c r="AB23" s="1806">
        <f t="shared" si="4"/>
        <v>1</v>
      </c>
      <c r="AC23" s="1806">
        <f t="shared" si="5"/>
        <v>1</v>
      </c>
    </row>
    <row r="24" spans="1:29" ht="15">
      <c r="A24" s="425"/>
      <c r="B24" s="259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245"/>
      <c r="Q24" s="1805">
        <f t="shared" ref="Q24:Q34" si="11">B24</f>
        <v>111</v>
      </c>
      <c r="R24" s="771" t="s">
        <v>17</v>
      </c>
      <c r="S24" s="772">
        <f>F24</f>
        <v>100</v>
      </c>
      <c r="T24" s="771" t="s">
        <v>17</v>
      </c>
      <c r="U24" s="772">
        <f>H24</f>
        <v>100</v>
      </c>
      <c r="V24" s="771" t="s">
        <v>17</v>
      </c>
      <c r="W24" s="772">
        <f>J24</f>
        <v>100</v>
      </c>
      <c r="X24" s="1808"/>
      <c r="Y24" s="3245"/>
      <c r="Z24" s="1809">
        <f>Q24</f>
        <v>111</v>
      </c>
      <c r="AA24" s="1806">
        <f t="shared" si="3"/>
        <v>1</v>
      </c>
      <c r="AB24" s="1806">
        <f t="shared" si="4"/>
        <v>1</v>
      </c>
      <c r="AC24" s="1806">
        <f t="shared" si="5"/>
        <v>1</v>
      </c>
    </row>
    <row r="25" spans="1:29" s="114" customFormat="1" ht="15.75" thickBot="1">
      <c r="A25" s="428"/>
      <c r="B25" s="2591">
        <v>111</v>
      </c>
      <c r="C25" s="2689"/>
      <c r="D25" s="662">
        <v>100</v>
      </c>
      <c r="E25" s="2689"/>
      <c r="F25" s="663">
        <f>SUMIF(75:75,E25,76:76)-SUMIF(75:75,C25,76:76)+100</f>
        <v>100</v>
      </c>
      <c r="G25" s="2689"/>
      <c r="H25" s="662">
        <f>SUMIF(75:75,G25,76:76)-SUMIF(75:75,C25,76:76)+100</f>
        <v>100</v>
      </c>
      <c r="I25" s="2689"/>
      <c r="J25" s="662">
        <f>SUMIF(75:75,I25,76:76)-SUMIF(75:75,C25,76:76)+100</f>
        <v>100</v>
      </c>
      <c r="K25" s="610"/>
      <c r="L25" s="1127"/>
      <c r="M25" s="1128"/>
      <c r="N25" s="1128"/>
      <c r="O25" s="1129"/>
      <c r="P25" s="3245"/>
      <c r="Q25" s="1790">
        <f t="shared" si="11"/>
        <v>111</v>
      </c>
      <c r="R25" s="767" t="s">
        <v>17</v>
      </c>
      <c r="S25" s="768">
        <f>F25</f>
        <v>100</v>
      </c>
      <c r="T25" s="767" t="s">
        <v>17</v>
      </c>
      <c r="U25" s="768">
        <f>H25</f>
        <v>100</v>
      </c>
      <c r="V25" s="767" t="s">
        <v>17</v>
      </c>
      <c r="W25" s="768">
        <f>J25</f>
        <v>100</v>
      </c>
      <c r="X25" s="769"/>
      <c r="Y25" s="3245"/>
      <c r="Z25" s="55">
        <f>Q25</f>
        <v>111</v>
      </c>
      <c r="AA25" s="1806">
        <f>D25/F25</f>
        <v>1</v>
      </c>
      <c r="AB25" s="1806">
        <f>D25/H25</f>
        <v>1</v>
      </c>
      <c r="AC25" s="1806">
        <f>D25/J25</f>
        <v>1</v>
      </c>
    </row>
    <row r="26" spans="1:29" ht="15">
      <c r="A26" s="463" t="s">
        <v>2549</v>
      </c>
      <c r="B26" s="71" t="s">
        <v>2700</v>
      </c>
      <c r="C26" s="2670"/>
      <c r="D26" s="464">
        <v>100</v>
      </c>
      <c r="E26" s="2670"/>
      <c r="F26" s="664">
        <f>SUMIF(77:77,E26,78:78)-SUMIF(77:77,C26,78:78)+100</f>
        <v>100</v>
      </c>
      <c r="G26" s="2670"/>
      <c r="H26" s="464">
        <f>SUMIF(77:77,G26,78:78)-SUMIF(77:77,C26,78:78)+100</f>
        <v>100</v>
      </c>
      <c r="I26" s="2670"/>
      <c r="J26" s="464">
        <f>SUMIF(77:77,I26,78:78)-SUMIF(77:77,C26,78:78)+100</f>
        <v>100</v>
      </c>
      <c r="K26" s="609"/>
      <c r="L26" s="1135"/>
      <c r="M26" s="1126"/>
      <c r="N26" s="1126"/>
      <c r="O26" s="1134"/>
      <c r="P26" s="3253" t="s">
        <v>2551</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49" t="s">
        <v>2551</v>
      </c>
      <c r="Z26" s="1809" t="str">
        <f t="shared" ref="Z26:Z34" si="15">Q26</f>
        <v>公共部分装修</v>
      </c>
      <c r="AA26" s="1806">
        <f t="shared" si="3"/>
        <v>1</v>
      </c>
      <c r="AB26" s="1806">
        <f t="shared" si="4"/>
        <v>1</v>
      </c>
      <c r="AC26" s="1806">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249"/>
      <c r="Q27" s="773" t="str">
        <f t="shared" si="11"/>
        <v>成新率</v>
      </c>
      <c r="R27" s="774" t="s">
        <v>17</v>
      </c>
      <c r="S27" s="775" t="e">
        <f t="shared" si="12"/>
        <v>#N/A</v>
      </c>
      <c r="T27" s="774" t="s">
        <v>17</v>
      </c>
      <c r="U27" s="775" t="e">
        <f t="shared" si="13"/>
        <v>#N/A</v>
      </c>
      <c r="V27" s="774" t="s">
        <v>17</v>
      </c>
      <c r="W27" s="775" t="e">
        <f t="shared" si="14"/>
        <v>#N/A</v>
      </c>
      <c r="X27" s="776"/>
      <c r="Y27" s="3249"/>
      <c r="Z27" s="777" t="str">
        <f t="shared" si="15"/>
        <v>成新率</v>
      </c>
      <c r="AA27" s="1806" t="e">
        <f t="shared" si="3"/>
        <v>#N/A</v>
      </c>
      <c r="AB27" s="1806" t="e">
        <f t="shared" si="4"/>
        <v>#N/A</v>
      </c>
      <c r="AC27" s="1806"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249"/>
      <c r="Q28" s="1805" t="str">
        <f t="shared" si="11"/>
        <v>物业等级</v>
      </c>
      <c r="R28" s="771" t="s">
        <v>17</v>
      </c>
      <c r="S28" s="772">
        <f t="shared" si="12"/>
        <v>100</v>
      </c>
      <c r="T28" s="771" t="s">
        <v>17</v>
      </c>
      <c r="U28" s="772">
        <f t="shared" si="13"/>
        <v>100</v>
      </c>
      <c r="V28" s="771" t="s">
        <v>17</v>
      </c>
      <c r="W28" s="772">
        <f t="shared" si="14"/>
        <v>100</v>
      </c>
      <c r="X28" s="1808"/>
      <c r="Y28" s="3249"/>
      <c r="Z28" s="1809" t="str">
        <f t="shared" si="15"/>
        <v>物业等级</v>
      </c>
      <c r="AA28" s="1806">
        <f t="shared" si="3"/>
        <v>1</v>
      </c>
      <c r="AB28" s="1806">
        <f t="shared" si="4"/>
        <v>1</v>
      </c>
      <c r="AC28" s="1806">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249"/>
      <c r="Q29" s="1805" t="str">
        <f t="shared" si="11"/>
        <v>有无电梯</v>
      </c>
      <c r="R29" s="771" t="s">
        <v>17</v>
      </c>
      <c r="S29" s="772">
        <f t="shared" si="12"/>
        <v>100</v>
      </c>
      <c r="T29" s="771" t="s">
        <v>17</v>
      </c>
      <c r="U29" s="772">
        <f t="shared" si="13"/>
        <v>100</v>
      </c>
      <c r="V29" s="771" t="s">
        <v>17</v>
      </c>
      <c r="W29" s="772">
        <f t="shared" si="14"/>
        <v>100</v>
      </c>
      <c r="X29" s="1808"/>
      <c r="Y29" s="3249"/>
      <c r="Z29" s="1809" t="str">
        <f t="shared" si="15"/>
        <v>有无电梯</v>
      </c>
      <c r="AA29" s="1806">
        <f t="shared" si="3"/>
        <v>1</v>
      </c>
      <c r="AB29" s="1806">
        <f t="shared" si="4"/>
        <v>1</v>
      </c>
      <c r="AC29" s="1806">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249"/>
      <c r="Q30" s="1805" t="str">
        <f t="shared" si="11"/>
        <v>建筑面积</v>
      </c>
      <c r="R30" s="771" t="s">
        <v>17</v>
      </c>
      <c r="S30" s="772" t="e">
        <f t="shared" si="12"/>
        <v>#N/A</v>
      </c>
      <c r="T30" s="771" t="s">
        <v>17</v>
      </c>
      <c r="U30" s="772" t="e">
        <f t="shared" si="13"/>
        <v>#N/A</v>
      </c>
      <c r="V30" s="771" t="s">
        <v>17</v>
      </c>
      <c r="W30" s="772" t="e">
        <f t="shared" si="14"/>
        <v>#N/A</v>
      </c>
      <c r="X30" s="1808"/>
      <c r="Y30" s="3249"/>
      <c r="Z30" s="1809" t="str">
        <f t="shared" si="15"/>
        <v>建筑面积</v>
      </c>
      <c r="AA30" s="1806" t="e">
        <f t="shared" si="3"/>
        <v>#N/A</v>
      </c>
      <c r="AB30" s="1806" t="e">
        <f t="shared" si="4"/>
        <v>#N/A</v>
      </c>
      <c r="AC30" s="1806"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249"/>
      <c r="Q31" s="1790" t="str">
        <f t="shared" si="11"/>
        <v>是否封闭</v>
      </c>
      <c r="R31" s="767" t="s">
        <v>17</v>
      </c>
      <c r="S31" s="768">
        <f t="shared" si="12"/>
        <v>100</v>
      </c>
      <c r="T31" s="767" t="s">
        <v>17</v>
      </c>
      <c r="U31" s="768">
        <f t="shared" si="13"/>
        <v>100</v>
      </c>
      <c r="V31" s="767" t="s">
        <v>17</v>
      </c>
      <c r="W31" s="768">
        <f t="shared" si="14"/>
        <v>100</v>
      </c>
      <c r="X31" s="769"/>
      <c r="Y31" s="3249"/>
      <c r="Z31" s="55" t="str">
        <f t="shared" si="15"/>
        <v>是否封闭</v>
      </c>
      <c r="AA31" s="770">
        <f t="shared" si="3"/>
        <v>1</v>
      </c>
      <c r="AB31" s="770">
        <f t="shared" si="4"/>
        <v>1</v>
      </c>
      <c r="AC31" s="770">
        <f t="shared" si="5"/>
        <v>1</v>
      </c>
    </row>
    <row r="32" spans="1:29" ht="15">
      <c r="A32" s="469"/>
      <c r="B32" s="259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249" t="s">
        <v>2551</v>
      </c>
      <c r="Q32" s="1805">
        <f t="shared" si="11"/>
        <v>111</v>
      </c>
      <c r="R32" s="771" t="s">
        <v>17</v>
      </c>
      <c r="S32" s="772">
        <f t="shared" si="12"/>
        <v>100</v>
      </c>
      <c r="T32" s="771" t="s">
        <v>17</v>
      </c>
      <c r="U32" s="772">
        <f t="shared" si="13"/>
        <v>100</v>
      </c>
      <c r="V32" s="771" t="s">
        <v>17</v>
      </c>
      <c r="W32" s="772">
        <f t="shared" si="14"/>
        <v>100</v>
      </c>
      <c r="X32" s="1808"/>
      <c r="Y32" s="3249" t="s">
        <v>2551</v>
      </c>
      <c r="Z32" s="1809">
        <f t="shared" si="15"/>
        <v>111</v>
      </c>
      <c r="AA32" s="1806">
        <f t="shared" si="3"/>
        <v>1</v>
      </c>
      <c r="AB32" s="1806">
        <f t="shared" si="4"/>
        <v>1</v>
      </c>
      <c r="AC32" s="1806">
        <f t="shared" si="5"/>
        <v>1</v>
      </c>
    </row>
    <row r="33" spans="1:29" ht="15">
      <c r="A33" s="469"/>
      <c r="B33" s="259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249"/>
      <c r="Q33" s="1805">
        <f t="shared" si="11"/>
        <v>111</v>
      </c>
      <c r="R33" s="771" t="s">
        <v>17</v>
      </c>
      <c r="S33" s="772">
        <f t="shared" si="12"/>
        <v>100</v>
      </c>
      <c r="T33" s="771" t="s">
        <v>17</v>
      </c>
      <c r="U33" s="772">
        <f t="shared" si="13"/>
        <v>100</v>
      </c>
      <c r="V33" s="771" t="s">
        <v>17</v>
      </c>
      <c r="W33" s="772">
        <f t="shared" si="14"/>
        <v>100</v>
      </c>
      <c r="X33" s="1808"/>
      <c r="Y33" s="3249"/>
      <c r="Z33" s="1809">
        <f t="shared" si="15"/>
        <v>111</v>
      </c>
      <c r="AA33" s="1806">
        <f t="shared" si="3"/>
        <v>1</v>
      </c>
      <c r="AB33" s="1806">
        <f t="shared" si="4"/>
        <v>1</v>
      </c>
      <c r="AC33" s="1806">
        <f t="shared" si="5"/>
        <v>1</v>
      </c>
    </row>
    <row r="34" spans="1:29" ht="15.75" thickBot="1">
      <c r="A34" s="475"/>
      <c r="B34" s="2593">
        <v>111</v>
      </c>
      <c r="C34" s="434"/>
      <c r="D34" s="435">
        <v>100</v>
      </c>
      <c r="E34" s="2688"/>
      <c r="F34" s="436">
        <f>SUMIF(95:95,E34,96:96)-SUMIF(95:95,C34,96:96)+100</f>
        <v>100</v>
      </c>
      <c r="G34" s="2688"/>
      <c r="H34" s="435">
        <f>SUMIF(95:95,G34,96:96)-SUMIF(95:95,C34,96:96)+100</f>
        <v>100</v>
      </c>
      <c r="I34" s="2688"/>
      <c r="J34" s="435">
        <f>SUMIF(95:95,I34,96:96)-SUMIF(95:95,C34,96:96)+100</f>
        <v>100</v>
      </c>
      <c r="K34" s="610"/>
      <c r="L34" s="1135"/>
      <c r="M34" s="1126"/>
      <c r="N34" s="1126"/>
      <c r="O34" s="1134"/>
      <c r="P34" s="3249"/>
      <c r="Q34" s="1805">
        <f t="shared" si="11"/>
        <v>111</v>
      </c>
      <c r="R34" s="771" t="s">
        <v>17</v>
      </c>
      <c r="S34" s="772">
        <f t="shared" si="12"/>
        <v>100</v>
      </c>
      <c r="T34" s="771" t="s">
        <v>17</v>
      </c>
      <c r="U34" s="772">
        <f t="shared" si="13"/>
        <v>100</v>
      </c>
      <c r="V34" s="771" t="s">
        <v>17</v>
      </c>
      <c r="W34" s="772">
        <f t="shared" si="14"/>
        <v>100</v>
      </c>
      <c r="X34" s="1808"/>
      <c r="Y34" s="3249"/>
      <c r="Z34" s="1809">
        <f t="shared" si="15"/>
        <v>111</v>
      </c>
      <c r="AA34" s="1806">
        <f t="shared" si="3"/>
        <v>1</v>
      </c>
      <c r="AB34" s="1806">
        <f t="shared" si="4"/>
        <v>1</v>
      </c>
      <c r="AC34" s="1806">
        <f t="shared" si="5"/>
        <v>1</v>
      </c>
    </row>
    <row r="35" spans="1:29" ht="15">
      <c r="A35" s="476" t="s">
        <v>2563</v>
      </c>
      <c r="B35" s="477"/>
      <c r="C35" s="1402" t="s">
        <v>1</v>
      </c>
      <c r="D35" s="1403"/>
      <c r="E35" s="1404"/>
      <c r="F35" s="1405"/>
      <c r="G35" s="1406"/>
      <c r="H35" s="1407"/>
      <c r="I35" s="1404"/>
      <c r="J35" s="1407"/>
      <c r="K35" s="780"/>
      <c r="L35" s="1138"/>
      <c r="M35" s="1139"/>
      <c r="N35" s="1126"/>
      <c r="O35" s="1139"/>
      <c r="P35" s="3242" t="str">
        <f>A35</f>
        <v>成交单价（元/平方米）</v>
      </c>
      <c r="Q35" s="3242"/>
      <c r="R35" s="3243">
        <f>E35</f>
        <v>0</v>
      </c>
      <c r="S35" s="3243"/>
      <c r="T35" s="3243">
        <f>G35</f>
        <v>0</v>
      </c>
      <c r="U35" s="3243"/>
      <c r="V35" s="3243">
        <f>I35</f>
        <v>0</v>
      </c>
      <c r="W35" s="3243"/>
      <c r="X35" s="756"/>
      <c r="Y35" s="778"/>
      <c r="Z35" s="756"/>
      <c r="AA35" s="756"/>
      <c r="AB35" s="756"/>
      <c r="AC35" s="756"/>
    </row>
    <row r="36" spans="1:29" ht="15.75" thickBot="1">
      <c r="A36" s="483" t="s">
        <v>2655</v>
      </c>
      <c r="B36" s="484"/>
      <c r="C36" s="1408" t="e">
        <f>R37</f>
        <v>#DIV/0!</v>
      </c>
      <c r="D36" s="1409"/>
      <c r="E36" s="1410" t="e">
        <f>R36</f>
        <v>#DIV/0!</v>
      </c>
      <c r="F36" s="1410"/>
      <c r="G36" s="1408" t="e">
        <f>T36</f>
        <v>#DIV/0!</v>
      </c>
      <c r="H36" s="1409"/>
      <c r="I36" s="1410" t="e">
        <f>V36</f>
        <v>#DIV/0!</v>
      </c>
      <c r="J36" s="1409"/>
      <c r="K36" s="781"/>
      <c r="L36" s="1138"/>
      <c r="M36" s="1139"/>
      <c r="N36" s="1126"/>
      <c r="O36" s="1139"/>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6"/>
      <c r="Y36" s="756"/>
      <c r="Z36" s="756"/>
      <c r="AA36" s="756"/>
      <c r="AB36" s="756"/>
      <c r="AC36" s="756"/>
    </row>
    <row r="37" spans="1:29" ht="15.75" thickBot="1">
      <c r="A37" s="489" t="s">
        <v>2656</v>
      </c>
      <c r="B37" s="490"/>
      <c r="C37" s="1412" t="e">
        <f>R37</f>
        <v>#DIV/0!</v>
      </c>
      <c r="D37" s="1412"/>
      <c r="E37" s="1412"/>
      <c r="F37" s="1412"/>
      <c r="G37" s="1412"/>
      <c r="H37" s="1412"/>
      <c r="I37" s="1412"/>
      <c r="J37" s="1412"/>
      <c r="K37" s="782"/>
      <c r="L37" s="1138"/>
      <c r="M37" s="1139"/>
      <c r="N37" s="1139"/>
      <c r="O37" s="1139"/>
      <c r="P37" s="3239" t="str">
        <f>A37</f>
        <v>估价对象XX用房的比较价值（楼面单价，元/平方米）</v>
      </c>
      <c r="Q37" s="3240"/>
      <c r="R37" s="3241" t="e">
        <f>IF(F1="售价",ROUND(AVERAGE(R36:V36),0),ROUND(AVERAGE(R36:V36),1))</f>
        <v>#DIV/0!</v>
      </c>
      <c r="S37" s="3241"/>
      <c r="T37" s="3241"/>
      <c r="U37" s="3241"/>
      <c r="V37" s="3241"/>
      <c r="W37" s="3241"/>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69" t="str">
        <f>YEAR(C7)&amp;"-"&amp;MONTH(C7)</f>
        <v>2018-1</v>
      </c>
      <c r="D46" s="1570">
        <f>EDATE(C46,-1)</f>
        <v>43070</v>
      </c>
      <c r="E46" s="1570">
        <f t="shared" ref="E46:O46" si="16">EDATE(D46,-1)</f>
        <v>43040</v>
      </c>
      <c r="F46" s="1570">
        <f t="shared" si="16"/>
        <v>43009</v>
      </c>
      <c r="G46" s="1570">
        <f t="shared" si="16"/>
        <v>42979</v>
      </c>
      <c r="H46" s="1570">
        <f t="shared" si="16"/>
        <v>42948</v>
      </c>
      <c r="I46" s="1570">
        <f t="shared" si="16"/>
        <v>42917</v>
      </c>
      <c r="J46" s="1570">
        <f t="shared" si="16"/>
        <v>42887</v>
      </c>
      <c r="K46" s="1570">
        <f t="shared" si="16"/>
        <v>42856</v>
      </c>
      <c r="L46" s="1570">
        <f t="shared" si="16"/>
        <v>42826</v>
      </c>
      <c r="M46" s="1570">
        <f t="shared" si="16"/>
        <v>42795</v>
      </c>
      <c r="N46" s="1570">
        <f t="shared" si="16"/>
        <v>42767</v>
      </c>
      <c r="O46" s="1570">
        <f t="shared" si="16"/>
        <v>42736</v>
      </c>
      <c r="P46" s="504"/>
    </row>
    <row r="47" spans="1:29" s="114" customFormat="1" ht="15">
      <c r="A47" s="506"/>
      <c r="B47" s="507"/>
      <c r="C47" s="1568">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2574</v>
      </c>
      <c r="B51" s="525" t="s">
        <v>2540</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2715</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2549</v>
      </c>
      <c r="B77" s="525" t="s">
        <v>2602</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2719</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2727</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2729</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2779</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225" t="s">
        <v>2632</v>
      </c>
      <c r="D4" s="3226"/>
      <c r="E4" s="3227" t="s">
        <v>2633</v>
      </c>
      <c r="F4" s="3228"/>
      <c r="G4" s="3225" t="s">
        <v>2634</v>
      </c>
      <c r="H4" s="3226"/>
      <c r="I4" s="3225" t="s">
        <v>2635</v>
      </c>
      <c r="J4" s="3226"/>
      <c r="K4" s="607" t="s">
        <v>2636</v>
      </c>
      <c r="L4" s="1125"/>
      <c r="M4" s="1126"/>
      <c r="N4" s="1126"/>
      <c r="O4" s="1126"/>
      <c r="P4" s="3229" t="s">
        <v>2637</v>
      </c>
      <c r="Q4" s="3230"/>
      <c r="R4" s="3212" t="s">
        <v>2633</v>
      </c>
      <c r="S4" s="3213"/>
      <c r="T4" s="3212" t="s">
        <v>2634</v>
      </c>
      <c r="U4" s="3213"/>
      <c r="V4" s="3237" t="s">
        <v>2635</v>
      </c>
      <c r="W4" s="3237"/>
      <c r="X4" s="1808"/>
      <c r="Y4" s="3212" t="s">
        <v>2637</v>
      </c>
      <c r="Z4" s="3213"/>
      <c r="AA4" s="3207" t="s">
        <v>2633</v>
      </c>
      <c r="AB4" s="3208" t="s">
        <v>2634</v>
      </c>
      <c r="AC4" s="3207" t="s">
        <v>2635</v>
      </c>
    </row>
    <row r="5" spans="1:29" ht="15">
      <c r="A5" s="401"/>
      <c r="B5" s="402"/>
      <c r="C5" s="3218" t="s">
        <v>2528</v>
      </c>
      <c r="D5" s="3219"/>
      <c r="E5" s="3216" t="s">
        <v>2529</v>
      </c>
      <c r="F5" s="3217"/>
      <c r="G5" s="3218" t="s">
        <v>2530</v>
      </c>
      <c r="H5" s="3219"/>
      <c r="I5" s="3218" t="s">
        <v>2531</v>
      </c>
      <c r="J5" s="3219"/>
      <c r="K5" s="607"/>
      <c r="L5" s="1125"/>
      <c r="M5" s="1126"/>
      <c r="N5" s="1126"/>
      <c r="O5" s="1126"/>
      <c r="P5" s="3231"/>
      <c r="Q5" s="3232"/>
      <c r="R5" s="3214"/>
      <c r="S5" s="3215"/>
      <c r="T5" s="3214"/>
      <c r="U5" s="3215"/>
      <c r="V5" s="3237"/>
      <c r="W5" s="3237"/>
      <c r="X5" s="1808"/>
      <c r="Y5" s="3214"/>
      <c r="Z5" s="3215"/>
      <c r="AA5" s="3208"/>
      <c r="AB5" s="3208"/>
      <c r="AC5" s="3208"/>
    </row>
    <row r="6" spans="1:29" ht="15.75" thickBot="1">
      <c r="A6" s="403"/>
      <c r="B6" s="404"/>
      <c r="C6" s="3301" t="s">
        <v>2780</v>
      </c>
      <c r="D6" s="3302"/>
      <c r="E6" s="3303" t="s">
        <v>2780</v>
      </c>
      <c r="F6" s="3304"/>
      <c r="G6" s="3301" t="s">
        <v>2780</v>
      </c>
      <c r="H6" s="3302"/>
      <c r="I6" s="3301" t="s">
        <v>2780</v>
      </c>
      <c r="J6" s="3302"/>
      <c r="K6" s="607" t="s">
        <v>2533</v>
      </c>
      <c r="L6" s="1125"/>
      <c r="M6" s="1126"/>
      <c r="N6" s="1126"/>
      <c r="O6" s="1126"/>
      <c r="P6" s="3233"/>
      <c r="Q6" s="3234"/>
      <c r="R6" s="3214"/>
      <c r="S6" s="3215"/>
      <c r="T6" s="3235"/>
      <c r="U6" s="3236"/>
      <c r="V6" s="3237"/>
      <c r="W6" s="3237"/>
      <c r="X6" s="1808"/>
      <c r="Y6" s="3235"/>
      <c r="Z6" s="3236"/>
      <c r="AA6" s="3209"/>
      <c r="AB6" s="3209"/>
      <c r="AC6" s="3209"/>
    </row>
    <row r="7" spans="1:29" s="114" customFormat="1" ht="15.75" thickBot="1">
      <c r="A7" s="405" t="s">
        <v>2534</v>
      </c>
      <c r="B7" s="406"/>
      <c r="C7" s="407">
        <f>'数据-取费表'!B2</f>
        <v>43110</v>
      </c>
      <c r="D7" s="408">
        <v>100</v>
      </c>
      <c r="E7" s="409"/>
      <c r="F7" s="410">
        <f>SUMIF(65:65,YEAR(E7)&amp;"-"&amp;INT((MONTH(E7)+2)/3),66:66)</f>
        <v>0</v>
      </c>
      <c r="G7" s="2687"/>
      <c r="H7" s="408">
        <f>SUMIF(65:65,YEAR(G7)&amp;"-"&amp;INT((MONTH(G7)+2)/3),66:66)</f>
        <v>0</v>
      </c>
      <c r="I7" s="2687"/>
      <c r="J7" s="408">
        <f>SUMIF(65:65,YEAR(I7)&amp;"-"&amp;INT((MONTH(I7)+2)/3),66:66)</f>
        <v>0</v>
      </c>
      <c r="K7" s="608"/>
      <c r="L7" s="1127"/>
      <c r="M7" s="1128"/>
      <c r="N7" s="1128"/>
      <c r="O7" s="1128"/>
      <c r="P7" s="3210" t="s">
        <v>2535</v>
      </c>
      <c r="Q7" s="3238"/>
      <c r="R7" s="767" t="s">
        <v>17</v>
      </c>
      <c r="S7" s="768">
        <f t="shared" ref="S7:S15" si="0">F7</f>
        <v>0</v>
      </c>
      <c r="T7" s="767" t="s">
        <v>17</v>
      </c>
      <c r="U7" s="768">
        <f t="shared" ref="U7:U15" si="1">H7</f>
        <v>0</v>
      </c>
      <c r="V7" s="767" t="s">
        <v>17</v>
      </c>
      <c r="W7" s="768">
        <f t="shared" ref="W7:W15" si="2">J7</f>
        <v>0</v>
      </c>
      <c r="X7" s="769"/>
      <c r="Y7" s="3210" t="s">
        <v>2535</v>
      </c>
      <c r="Z7" s="3211"/>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10" t="s">
        <v>2538</v>
      </c>
      <c r="Q8" s="3211"/>
      <c r="R8" s="767" t="s">
        <v>17</v>
      </c>
      <c r="S8" s="768">
        <f t="shared" si="0"/>
        <v>0</v>
      </c>
      <c r="T8" s="767" t="s">
        <v>17</v>
      </c>
      <c r="U8" s="768">
        <f t="shared" si="1"/>
        <v>0</v>
      </c>
      <c r="V8" s="767" t="s">
        <v>17</v>
      </c>
      <c r="W8" s="768">
        <f t="shared" si="2"/>
        <v>0</v>
      </c>
      <c r="X8" s="769"/>
      <c r="Y8" s="3210" t="s">
        <v>2538</v>
      </c>
      <c r="Z8" s="3211"/>
      <c r="AA8" s="770" t="e">
        <f t="shared" ref="AA8:AA40" si="3">D8/F8</f>
        <v>#DIV/0!</v>
      </c>
      <c r="AB8" s="770" t="e">
        <f t="shared" ref="AB8:AB40" si="4">D8/H8</f>
        <v>#DIV/0!</v>
      </c>
      <c r="AC8" s="770" t="e">
        <f t="shared" ref="AC8:AC40" si="5">D8/J8</f>
        <v>#DIV/0!</v>
      </c>
    </row>
    <row r="9" spans="1:29" s="114" customFormat="1">
      <c r="A9" s="412" t="s">
        <v>2539</v>
      </c>
      <c r="B9" s="71" t="s">
        <v>2540</v>
      </c>
      <c r="C9" s="2690"/>
      <c r="D9" s="132">
        <v>100</v>
      </c>
      <c r="E9" s="2690"/>
      <c r="F9" s="132">
        <f>SUMIF(70:70,E9,71:71)-SUMIF(70:70,C9,71:71)+100</f>
        <v>100</v>
      </c>
      <c r="G9" s="2690"/>
      <c r="H9" s="132">
        <f>SUMIF(70:70,G9,71:71)-SUMIF(70:70,C9,71:71)+100</f>
        <v>100</v>
      </c>
      <c r="I9" s="2690"/>
      <c r="J9" s="132">
        <f>SUMIF(70:70,I9,71:71)-SUMIF(70:70,C9,71:71)+100</f>
        <v>100</v>
      </c>
      <c r="K9" s="608"/>
      <c r="L9" s="1127"/>
      <c r="M9" s="1128"/>
      <c r="N9" s="1128"/>
      <c r="O9" s="1129"/>
      <c r="P9" s="3242" t="s">
        <v>2541</v>
      </c>
      <c r="Q9" s="1790" t="str">
        <f t="shared" ref="Q9:Q15" si="6">B9</f>
        <v>用途</v>
      </c>
      <c r="R9" s="767" t="s">
        <v>17</v>
      </c>
      <c r="S9" s="768">
        <f t="shared" si="0"/>
        <v>100</v>
      </c>
      <c r="T9" s="767" t="s">
        <v>17</v>
      </c>
      <c r="U9" s="768">
        <f t="shared" si="1"/>
        <v>100</v>
      </c>
      <c r="V9" s="767" t="s">
        <v>17</v>
      </c>
      <c r="W9" s="768">
        <f t="shared" si="2"/>
        <v>100</v>
      </c>
      <c r="X9" s="769"/>
      <c r="Y9" s="3080"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242"/>
      <c r="Q10" s="1790" t="str">
        <f t="shared" si="6"/>
        <v>土地使用年限（年）</v>
      </c>
      <c r="R10" s="767" t="s">
        <v>17</v>
      </c>
      <c r="S10" s="768">
        <f t="shared" si="0"/>
        <v>103</v>
      </c>
      <c r="T10" s="767" t="s">
        <v>17</v>
      </c>
      <c r="U10" s="768">
        <f t="shared" si="1"/>
        <v>103</v>
      </c>
      <c r="V10" s="767" t="s">
        <v>17</v>
      </c>
      <c r="W10" s="768">
        <f t="shared" si="2"/>
        <v>103</v>
      </c>
      <c r="X10" s="769"/>
      <c r="Y10" s="3080"/>
      <c r="Z10" s="55" t="str">
        <f t="shared" si="7"/>
        <v>土地使用年限（年）</v>
      </c>
      <c r="AA10" s="770">
        <f t="shared" si="3"/>
        <v>0.970873786407767</v>
      </c>
      <c r="AB10" s="770">
        <f t="shared" si="4"/>
        <v>0.970873786407767</v>
      </c>
      <c r="AC10" s="770">
        <f t="shared" si="5"/>
        <v>0.970873786407767</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242"/>
      <c r="Q11" s="1790" t="str">
        <f t="shared" si="6"/>
        <v>容积率</v>
      </c>
      <c r="R11" s="767" t="s">
        <v>17</v>
      </c>
      <c r="S11" s="768" t="e">
        <f t="shared" si="0"/>
        <v>#N/A</v>
      </c>
      <c r="T11" s="767" t="s">
        <v>17</v>
      </c>
      <c r="U11" s="768" t="e">
        <f t="shared" si="1"/>
        <v>#N/A</v>
      </c>
      <c r="V11" s="767" t="s">
        <v>17</v>
      </c>
      <c r="W11" s="768" t="e">
        <f t="shared" si="2"/>
        <v>#N/A</v>
      </c>
      <c r="X11" s="769"/>
      <c r="Y11" s="3080"/>
      <c r="Z11" s="55" t="str">
        <f t="shared" si="7"/>
        <v>容积率</v>
      </c>
      <c r="AA11" s="770" t="e">
        <f t="shared" si="3"/>
        <v>#N/A</v>
      </c>
      <c r="AB11" s="770" t="e">
        <f t="shared" si="4"/>
        <v>#N/A</v>
      </c>
      <c r="AC11" s="770" t="e">
        <f t="shared" si="5"/>
        <v>#N/A</v>
      </c>
    </row>
    <row r="12" spans="1:29" s="114" customFormat="1" ht="15">
      <c r="A12" s="428"/>
      <c r="B12" s="2591">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242"/>
      <c r="Q12" s="1790">
        <f t="shared" si="6"/>
        <v>111</v>
      </c>
      <c r="R12" s="767" t="s">
        <v>17</v>
      </c>
      <c r="S12" s="768">
        <f t="shared" si="0"/>
        <v>100</v>
      </c>
      <c r="T12" s="767" t="s">
        <v>17</v>
      </c>
      <c r="U12" s="768">
        <f t="shared" si="1"/>
        <v>100</v>
      </c>
      <c r="V12" s="767" t="s">
        <v>17</v>
      </c>
      <c r="W12" s="768">
        <f t="shared" si="2"/>
        <v>100</v>
      </c>
      <c r="X12" s="769"/>
      <c r="Y12" s="3080"/>
      <c r="Z12" s="55">
        <f t="shared" si="7"/>
        <v>111</v>
      </c>
      <c r="AA12" s="770">
        <f>D12/F12</f>
        <v>1</v>
      </c>
      <c r="AB12" s="770">
        <f>D12/H12</f>
        <v>1</v>
      </c>
      <c r="AC12" s="770">
        <f>D12/J12</f>
        <v>1</v>
      </c>
    </row>
    <row r="13" spans="1:29" ht="15">
      <c r="A13" s="425"/>
      <c r="B13" s="2591">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242"/>
      <c r="Q13" s="1790">
        <f t="shared" si="6"/>
        <v>111</v>
      </c>
      <c r="R13" s="767" t="s">
        <v>17</v>
      </c>
      <c r="S13" s="768">
        <f t="shared" si="0"/>
        <v>100</v>
      </c>
      <c r="T13" s="767" t="s">
        <v>17</v>
      </c>
      <c r="U13" s="768">
        <f t="shared" si="1"/>
        <v>100</v>
      </c>
      <c r="V13" s="767" t="s">
        <v>17</v>
      </c>
      <c r="W13" s="768">
        <f t="shared" si="2"/>
        <v>100</v>
      </c>
      <c r="X13" s="769"/>
      <c r="Y13" s="3080"/>
      <c r="Z13" s="55">
        <f t="shared" si="7"/>
        <v>111</v>
      </c>
      <c r="AA13" s="770">
        <f t="shared" si="3"/>
        <v>1</v>
      </c>
      <c r="AB13" s="770">
        <f t="shared" si="4"/>
        <v>1</v>
      </c>
      <c r="AC13" s="770">
        <f t="shared" si="5"/>
        <v>1</v>
      </c>
    </row>
    <row r="14" spans="1:29" ht="15.75" thickBot="1">
      <c r="A14" s="433"/>
      <c r="B14" s="259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242"/>
      <c r="Q14" s="1790">
        <f t="shared" si="6"/>
        <v>111</v>
      </c>
      <c r="R14" s="767" t="s">
        <v>17</v>
      </c>
      <c r="S14" s="768">
        <f t="shared" si="0"/>
        <v>100</v>
      </c>
      <c r="T14" s="767" t="s">
        <v>17</v>
      </c>
      <c r="U14" s="768">
        <f t="shared" si="1"/>
        <v>100</v>
      </c>
      <c r="V14" s="767" t="s">
        <v>17</v>
      </c>
      <c r="W14" s="768">
        <f t="shared" si="2"/>
        <v>100</v>
      </c>
      <c r="X14" s="769"/>
      <c r="Y14" s="3080"/>
      <c r="Z14" s="55">
        <f t="shared" si="7"/>
        <v>111</v>
      </c>
      <c r="AA14" s="770">
        <f t="shared" si="3"/>
        <v>1</v>
      </c>
      <c r="AB14" s="770">
        <f t="shared" si="4"/>
        <v>1</v>
      </c>
      <c r="AC14" s="770">
        <f t="shared" si="5"/>
        <v>1</v>
      </c>
    </row>
    <row r="15" spans="1:29" ht="57">
      <c r="A15" s="437" t="s">
        <v>2545</v>
      </c>
      <c r="B15" s="626" t="s">
        <v>2781</v>
      </c>
      <c r="C15" s="2684"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244" t="s">
        <v>2546</v>
      </c>
      <c r="Q15" s="1805" t="str">
        <f t="shared" si="6"/>
        <v>产业集聚程度</v>
      </c>
      <c r="R15" s="771" t="s">
        <v>17</v>
      </c>
      <c r="S15" s="772">
        <f t="shared" si="0"/>
        <v>100</v>
      </c>
      <c r="T15" s="771" t="s">
        <v>17</v>
      </c>
      <c r="U15" s="772">
        <f t="shared" si="1"/>
        <v>100</v>
      </c>
      <c r="V15" s="771" t="s">
        <v>17</v>
      </c>
      <c r="W15" s="772">
        <f t="shared" si="2"/>
        <v>100</v>
      </c>
      <c r="X15" s="1808"/>
      <c r="Y15" s="3244" t="s">
        <v>2546</v>
      </c>
      <c r="Z15" s="1809" t="str">
        <f t="shared" si="7"/>
        <v>产业集聚程度</v>
      </c>
      <c r="AA15" s="1806">
        <f t="shared" si="3"/>
        <v>1</v>
      </c>
      <c r="AB15" s="1806">
        <f t="shared" si="4"/>
        <v>1</v>
      </c>
      <c r="AC15" s="1806">
        <f t="shared" si="5"/>
        <v>1</v>
      </c>
    </row>
    <row r="16" spans="1:29" ht="15">
      <c r="A16" s="425"/>
      <c r="B16" s="627"/>
      <c r="C16" s="444"/>
      <c r="D16" s="445"/>
      <c r="E16" s="2602"/>
      <c r="F16" s="445"/>
      <c r="G16" s="2602"/>
      <c r="H16" s="447"/>
      <c r="I16" s="2602"/>
      <c r="J16" s="445"/>
      <c r="K16" s="669"/>
      <c r="L16" s="1135"/>
      <c r="M16" s="1126"/>
      <c r="N16" s="1126"/>
      <c r="O16" s="1134"/>
      <c r="P16" s="3245"/>
      <c r="Q16" s="1805"/>
      <c r="R16" s="771"/>
      <c r="S16" s="772"/>
      <c r="T16" s="771"/>
      <c r="U16" s="772"/>
      <c r="V16" s="771"/>
      <c r="W16" s="772"/>
      <c r="X16" s="1808"/>
      <c r="Y16" s="3245"/>
      <c r="Z16" s="1809"/>
      <c r="AA16" s="1806">
        <v>1</v>
      </c>
      <c r="AB16" s="1806">
        <v>1</v>
      </c>
      <c r="AC16" s="1806">
        <v>1</v>
      </c>
    </row>
    <row r="17" spans="1:29" ht="85.5">
      <c r="A17" s="425"/>
      <c r="B17" s="628" t="s">
        <v>2695</v>
      </c>
      <c r="C17" s="2598"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245"/>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1806">
        <f t="shared" si="5"/>
        <v>1</v>
      </c>
    </row>
    <row r="18" spans="1:29" ht="15">
      <c r="A18" s="425"/>
      <c r="B18" s="629"/>
      <c r="C18" s="444"/>
      <c r="D18" s="445"/>
      <c r="E18" s="2596"/>
      <c r="F18" s="445"/>
      <c r="G18" s="2596"/>
      <c r="H18" s="445"/>
      <c r="I18" s="2595"/>
      <c r="J18" s="445"/>
      <c r="K18" s="669"/>
      <c r="L18" s="1135"/>
      <c r="M18" s="1126"/>
      <c r="N18" s="1126"/>
      <c r="O18" s="1134"/>
      <c r="P18" s="3245"/>
      <c r="Q18" s="1805"/>
      <c r="R18" s="771"/>
      <c r="S18" s="772"/>
      <c r="T18" s="771"/>
      <c r="U18" s="772"/>
      <c r="V18" s="771"/>
      <c r="W18" s="772"/>
      <c r="X18" s="1808"/>
      <c r="Y18" s="3245"/>
      <c r="Z18" s="1809"/>
      <c r="AA18" s="1806">
        <v>1</v>
      </c>
      <c r="AB18" s="1806">
        <v>1</v>
      </c>
      <c r="AC18" s="1806">
        <v>1</v>
      </c>
    </row>
    <row r="19" spans="1:29" ht="15">
      <c r="A19" s="425"/>
      <c r="B19" s="628" t="s">
        <v>2733</v>
      </c>
      <c r="C19" s="259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245"/>
      <c r="Q19" s="1805" t="str">
        <f t="shared" ref="Q19:Q33" si="8">B19</f>
        <v>区域土地利用方向</v>
      </c>
      <c r="R19" s="771" t="s">
        <v>17</v>
      </c>
      <c r="S19" s="772">
        <f>F19</f>
        <v>100</v>
      </c>
      <c r="T19" s="771" t="s">
        <v>17</v>
      </c>
      <c r="U19" s="772">
        <f>H19</f>
        <v>100</v>
      </c>
      <c r="V19" s="771" t="s">
        <v>17</v>
      </c>
      <c r="W19" s="772">
        <f>J19</f>
        <v>100</v>
      </c>
      <c r="X19" s="1808"/>
      <c r="Y19" s="3245"/>
      <c r="Z19" s="1809" t="str">
        <f>Q19</f>
        <v>区域土地利用方向</v>
      </c>
      <c r="AA19" s="1806">
        <f t="shared" si="3"/>
        <v>1</v>
      </c>
      <c r="AB19" s="1806">
        <f t="shared" si="4"/>
        <v>1</v>
      </c>
      <c r="AC19" s="1806">
        <f t="shared" si="5"/>
        <v>1</v>
      </c>
    </row>
    <row r="20" spans="1:29" ht="15">
      <c r="A20" s="401"/>
      <c r="B20" s="629"/>
      <c r="C20" s="444"/>
      <c r="D20" s="445"/>
      <c r="E20" s="2596"/>
      <c r="F20" s="445"/>
      <c r="G20" s="2596"/>
      <c r="H20" s="445"/>
      <c r="I20" s="2596"/>
      <c r="J20" s="445"/>
      <c r="K20" s="804"/>
      <c r="L20" s="1135"/>
      <c r="M20" s="1126"/>
      <c r="N20" s="1126"/>
      <c r="O20" s="1134"/>
      <c r="P20" s="3245"/>
      <c r="Q20" s="1805"/>
      <c r="R20" s="771"/>
      <c r="S20" s="772"/>
      <c r="T20" s="771"/>
      <c r="U20" s="772"/>
      <c r="V20" s="771"/>
      <c r="W20" s="772"/>
      <c r="X20" s="1808"/>
      <c r="Y20" s="3245"/>
      <c r="Z20" s="1809"/>
      <c r="AA20" s="1806"/>
      <c r="AB20" s="1806"/>
      <c r="AC20" s="1806"/>
    </row>
    <row r="21" spans="1:29" ht="71.25">
      <c r="A21" s="401"/>
      <c r="B21" s="628" t="s">
        <v>2782</v>
      </c>
      <c r="C21" s="2598"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245"/>
      <c r="Q21" s="1805" t="str">
        <f t="shared" si="8"/>
        <v>环境状况</v>
      </c>
      <c r="R21" s="771" t="s">
        <v>17</v>
      </c>
      <c r="S21" s="772">
        <f>F21</f>
        <v>100</v>
      </c>
      <c r="T21" s="771" t="s">
        <v>17</v>
      </c>
      <c r="U21" s="772">
        <f>H21</f>
        <v>100</v>
      </c>
      <c r="V21" s="771" t="s">
        <v>17</v>
      </c>
      <c r="W21" s="772">
        <f>J21</f>
        <v>100</v>
      </c>
      <c r="X21" s="1808"/>
      <c r="Y21" s="3245"/>
      <c r="Z21" s="1809" t="str">
        <f>Q21</f>
        <v>环境状况</v>
      </c>
      <c r="AA21" s="1806">
        <f t="shared" si="3"/>
        <v>1</v>
      </c>
      <c r="AB21" s="1806">
        <f t="shared" si="4"/>
        <v>1</v>
      </c>
      <c r="AC21" s="1806">
        <f t="shared" si="5"/>
        <v>1</v>
      </c>
    </row>
    <row r="22" spans="1:29" ht="15">
      <c r="A22" s="401"/>
      <c r="B22" s="629"/>
      <c r="C22" s="444"/>
      <c r="D22" s="445"/>
      <c r="E22" s="2602"/>
      <c r="F22" s="445"/>
      <c r="G22" s="2602"/>
      <c r="H22" s="445"/>
      <c r="I22" s="444"/>
      <c r="J22" s="445"/>
      <c r="K22" s="669"/>
      <c r="L22" s="1135"/>
      <c r="M22" s="1126"/>
      <c r="N22" s="1126"/>
      <c r="O22" s="1134"/>
      <c r="P22" s="3245"/>
      <c r="Q22" s="1805"/>
      <c r="R22" s="771"/>
      <c r="S22" s="772"/>
      <c r="T22" s="771"/>
      <c r="U22" s="772"/>
      <c r="V22" s="771"/>
      <c r="W22" s="772"/>
      <c r="X22" s="1808"/>
      <c r="Y22" s="3245"/>
      <c r="Z22" s="1809"/>
      <c r="AA22" s="1806">
        <v>1</v>
      </c>
      <c r="AB22" s="1806">
        <v>1</v>
      </c>
      <c r="AC22" s="1806">
        <v>1</v>
      </c>
    </row>
    <row r="23" spans="1:29" s="114" customFormat="1" ht="42.75">
      <c r="A23" s="646"/>
      <c r="B23" s="630" t="s">
        <v>2640</v>
      </c>
      <c r="C23" s="2598"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245"/>
      <c r="Q23" s="1790" t="str">
        <f t="shared" si="8"/>
        <v>公共配套设施</v>
      </c>
      <c r="R23" s="767" t="s">
        <v>17</v>
      </c>
      <c r="S23" s="768">
        <f>F23</f>
        <v>100</v>
      </c>
      <c r="T23" s="767" t="s">
        <v>17</v>
      </c>
      <c r="U23" s="768">
        <f>H23</f>
        <v>100</v>
      </c>
      <c r="V23" s="767" t="s">
        <v>17</v>
      </c>
      <c r="W23" s="768">
        <f>J23</f>
        <v>100</v>
      </c>
      <c r="X23" s="769"/>
      <c r="Y23" s="3245"/>
      <c r="Z23" s="55" t="str">
        <f>Q23</f>
        <v>公共配套设施</v>
      </c>
      <c r="AA23" s="1806">
        <f>D23/F23</f>
        <v>1</v>
      </c>
      <c r="AB23" s="1806">
        <f>D23/H23</f>
        <v>1</v>
      </c>
      <c r="AC23" s="1806">
        <f>D23/J23</f>
        <v>1</v>
      </c>
    </row>
    <row r="24" spans="1:29" s="114" customFormat="1" ht="15">
      <c r="A24" s="646"/>
      <c r="B24" s="629"/>
      <c r="C24" s="2691"/>
      <c r="D24" s="445"/>
      <c r="E24" s="2602"/>
      <c r="F24" s="445"/>
      <c r="G24" s="2602"/>
      <c r="H24" s="445"/>
      <c r="I24" s="444"/>
      <c r="J24" s="445"/>
      <c r="K24" s="669"/>
      <c r="L24" s="1127"/>
      <c r="M24" s="1128"/>
      <c r="N24" s="1128"/>
      <c r="O24" s="1129"/>
      <c r="P24" s="3245"/>
      <c r="Q24" s="1790"/>
      <c r="R24" s="767"/>
      <c r="S24" s="768"/>
      <c r="T24" s="767"/>
      <c r="U24" s="768"/>
      <c r="V24" s="767"/>
      <c r="W24" s="768"/>
      <c r="X24" s="769"/>
      <c r="Y24" s="3245"/>
      <c r="Z24" s="55"/>
      <c r="AA24" s="770">
        <v>1</v>
      </c>
      <c r="AB24" s="770">
        <v>1</v>
      </c>
      <c r="AC24" s="770">
        <v>1</v>
      </c>
    </row>
    <row r="25" spans="1:29" s="114" customFormat="1" ht="28.5">
      <c r="A25" s="646"/>
      <c r="B25" s="630" t="s">
        <v>2641</v>
      </c>
      <c r="C25" s="2598"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245"/>
      <c r="Q25" s="1790" t="str">
        <f t="shared" ref="Q25" si="9">B25</f>
        <v>基础设施水平</v>
      </c>
      <c r="R25" s="767" t="s">
        <v>17</v>
      </c>
      <c r="S25" s="768">
        <f>F25</f>
        <v>100</v>
      </c>
      <c r="T25" s="767" t="s">
        <v>17</v>
      </c>
      <c r="U25" s="768">
        <f>H25</f>
        <v>100</v>
      </c>
      <c r="V25" s="767" t="s">
        <v>17</v>
      </c>
      <c r="W25" s="768">
        <f>J25</f>
        <v>100</v>
      </c>
      <c r="X25" s="769"/>
      <c r="Y25" s="3245"/>
      <c r="Z25" s="55" t="str">
        <f>Q25</f>
        <v>基础设施水平</v>
      </c>
      <c r="AA25" s="1806">
        <f>D25/F25</f>
        <v>1</v>
      </c>
      <c r="AB25" s="1806">
        <f>D25/H25</f>
        <v>1</v>
      </c>
      <c r="AC25" s="1806">
        <f>D25/J25</f>
        <v>1</v>
      </c>
    </row>
    <row r="26" spans="1:29" s="114" customFormat="1" ht="15">
      <c r="A26" s="646"/>
      <c r="B26" s="629"/>
      <c r="C26" s="2691"/>
      <c r="D26" s="445"/>
      <c r="E26" s="2692"/>
      <c r="F26" s="445"/>
      <c r="G26" s="2692"/>
      <c r="H26" s="445"/>
      <c r="I26" s="2692"/>
      <c r="J26" s="445"/>
      <c r="K26" s="669"/>
      <c r="L26" s="1127"/>
      <c r="M26" s="1128"/>
      <c r="N26" s="1128"/>
      <c r="O26" s="1129"/>
      <c r="P26" s="3245"/>
      <c r="Q26" s="1790"/>
      <c r="R26" s="767"/>
      <c r="S26" s="768"/>
      <c r="T26" s="767"/>
      <c r="U26" s="768"/>
      <c r="V26" s="767"/>
      <c r="W26" s="768"/>
      <c r="X26" s="769"/>
      <c r="Y26" s="3245"/>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245"/>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45"/>
      <c r="Z27" s="1809" t="str">
        <f t="shared" ref="Z27:Z40" si="13">Q27</f>
        <v>临街状况</v>
      </c>
      <c r="AA27" s="1806">
        <f t="shared" si="3"/>
        <v>1</v>
      </c>
      <c r="AB27" s="1806">
        <f t="shared" si="4"/>
        <v>1</v>
      </c>
      <c r="AC27" s="1806">
        <f t="shared" si="5"/>
        <v>1</v>
      </c>
    </row>
    <row r="28" spans="1:29" ht="27">
      <c r="A28" s="425"/>
      <c r="B28" s="630" t="s">
        <v>2677</v>
      </c>
      <c r="C28" s="270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245"/>
      <c r="Q28" s="1805" t="str">
        <f t="shared" si="8"/>
        <v>毗邻道路的类型与等级</v>
      </c>
      <c r="R28" s="771" t="s">
        <v>17</v>
      </c>
      <c r="S28" s="772">
        <f t="shared" si="10"/>
        <v>100</v>
      </c>
      <c r="T28" s="771" t="s">
        <v>17</v>
      </c>
      <c r="U28" s="772">
        <f t="shared" si="11"/>
        <v>100</v>
      </c>
      <c r="V28" s="771" t="s">
        <v>17</v>
      </c>
      <c r="W28" s="772">
        <f t="shared" si="12"/>
        <v>100</v>
      </c>
      <c r="X28" s="1808"/>
      <c r="Y28" s="3245"/>
      <c r="Z28" s="1809" t="str">
        <f t="shared" si="13"/>
        <v>毗邻道路的类型与等级</v>
      </c>
      <c r="AA28" s="1806">
        <f t="shared" si="3"/>
        <v>1</v>
      </c>
      <c r="AB28" s="1806">
        <f t="shared" si="4"/>
        <v>1</v>
      </c>
      <c r="AC28" s="1806">
        <f t="shared" si="5"/>
        <v>1</v>
      </c>
    </row>
    <row r="29" spans="1:29" ht="15">
      <c r="A29" s="425"/>
      <c r="B29" s="629"/>
      <c r="C29" s="444"/>
      <c r="D29" s="445"/>
      <c r="E29" s="2602"/>
      <c r="F29" s="445"/>
      <c r="G29" s="2602"/>
      <c r="H29" s="445"/>
      <c r="I29" s="2602"/>
      <c r="J29" s="445"/>
      <c r="K29" s="610"/>
      <c r="L29" s="1135"/>
      <c r="M29" s="1126"/>
      <c r="N29" s="1126"/>
      <c r="O29" s="1134"/>
      <c r="P29" s="3245"/>
      <c r="Q29" s="1805"/>
      <c r="R29" s="771"/>
      <c r="S29" s="772"/>
      <c r="T29" s="771"/>
      <c r="U29" s="772"/>
      <c r="V29" s="771"/>
      <c r="W29" s="772"/>
      <c r="X29" s="1808"/>
      <c r="Y29" s="3245"/>
      <c r="Z29" s="1809"/>
      <c r="AA29" s="1806">
        <v>1</v>
      </c>
      <c r="AB29" s="1806">
        <v>1</v>
      </c>
      <c r="AC29" s="1806">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245"/>
      <c r="Q30" s="1805" t="str">
        <f t="shared" si="8"/>
        <v>土地级别</v>
      </c>
      <c r="R30" s="771" t="s">
        <v>17</v>
      </c>
      <c r="S30" s="772">
        <f t="shared" si="10"/>
        <v>100</v>
      </c>
      <c r="T30" s="771" t="s">
        <v>17</v>
      </c>
      <c r="U30" s="772">
        <f t="shared" si="11"/>
        <v>100</v>
      </c>
      <c r="V30" s="771" t="s">
        <v>17</v>
      </c>
      <c r="W30" s="772">
        <f t="shared" si="12"/>
        <v>100</v>
      </c>
      <c r="X30" s="1808"/>
      <c r="Y30" s="3245"/>
      <c r="Z30" s="1809" t="str">
        <f t="shared" si="13"/>
        <v>土地级别</v>
      </c>
      <c r="AA30" s="1806">
        <f t="shared" si="3"/>
        <v>1</v>
      </c>
      <c r="AB30" s="1806">
        <f t="shared" si="4"/>
        <v>1</v>
      </c>
      <c r="AC30" s="1806">
        <f t="shared" si="5"/>
        <v>1</v>
      </c>
    </row>
    <row r="31" spans="1:29" ht="15">
      <c r="A31" s="401"/>
      <c r="B31" s="266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245"/>
      <c r="Q31" s="1805">
        <f t="shared" si="8"/>
        <v>111</v>
      </c>
      <c r="R31" s="771" t="s">
        <v>17</v>
      </c>
      <c r="S31" s="772">
        <f t="shared" si="10"/>
        <v>100</v>
      </c>
      <c r="T31" s="771" t="s">
        <v>17</v>
      </c>
      <c r="U31" s="772">
        <f t="shared" si="11"/>
        <v>100</v>
      </c>
      <c r="V31" s="771" t="s">
        <v>17</v>
      </c>
      <c r="W31" s="772">
        <f t="shared" si="12"/>
        <v>100</v>
      </c>
      <c r="X31" s="1808"/>
      <c r="Y31" s="3245"/>
      <c r="Z31" s="1809">
        <f t="shared" si="13"/>
        <v>111</v>
      </c>
      <c r="AA31" s="1806">
        <f t="shared" si="3"/>
        <v>1</v>
      </c>
      <c r="AB31" s="1806">
        <f t="shared" si="4"/>
        <v>1</v>
      </c>
      <c r="AC31" s="1806">
        <f t="shared" si="5"/>
        <v>1</v>
      </c>
    </row>
    <row r="32" spans="1:29" ht="15">
      <c r="A32" s="672"/>
      <c r="B32" s="270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53" t="s">
        <v>2551</v>
      </c>
      <c r="Q32" s="1805">
        <f t="shared" si="8"/>
        <v>111</v>
      </c>
      <c r="R32" s="771" t="s">
        <v>17</v>
      </c>
      <c r="S32" s="772">
        <f t="shared" si="10"/>
        <v>100</v>
      </c>
      <c r="T32" s="771" t="s">
        <v>17</v>
      </c>
      <c r="U32" s="772">
        <f t="shared" si="11"/>
        <v>100</v>
      </c>
      <c r="V32" s="771" t="s">
        <v>17</v>
      </c>
      <c r="W32" s="772">
        <f t="shared" si="12"/>
        <v>100</v>
      </c>
      <c r="X32" s="1808"/>
      <c r="Y32" s="3249" t="s">
        <v>2551</v>
      </c>
      <c r="Z32" s="1809">
        <f t="shared" si="13"/>
        <v>111</v>
      </c>
      <c r="AA32" s="1806">
        <f t="shared" si="3"/>
        <v>1</v>
      </c>
      <c r="AB32" s="1806">
        <f t="shared" si="4"/>
        <v>1</v>
      </c>
      <c r="AC32" s="1806">
        <f t="shared" si="5"/>
        <v>1</v>
      </c>
    </row>
    <row r="33" spans="1:29" s="468" customFormat="1" ht="15.75" thickBot="1">
      <c r="A33" s="673"/>
      <c r="B33" s="2706">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249"/>
      <c r="Q33" s="1805">
        <f t="shared" si="8"/>
        <v>111</v>
      </c>
      <c r="R33" s="774" t="s">
        <v>17</v>
      </c>
      <c r="S33" s="775">
        <f t="shared" si="10"/>
        <v>100</v>
      </c>
      <c r="T33" s="774" t="s">
        <v>17</v>
      </c>
      <c r="U33" s="775">
        <f t="shared" si="11"/>
        <v>100</v>
      </c>
      <c r="V33" s="774" t="s">
        <v>17</v>
      </c>
      <c r="W33" s="775">
        <f t="shared" si="12"/>
        <v>100</v>
      </c>
      <c r="X33" s="776"/>
      <c r="Y33" s="3249"/>
      <c r="Z33" s="777">
        <f t="shared" si="13"/>
        <v>111</v>
      </c>
      <c r="AA33" s="1806">
        <f t="shared" si="3"/>
        <v>1</v>
      </c>
      <c r="AB33" s="1806">
        <f t="shared" si="4"/>
        <v>1</v>
      </c>
      <c r="AC33" s="1806">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249"/>
      <c r="Q34" s="1805" t="str">
        <f>B34</f>
        <v>宗地面积</v>
      </c>
      <c r="R34" s="771" t="s">
        <v>17</v>
      </c>
      <c r="S34" s="772" t="e">
        <f t="shared" si="10"/>
        <v>#N/A</v>
      </c>
      <c r="T34" s="771" t="s">
        <v>17</v>
      </c>
      <c r="U34" s="772" t="e">
        <f t="shared" si="11"/>
        <v>#N/A</v>
      </c>
      <c r="V34" s="771" t="s">
        <v>17</v>
      </c>
      <c r="W34" s="772" t="e">
        <f t="shared" si="12"/>
        <v>#N/A</v>
      </c>
      <c r="X34" s="1808"/>
      <c r="Y34" s="3249"/>
      <c r="Z34" s="1809" t="str">
        <f t="shared" si="13"/>
        <v>宗地面积</v>
      </c>
      <c r="AA34" s="1806" t="e">
        <f t="shared" si="3"/>
        <v>#N/A</v>
      </c>
      <c r="AB34" s="1806" t="e">
        <f t="shared" si="4"/>
        <v>#N/A</v>
      </c>
      <c r="AC34" s="1806" t="e">
        <f t="shared" si="5"/>
        <v>#N/A</v>
      </c>
    </row>
    <row r="35" spans="1:29" ht="15">
      <c r="A35" s="469"/>
      <c r="B35" s="419" t="s">
        <v>2737</v>
      </c>
      <c r="C35" s="2604"/>
      <c r="D35" s="432">
        <v>100</v>
      </c>
      <c r="E35" s="2604"/>
      <c r="F35" s="432">
        <f>SUMIF(110:110,E35,111:111)-SUMIF(110:110,C35,111:111)+100</f>
        <v>100</v>
      </c>
      <c r="G35" s="2604"/>
      <c r="H35" s="432">
        <f>SUMIF(110:110,G35,111:111)-SUMIF(110:110,C35,111:111)+100</f>
        <v>100</v>
      </c>
      <c r="I35" s="2604"/>
      <c r="J35" s="432">
        <f>SUMIF(110:110,I35,111:111)-SUMIF(110:110,C35,111:111)+100</f>
        <v>100</v>
      </c>
      <c r="K35" s="609"/>
      <c r="L35" s="1135"/>
      <c r="M35" s="1126"/>
      <c r="N35" s="1126"/>
      <c r="O35" s="1134"/>
      <c r="P35" s="3249"/>
      <c r="Q35" s="1805" t="str">
        <f t="shared" ref="Q35:Q40" si="14">B35</f>
        <v>宗地形状</v>
      </c>
      <c r="R35" s="771" t="s">
        <v>17</v>
      </c>
      <c r="S35" s="772">
        <f t="shared" si="10"/>
        <v>100</v>
      </c>
      <c r="T35" s="771" t="s">
        <v>17</v>
      </c>
      <c r="U35" s="772">
        <f t="shared" si="11"/>
        <v>100</v>
      </c>
      <c r="V35" s="771" t="s">
        <v>17</v>
      </c>
      <c r="W35" s="772">
        <f t="shared" si="12"/>
        <v>100</v>
      </c>
      <c r="X35" s="1808"/>
      <c r="Y35" s="3249"/>
      <c r="Z35" s="1809" t="str">
        <f t="shared" si="13"/>
        <v>宗地形状</v>
      </c>
      <c r="AA35" s="1806">
        <f t="shared" si="3"/>
        <v>1</v>
      </c>
      <c r="AB35" s="1806">
        <f t="shared" si="4"/>
        <v>1</v>
      </c>
      <c r="AC35" s="1806">
        <f t="shared" si="5"/>
        <v>1</v>
      </c>
    </row>
    <row r="36" spans="1:29" s="114" customFormat="1" ht="15">
      <c r="A36" s="470"/>
      <c r="B36" s="419" t="s">
        <v>2739</v>
      </c>
      <c r="C36" s="2693"/>
      <c r="D36" s="133">
        <v>100</v>
      </c>
      <c r="E36" s="2693"/>
      <c r="F36" s="432">
        <f>SUMIF(112:112,E36,113:113)-SUMIF(112:112,C36,113:113)+100</f>
        <v>100</v>
      </c>
      <c r="G36" s="2693"/>
      <c r="H36" s="432">
        <f>SUMIF(112:112,G36,113:113)-SUMIF(112:112,C36,113:113)+100</f>
        <v>100</v>
      </c>
      <c r="I36" s="2693"/>
      <c r="J36" s="432">
        <f>SUMIF(112:112,I36,113:113)-SUMIF(112:112,C36,113:113)+100</f>
        <v>100</v>
      </c>
      <c r="K36" s="609"/>
      <c r="L36" s="1127"/>
      <c r="M36" s="1128"/>
      <c r="N36" s="1128"/>
      <c r="O36" s="1129"/>
      <c r="P36" s="3249"/>
      <c r="Q36" s="1805" t="str">
        <f t="shared" si="14"/>
        <v>宗地开发程度</v>
      </c>
      <c r="R36" s="767" t="s">
        <v>17</v>
      </c>
      <c r="S36" s="768">
        <f t="shared" si="10"/>
        <v>100</v>
      </c>
      <c r="T36" s="767" t="s">
        <v>17</v>
      </c>
      <c r="U36" s="768">
        <f t="shared" si="11"/>
        <v>100</v>
      </c>
      <c r="V36" s="767" t="s">
        <v>17</v>
      </c>
      <c r="W36" s="768">
        <f t="shared" si="12"/>
        <v>100</v>
      </c>
      <c r="X36" s="769"/>
      <c r="Y36" s="3249"/>
      <c r="Z36" s="55" t="str">
        <f t="shared" si="13"/>
        <v>宗地开发程度</v>
      </c>
      <c r="AA36" s="770">
        <f t="shared" si="3"/>
        <v>1</v>
      </c>
      <c r="AB36" s="770">
        <f t="shared" si="4"/>
        <v>1</v>
      </c>
      <c r="AC36" s="770">
        <f t="shared" si="5"/>
        <v>1</v>
      </c>
    </row>
    <row r="37" spans="1:29" ht="15">
      <c r="A37" s="469"/>
      <c r="B37" s="419" t="s">
        <v>2740</v>
      </c>
      <c r="C37" s="2604"/>
      <c r="D37" s="432">
        <v>100</v>
      </c>
      <c r="E37" s="2604"/>
      <c r="F37" s="432">
        <f>SUMIF(114:114,E37,115:115)-SUMIF(114:114,C37,115:115)+100</f>
        <v>100</v>
      </c>
      <c r="G37" s="2604"/>
      <c r="H37" s="432">
        <f>SUMIF(114:114,G37,115:115)-SUMIF(114:114,C37,115:115)+100</f>
        <v>100</v>
      </c>
      <c r="I37" s="2604"/>
      <c r="J37" s="432">
        <f>SUMIF(114:114,I37,115:115)-SUMIF(114:114,C37,115:115)+100</f>
        <v>100</v>
      </c>
      <c r="K37" s="609"/>
      <c r="L37" s="1135"/>
      <c r="M37" s="1126"/>
      <c r="N37" s="1126"/>
      <c r="O37" s="1134"/>
      <c r="P37" s="3249" t="s">
        <v>2551</v>
      </c>
      <c r="Q37" s="1805" t="str">
        <f t="shared" si="14"/>
        <v>工程地质条件</v>
      </c>
      <c r="R37" s="771" t="s">
        <v>17</v>
      </c>
      <c r="S37" s="772">
        <f t="shared" si="10"/>
        <v>100</v>
      </c>
      <c r="T37" s="771" t="s">
        <v>17</v>
      </c>
      <c r="U37" s="772">
        <f t="shared" si="11"/>
        <v>100</v>
      </c>
      <c r="V37" s="771" t="s">
        <v>17</v>
      </c>
      <c r="W37" s="772">
        <f t="shared" si="12"/>
        <v>100</v>
      </c>
      <c r="X37" s="1808"/>
      <c r="Y37" s="3249" t="s">
        <v>2551</v>
      </c>
      <c r="Z37" s="1809" t="str">
        <f t="shared" si="13"/>
        <v>工程地质条件</v>
      </c>
      <c r="AA37" s="1806">
        <f t="shared" si="3"/>
        <v>1</v>
      </c>
      <c r="AB37" s="1806">
        <f t="shared" si="4"/>
        <v>1</v>
      </c>
      <c r="AC37" s="1806">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249"/>
      <c r="Q38" s="1805">
        <f t="shared" si="14"/>
        <v>111</v>
      </c>
      <c r="R38" s="771" t="s">
        <v>17</v>
      </c>
      <c r="S38" s="772">
        <f t="shared" si="10"/>
        <v>100</v>
      </c>
      <c r="T38" s="771" t="s">
        <v>17</v>
      </c>
      <c r="U38" s="772">
        <f t="shared" si="11"/>
        <v>100</v>
      </c>
      <c r="V38" s="771" t="s">
        <v>17</v>
      </c>
      <c r="W38" s="772">
        <f t="shared" si="12"/>
        <v>100</v>
      </c>
      <c r="X38" s="1808"/>
      <c r="Y38" s="3249"/>
      <c r="Z38" s="1809">
        <f t="shared" si="13"/>
        <v>111</v>
      </c>
      <c r="AA38" s="1806">
        <f t="shared" si="3"/>
        <v>1</v>
      </c>
      <c r="AB38" s="1806">
        <f t="shared" si="4"/>
        <v>1</v>
      </c>
      <c r="AC38" s="1806">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249"/>
      <c r="Q39" s="1805">
        <f t="shared" si="14"/>
        <v>111</v>
      </c>
      <c r="R39" s="771" t="s">
        <v>17</v>
      </c>
      <c r="S39" s="772">
        <f t="shared" si="10"/>
        <v>100</v>
      </c>
      <c r="T39" s="771" t="s">
        <v>17</v>
      </c>
      <c r="U39" s="772">
        <f t="shared" si="11"/>
        <v>100</v>
      </c>
      <c r="V39" s="771" t="s">
        <v>17</v>
      </c>
      <c r="W39" s="772">
        <f t="shared" si="12"/>
        <v>100</v>
      </c>
      <c r="X39" s="1808"/>
      <c r="Y39" s="3249"/>
      <c r="Z39" s="1809">
        <f t="shared" si="13"/>
        <v>111</v>
      </c>
      <c r="AA39" s="1806">
        <f t="shared" si="3"/>
        <v>1</v>
      </c>
      <c r="AB39" s="1806">
        <f t="shared" si="4"/>
        <v>1</v>
      </c>
      <c r="AC39" s="1806">
        <f t="shared" si="5"/>
        <v>1</v>
      </c>
    </row>
    <row r="40" spans="1:29" s="468" customFormat="1" ht="15.75" thickBot="1">
      <c r="A40" s="465"/>
      <c r="B40" s="1382">
        <v>111</v>
      </c>
      <c r="C40" s="2694"/>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249"/>
      <c r="Q40" s="1805">
        <f t="shared" si="14"/>
        <v>111</v>
      </c>
      <c r="R40" s="774" t="s">
        <v>17</v>
      </c>
      <c r="S40" s="775">
        <f t="shared" si="10"/>
        <v>100</v>
      </c>
      <c r="T40" s="774" t="s">
        <v>17</v>
      </c>
      <c r="U40" s="775">
        <f t="shared" si="11"/>
        <v>100</v>
      </c>
      <c r="V40" s="774" t="s">
        <v>17</v>
      </c>
      <c r="W40" s="775">
        <f t="shared" si="12"/>
        <v>100</v>
      </c>
      <c r="X40" s="776"/>
      <c r="Y40" s="3249"/>
      <c r="Z40" s="777">
        <f t="shared" si="13"/>
        <v>111</v>
      </c>
      <c r="AA40" s="1806">
        <f t="shared" si="3"/>
        <v>1</v>
      </c>
      <c r="AB40" s="1806">
        <f t="shared" si="4"/>
        <v>1</v>
      </c>
      <c r="AC40" s="1806">
        <f t="shared" si="5"/>
        <v>1</v>
      </c>
    </row>
    <row r="41" spans="1:29" ht="15">
      <c r="A41" s="476" t="s">
        <v>2706</v>
      </c>
      <c r="B41" s="2695" t="s">
        <v>2783</v>
      </c>
      <c r="C41" s="679" t="s">
        <v>1</v>
      </c>
      <c r="D41" s="478"/>
      <c r="E41" s="479"/>
      <c r="F41" s="480"/>
      <c r="G41" s="481"/>
      <c r="H41" s="482"/>
      <c r="I41" s="479"/>
      <c r="J41" s="482"/>
      <c r="K41" s="780"/>
      <c r="L41" s="1138"/>
      <c r="M41" s="1126"/>
      <c r="N41" s="1126"/>
      <c r="O41" s="1139"/>
      <c r="P41" s="3242" t="str">
        <f>A41</f>
        <v>成交单价</v>
      </c>
      <c r="Q41" s="3242"/>
      <c r="R41" s="3237">
        <f>E41</f>
        <v>0</v>
      </c>
      <c r="S41" s="3237"/>
      <c r="T41" s="3237">
        <f>G41</f>
        <v>0</v>
      </c>
      <c r="U41" s="3237"/>
      <c r="V41" s="3237">
        <f>I41</f>
        <v>0</v>
      </c>
      <c r="W41" s="3237"/>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38"/>
      <c r="M42" s="1126"/>
      <c r="N42" s="1126"/>
      <c r="O42" s="1139"/>
      <c r="P42" s="3242" t="str">
        <f>A42</f>
        <v>比较价值（元/平方米）</v>
      </c>
      <c r="Q42" s="3242"/>
      <c r="R42" s="3254" t="e">
        <f>ROUND(PRODUCT(R41,AA7:AA40),0)</f>
        <v>#DIV/0!</v>
      </c>
      <c r="S42" s="3254"/>
      <c r="T42" s="3254" t="e">
        <f>ROUND(PRODUCT(T41,AB7:AB40),0)</f>
        <v>#DIV/0!</v>
      </c>
      <c r="U42" s="3254"/>
      <c r="V42" s="3254" t="e">
        <f>ROUND(PRODUCT(V41,AC7:AC40),0)</f>
        <v>#DIV/0!</v>
      </c>
      <c r="W42" s="3254"/>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38"/>
      <c r="M43" s="1126"/>
      <c r="N43" s="1126"/>
      <c r="O43" s="1139"/>
      <c r="P43" s="3239" t="str">
        <f>A43</f>
        <v>估价对象XX用房的比较价值（楼面单价，元/平方米）</v>
      </c>
      <c r="Q43" s="3240"/>
      <c r="R43" s="3255" t="e">
        <f>ROUND(AVERAGE(R42:V42),0)</f>
        <v>#DIV/0!</v>
      </c>
      <c r="S43" s="3255"/>
      <c r="T43" s="3255"/>
      <c r="U43" s="3255"/>
      <c r="V43" s="3255"/>
      <c r="W43" s="3255"/>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2742</v>
      </c>
      <c r="B50" s="682" t="s">
        <v>2743</v>
      </c>
      <c r="C50" s="2696" t="s">
        <v>2744</v>
      </c>
      <c r="D50" s="2697" t="s">
        <v>2745</v>
      </c>
      <c r="E50" s="683" t="s">
        <v>2746</v>
      </c>
      <c r="F50" s="684" t="s">
        <v>2747</v>
      </c>
      <c r="G50" s="3225" t="s">
        <v>2748</v>
      </c>
      <c r="H50" s="3256"/>
      <c r="I50" s="1809" t="s">
        <v>2784</v>
      </c>
      <c r="J50" s="1809" t="str">
        <f>项目基本情况!F35</f>
        <v>河北省秦皇岛市北戴河新区</v>
      </c>
      <c r="K50" s="2699" t="s">
        <v>2750</v>
      </c>
      <c r="L50" s="1101"/>
      <c r="M50" s="1139"/>
      <c r="N50" s="1139"/>
      <c r="O50" s="1139"/>
    </row>
    <row r="51" spans="1:17" s="689" customFormat="1">
      <c r="A51" s="685" t="s">
        <v>2751</v>
      </c>
      <c r="B51" s="686" t="e">
        <f>C43</f>
        <v>#DIV/0!</v>
      </c>
      <c r="C51" s="687">
        <v>1</v>
      </c>
      <c r="D51" s="1158">
        <v>1</v>
      </c>
      <c r="E51" s="687">
        <f>'数据-汇总表'!E8+'数据-汇总表'!E9</f>
        <v>3130.82</v>
      </c>
      <c r="F51" s="688" t="e">
        <f t="shared" ref="F51:F60" si="15">ROUND(B51*E51/10000,0)</f>
        <v>#DIV/0!</v>
      </c>
      <c r="G51" s="3224"/>
      <c r="H51" s="3242"/>
      <c r="I51" s="937">
        <v>1</v>
      </c>
      <c r="J51" s="937">
        <v>1</v>
      </c>
      <c r="K51" s="1140"/>
      <c r="L51" s="936"/>
      <c r="M51" s="936"/>
      <c r="N51" s="936"/>
      <c r="O51" s="936"/>
    </row>
    <row r="52" spans="1:17" s="689" customFormat="1">
      <c r="A52" s="690" t="s">
        <v>2752</v>
      </c>
      <c r="B52" s="259" t="e">
        <f>ROUND($C$43*C52*D52,0)</f>
        <v>#DIV/0!</v>
      </c>
      <c r="C52" s="197">
        <f t="shared" ref="C52:C60" si="16">IF($C$50="北京市系数",I52,J52)</f>
        <v>0</v>
      </c>
      <c r="D52" s="1159">
        <v>0.25</v>
      </c>
      <c r="E52" s="691"/>
      <c r="F52" s="688" t="e">
        <f t="shared" si="15"/>
        <v>#DIV/0!</v>
      </c>
      <c r="G52" s="3257" t="s">
        <v>2753</v>
      </c>
      <c r="H52" s="1099">
        <f>项目基本情况!B37</f>
        <v>0</v>
      </c>
      <c r="I52" s="937">
        <f>SUMIF(修正!A45:A56,H52,修正!B45:B56)</f>
        <v>0</v>
      </c>
      <c r="J52" s="938"/>
      <c r="K52" s="1139"/>
      <c r="L52" s="936"/>
      <c r="M52" s="936"/>
      <c r="N52" s="936"/>
      <c r="O52" s="936"/>
    </row>
    <row r="53" spans="1:17" s="689" customFormat="1">
      <c r="A53" s="690" t="s">
        <v>2754</v>
      </c>
      <c r="B53" s="259" t="e">
        <f t="shared" ref="B53:B60" si="17">ROUND($C$43*C53*D53,0)</f>
        <v>#DIV/0!</v>
      </c>
      <c r="C53" s="197">
        <f t="shared" si="16"/>
        <v>0</v>
      </c>
      <c r="D53" s="1159">
        <v>0.25</v>
      </c>
      <c r="E53" s="691"/>
      <c r="F53" s="688" t="e">
        <f t="shared" si="15"/>
        <v>#DIV/0!</v>
      </c>
      <c r="G53" s="3257"/>
      <c r="H53" s="1099">
        <f>项目基本情况!B37</f>
        <v>0</v>
      </c>
      <c r="I53" s="937">
        <f>SUMIF(修正!A45:A56,H53,修正!C45:C56)</f>
        <v>0</v>
      </c>
      <c r="J53" s="938"/>
      <c r="K53" s="1140"/>
      <c r="L53" s="936"/>
      <c r="M53" s="936"/>
      <c r="N53" s="936"/>
      <c r="O53" s="936"/>
    </row>
    <row r="54" spans="1:17" s="689" customFormat="1">
      <c r="A54" s="690" t="s">
        <v>2755</v>
      </c>
      <c r="B54" s="259" t="e">
        <f t="shared" si="17"/>
        <v>#DIV/0!</v>
      </c>
      <c r="C54" s="197">
        <f t="shared" si="16"/>
        <v>0</v>
      </c>
      <c r="D54" s="1159">
        <v>0.25</v>
      </c>
      <c r="E54" s="691"/>
      <c r="F54" s="688" t="e">
        <f t="shared" si="15"/>
        <v>#DIV/0!</v>
      </c>
      <c r="G54" s="3257"/>
      <c r="H54" s="1099">
        <f>项目基本情况!B37</f>
        <v>0</v>
      </c>
      <c r="I54" s="937">
        <f>SUMIF(修正!A45:A56,H54,修正!D45:D56)</f>
        <v>0</v>
      </c>
      <c r="J54" s="938"/>
      <c r="K54" s="1139"/>
      <c r="L54" s="936"/>
      <c r="M54" s="936"/>
      <c r="N54" s="936"/>
      <c r="O54" s="936"/>
    </row>
    <row r="55" spans="1:17" s="689" customFormat="1">
      <c r="A55" s="690" t="s">
        <v>2756</v>
      </c>
      <c r="B55" s="259" t="e">
        <f t="shared" si="17"/>
        <v>#DIV/0!</v>
      </c>
      <c r="C55" s="197">
        <f t="shared" si="16"/>
        <v>0</v>
      </c>
      <c r="D55" s="1159">
        <v>0.25</v>
      </c>
      <c r="E55" s="691"/>
      <c r="F55" s="688" t="e">
        <f t="shared" si="15"/>
        <v>#DIV/0!</v>
      </c>
      <c r="G55" s="3257"/>
      <c r="H55" s="1099">
        <f>项目基本情况!B37</f>
        <v>0</v>
      </c>
      <c r="I55" s="937">
        <f>SUMIF(修正!A45:A56,H55,修正!E45:E56)</f>
        <v>0</v>
      </c>
      <c r="J55" s="938"/>
      <c r="K55" s="1140"/>
      <c r="L55" s="936"/>
      <c r="M55" s="936"/>
      <c r="N55" s="936"/>
      <c r="O55" s="936"/>
    </row>
    <row r="56" spans="1:17" s="689" customFormat="1">
      <c r="A56" s="690" t="s">
        <v>2757</v>
      </c>
      <c r="B56" s="259" t="e">
        <f t="shared" si="17"/>
        <v>#DIV/0!</v>
      </c>
      <c r="C56" s="197">
        <f t="shared" si="16"/>
        <v>0</v>
      </c>
      <c r="D56" s="1159">
        <v>0.25</v>
      </c>
      <c r="E56" s="258">
        <f>'数据-汇总表'!E11</f>
        <v>0</v>
      </c>
      <c r="F56" s="688" t="e">
        <f t="shared" si="15"/>
        <v>#DIV/0!</v>
      </c>
      <c r="G56" s="2700" t="s">
        <v>2758</v>
      </c>
      <c r="H56" s="1099">
        <f>项目基本情况!C37</f>
        <v>0</v>
      </c>
      <c r="I56" s="937">
        <f>SUMIF(修正!A45:A56,H56,修正!F45:F56)</f>
        <v>0</v>
      </c>
      <c r="J56" s="938"/>
      <c r="K56" s="1139"/>
      <c r="L56" s="936"/>
      <c r="M56" s="936"/>
      <c r="N56" s="936"/>
      <c r="O56" s="936"/>
    </row>
    <row r="57" spans="1:17" s="689" customFormat="1">
      <c r="A57" s="690" t="s">
        <v>2759</v>
      </c>
      <c r="B57" s="259" t="e">
        <f t="shared" si="17"/>
        <v>#DIV/0!</v>
      </c>
      <c r="C57" s="197">
        <f t="shared" si="16"/>
        <v>0</v>
      </c>
      <c r="D57" s="1159">
        <v>0.25</v>
      </c>
      <c r="E57" s="258">
        <f>'数据-汇总表'!E12</f>
        <v>0</v>
      </c>
      <c r="F57" s="688"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2761</v>
      </c>
      <c r="B58" s="259" t="e">
        <f t="shared" si="17"/>
        <v>#DIV/0!</v>
      </c>
      <c r="C58" s="197">
        <f t="shared" si="16"/>
        <v>0</v>
      </c>
      <c r="D58" s="1159">
        <v>0.25</v>
      </c>
      <c r="E58" s="258">
        <f>'数据-汇总表'!E13</f>
        <v>0</v>
      </c>
      <c r="F58" s="688"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2763</v>
      </c>
      <c r="B59" s="259" t="e">
        <f t="shared" si="17"/>
        <v>#DIV/0!</v>
      </c>
      <c r="C59" s="197">
        <f t="shared" si="16"/>
        <v>0</v>
      </c>
      <c r="D59" s="1159">
        <v>0.25</v>
      </c>
      <c r="E59" s="258">
        <f>'数据-汇总表'!E14</f>
        <v>0</v>
      </c>
      <c r="F59" s="688" t="e">
        <f t="shared" si="15"/>
        <v>#DIV/0!</v>
      </c>
      <c r="G59" s="2700" t="s">
        <v>2753</v>
      </c>
      <c r="H59" s="1099">
        <f>项目基本情况!B37</f>
        <v>0</v>
      </c>
      <c r="I59" s="937">
        <f>SUMIF(修正!A45:A56,H59,修正!H45:H56)</f>
        <v>0</v>
      </c>
      <c r="J59" s="938"/>
      <c r="K59" s="1140"/>
      <c r="L59" s="936"/>
      <c r="M59" s="936"/>
      <c r="N59" s="936"/>
      <c r="O59" s="936"/>
    </row>
    <row r="60" spans="1:17" s="689" customFormat="1" ht="15" thickBot="1">
      <c r="A60" s="690" t="s">
        <v>2764</v>
      </c>
      <c r="B60" s="259" t="e">
        <f t="shared" si="17"/>
        <v>#DIV/0!</v>
      </c>
      <c r="C60" s="197">
        <f t="shared" si="16"/>
        <v>0</v>
      </c>
      <c r="D60" s="1159">
        <v>0.25</v>
      </c>
      <c r="E60" s="258">
        <f>'数据-汇总表'!E15</f>
        <v>0</v>
      </c>
      <c r="F60" s="688" t="e">
        <f t="shared" si="15"/>
        <v>#DIV/0!</v>
      </c>
      <c r="G60" s="2701" t="s">
        <v>2758</v>
      </c>
      <c r="H60" s="1109">
        <f>项目基本情况!C37</f>
        <v>0</v>
      </c>
      <c r="I60" s="937">
        <f>SUMIF(修正!A45:A56,H60,修正!H45:H56)</f>
        <v>0</v>
      </c>
      <c r="J60" s="938"/>
      <c r="K60" s="1139"/>
      <c r="L60" s="936"/>
      <c r="M60" s="936"/>
      <c r="N60" s="936"/>
      <c r="O60" s="936"/>
    </row>
    <row r="61" spans="1:17" s="689" customFormat="1" ht="15" thickBot="1">
      <c r="A61" s="692" t="s">
        <v>2765</v>
      </c>
      <c r="B61" s="693" t="s">
        <v>28</v>
      </c>
      <c r="C61" s="693" t="s">
        <v>29</v>
      </c>
      <c r="D61" s="693" t="s">
        <v>1029</v>
      </c>
      <c r="E61" s="693">
        <f>IF(B41="楼面地价",SUM(E51:E60),'数据-汇总表'!D3)</f>
        <v>9119.9</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2660</v>
      </c>
      <c r="B64" s="756"/>
      <c r="C64" s="761"/>
      <c r="D64" s="761"/>
      <c r="E64" s="761"/>
      <c r="F64" s="762"/>
      <c r="G64" s="762"/>
      <c r="H64" s="761"/>
      <c r="I64" s="761"/>
      <c r="J64" s="761"/>
      <c r="K64" s="763"/>
      <c r="L64" s="764"/>
      <c r="M64" s="761"/>
      <c r="N64" s="761"/>
      <c r="O64" s="1154"/>
      <c r="P64" s="500"/>
      <c r="Q64" s="501"/>
    </row>
    <row r="65" spans="1:17" s="505" customFormat="1" ht="15">
      <c r="A65" s="2702" t="s">
        <v>2766</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4"/>
    </row>
    <row r="66" spans="1:17" s="114" customFormat="1" ht="30.75" customHeight="1">
      <c r="A66" s="2707" t="s">
        <v>2785</v>
      </c>
      <c r="B66" s="329" t="str">
        <f>"北京市平均增长率"&amp;TEXT(基准地价修正!P24,"0.00%")</f>
        <v>北京市平均增长率0.00%</v>
      </c>
      <c r="C66" s="600">
        <v>100</v>
      </c>
      <c r="D66" s="592"/>
      <c r="E66" s="592"/>
      <c r="F66" s="592"/>
      <c r="G66" s="592"/>
      <c r="H66" s="592"/>
      <c r="I66" s="592"/>
      <c r="J66" s="592"/>
      <c r="K66" s="592"/>
      <c r="L66" s="592"/>
      <c r="M66" s="1563"/>
      <c r="N66" s="1563"/>
      <c r="O66" s="1564"/>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2574</v>
      </c>
      <c r="B70" s="525" t="s">
        <v>2540</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2543</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2768</v>
      </c>
      <c r="C87" s="570" t="s">
        <v>2583</v>
      </c>
      <c r="D87" s="570" t="s">
        <v>2584</v>
      </c>
      <c r="E87" s="570" t="s">
        <v>2585</v>
      </c>
      <c r="F87" s="570" t="s">
        <v>2586</v>
      </c>
      <c r="G87" s="570" t="s">
        <v>2587</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2769</v>
      </c>
      <c r="C89" s="570" t="s">
        <v>2583</v>
      </c>
      <c r="D89" s="570" t="s">
        <v>2584</v>
      </c>
      <c r="E89" s="570" t="s">
        <v>2585</v>
      </c>
      <c r="F89" s="570" t="s">
        <v>2586</v>
      </c>
      <c r="G89" s="570" t="s">
        <v>2587</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2786</v>
      </c>
      <c r="C93" s="657" t="s">
        <v>2661</v>
      </c>
      <c r="D93" s="657" t="s">
        <v>2662</v>
      </c>
      <c r="E93" s="657" t="s">
        <v>2663</v>
      </c>
      <c r="F93" s="657" t="s">
        <v>2664</v>
      </c>
      <c r="G93" s="657" t="s">
        <v>2665</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2677</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2549</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2775</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2777</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2778</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7" t="s">
        <v>2787</v>
      </c>
      <c r="B1" s="238"/>
      <c r="C1" s="242" t="s">
        <v>2788</v>
      </c>
      <c r="D1" s="385">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2" t="s">
        <v>2802</v>
      </c>
      <c r="D3" s="2713" t="s">
        <v>2803</v>
      </c>
      <c r="E3" s="2718"/>
      <c r="F3" s="2719" t="s">
        <v>2804</v>
      </c>
      <c r="G3" s="908">
        <f>IF(F3="宗地容积率",'数据-汇总表'!I4,IF(F3="估价对象容积率",'数据-汇总表'!I6,'数据-汇总表'!I7))</f>
        <v>0.34</v>
      </c>
      <c r="H3" s="195"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19"/>
      <c r="B4" s="3320"/>
      <c r="C4" s="3320"/>
      <c r="D4" s="3321"/>
      <c r="E4" s="3321"/>
      <c r="F4" s="3321"/>
      <c r="G4" s="3321"/>
      <c r="H4" s="3321"/>
      <c r="I4" s="3321"/>
      <c r="J4" s="3322"/>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05"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0.34</v>
      </c>
      <c r="AA7" s="1601"/>
      <c r="AB7" s="1601"/>
      <c r="AC7" s="1602"/>
      <c r="AD7" s="1603"/>
      <c r="AE7" s="1603"/>
      <c r="AF7" s="1603"/>
      <c r="AG7" s="1603"/>
      <c r="AH7" s="1603"/>
      <c r="AI7" s="1603"/>
      <c r="AJ7" s="1604"/>
    </row>
    <row r="8" spans="1:36" ht="15">
      <c r="A8" s="3306"/>
      <c r="B8" s="195"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16" t="s">
        <v>2823</v>
      </c>
      <c r="X8" s="3317"/>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306"/>
      <c r="B9" s="195" t="s">
        <v>2836</v>
      </c>
      <c r="C9" s="914">
        <f>SUMIF(修正!C59:C119,C8,修正!E59:E119)</f>
        <v>0</v>
      </c>
      <c r="D9" s="197" t="s">
        <v>140</v>
      </c>
      <c r="E9" s="197"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18"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06"/>
      <c r="B10" s="195" t="s">
        <v>2841</v>
      </c>
      <c r="C10" s="197">
        <f>SUMIF(修正!C59:C119,C8,修正!F59:F119)</f>
        <v>0</v>
      </c>
      <c r="D10" s="197" t="s">
        <v>141</v>
      </c>
      <c r="E10" s="197"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1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06"/>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18" t="s">
        <v>2847</v>
      </c>
      <c r="X11" s="1609" t="s">
        <v>2848</v>
      </c>
      <c r="Y11" s="1610">
        <f>$G$3</f>
        <v>0.34</v>
      </c>
      <c r="Z11" s="1610">
        <f t="shared" ref="Z11:AJ11" si="3">$G$3</f>
        <v>0.34</v>
      </c>
      <c r="AA11" s="1610">
        <f t="shared" si="3"/>
        <v>0.34</v>
      </c>
      <c r="AB11" s="1610">
        <f t="shared" si="3"/>
        <v>0.34</v>
      </c>
      <c r="AC11" s="1610">
        <f t="shared" si="3"/>
        <v>0.34</v>
      </c>
      <c r="AD11" s="1610">
        <f t="shared" si="3"/>
        <v>0.34</v>
      </c>
      <c r="AE11" s="1610">
        <f t="shared" si="3"/>
        <v>0.34</v>
      </c>
      <c r="AF11" s="1610">
        <f t="shared" si="3"/>
        <v>0.34</v>
      </c>
      <c r="AG11" s="1610">
        <f t="shared" si="3"/>
        <v>0.34</v>
      </c>
      <c r="AH11" s="1610">
        <f t="shared" si="3"/>
        <v>0.34</v>
      </c>
      <c r="AI11" s="1610">
        <f t="shared" si="3"/>
        <v>0.34</v>
      </c>
      <c r="AJ11" s="1610">
        <f t="shared" si="3"/>
        <v>0.34</v>
      </c>
    </row>
    <row r="12" spans="1:36" ht="25.5" thickBot="1">
      <c r="A12" s="3305"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18"/>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23"/>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318"/>
      <c r="X13" s="1611"/>
      <c r="Y13" s="1608">
        <f>(-0.163*(Y12^2)-0.59*Y12+7617)*(10^(-4))/Y11</f>
        <v>2.2402941176470588</v>
      </c>
      <c r="Z13" s="1608">
        <f t="shared" ref="Z13:AJ13" si="5">(-0.163*(Z12^2)-0.59*Z12+7617)*(10^(-4))/Z11</f>
        <v>2.2402941176470588</v>
      </c>
      <c r="AA13" s="1608">
        <f t="shared" si="5"/>
        <v>2.2402941176470588</v>
      </c>
      <c r="AB13" s="1608">
        <f t="shared" si="5"/>
        <v>2.2402941176470588</v>
      </c>
      <c r="AC13" s="1608">
        <f t="shared" si="5"/>
        <v>2.2402941176470588</v>
      </c>
      <c r="AD13" s="1608">
        <f t="shared" si="5"/>
        <v>2.2402941176470588</v>
      </c>
      <c r="AE13" s="1608">
        <f t="shared" si="5"/>
        <v>2.2402941176470588</v>
      </c>
      <c r="AF13" s="1608">
        <f t="shared" si="5"/>
        <v>2.2402941176470588</v>
      </c>
      <c r="AG13" s="1608">
        <f t="shared" si="5"/>
        <v>2.2402941176470588</v>
      </c>
      <c r="AH13" s="1608">
        <f t="shared" si="5"/>
        <v>2.2402941176470588</v>
      </c>
      <c r="AI13" s="1608">
        <f t="shared" si="5"/>
        <v>2.2402941176470588</v>
      </c>
      <c r="AJ13" s="1608">
        <f t="shared" si="5"/>
        <v>2.2402941176470588</v>
      </c>
    </row>
    <row r="14" spans="1:36" ht="15">
      <c r="A14" s="3323"/>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24"/>
      <c r="B15" s="2767" t="s">
        <v>2861</v>
      </c>
      <c r="C15" s="226">
        <f>IF(C14="有",1.1,1)</f>
        <v>1</v>
      </c>
      <c r="D15" s="226">
        <f>IF(D14="有",1.1,1)</f>
        <v>1</v>
      </c>
      <c r="E15" s="226">
        <f>IF(E14="有",1.1,1)</f>
        <v>1</v>
      </c>
      <c r="F15" s="226">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05"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06"/>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43110</v>
      </c>
      <c r="H19" s="2789" t="s">
        <v>2878</v>
      </c>
      <c r="I19" s="922" t="str">
        <f>IF(H19="季度增幅（自定义）",SUMIF(N21:N24,E2,O21:O24),"")</f>
        <v/>
      </c>
      <c r="J19" s="2786"/>
      <c r="K19" s="1372"/>
      <c r="L19" s="2790" t="s">
        <v>2879</v>
      </c>
      <c r="M19" s="1729">
        <f>ROUND(SUMIF(地价!B2:F2,E2,地价!B20:F20),0)</f>
        <v>0</v>
      </c>
      <c r="N19" s="2791" t="s">
        <v>2880</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f>IF(E22=G22,F22,IF(G3&lt;=10,ROUND(F22+(H22-F22)*(G3-E22)/(G22-E22),4),"——"))</f>
        <v>0</v>
      </c>
      <c r="E22" s="908">
        <f>ROUNDDOWN(G3,1)</f>
        <v>0.3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3"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3"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6"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8" t="s">
        <v>2904</v>
      </c>
      <c r="D32" s="495" t="s">
        <v>2905</v>
      </c>
      <c r="E32" s="495" t="s">
        <v>2906</v>
      </c>
      <c r="F32" s="385" t="s">
        <v>2914</v>
      </c>
      <c r="G32" s="2851" t="s">
        <v>2904</v>
      </c>
      <c r="H32" s="2851" t="s">
        <v>2905</v>
      </c>
      <c r="I32" s="2851" t="s">
        <v>2906</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313" t="s">
        <v>2915</v>
      </c>
      <c r="B33" s="2852" t="s">
        <v>2916</v>
      </c>
      <c r="C33" s="203" t="e">
        <f>ROUND(D5*C19*C20*C24*F33,0)</f>
        <v>#DIV/0!</v>
      </c>
      <c r="D33" s="2836"/>
      <c r="E33" s="197" t="e">
        <f>ROUND(C33*D33/10000,0)</f>
        <v>#DIV/0!</v>
      </c>
      <c r="F33" s="197">
        <f>SUMIF(修正!A45:A56,G2,修正!B45:B56)</f>
        <v>0</v>
      </c>
      <c r="G33" s="197" t="e">
        <f t="shared" ref="G33:G39" si="6">ROUND(IF(E2="工业",C33*$M$39,C33*$M$38),0)</f>
        <v>#DIV/0!</v>
      </c>
      <c r="H33" s="197">
        <f>D33</f>
        <v>0</v>
      </c>
      <c r="I33" s="197"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14"/>
      <c r="B34" s="2756" t="s">
        <v>2917</v>
      </c>
      <c r="C34" s="203" t="e">
        <f>ROUND(D5*C19*C20*C24*F34,0)</f>
        <v>#DIV/0!</v>
      </c>
      <c r="D34" s="2836"/>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14"/>
      <c r="B35" s="2756" t="s">
        <v>2918</v>
      </c>
      <c r="C35" s="203" t="e">
        <f>ROUND(D5*C19*C20*C24*F35,0)</f>
        <v>#DIV/0!</v>
      </c>
      <c r="D35" s="2836"/>
      <c r="E35" s="197" t="e">
        <f t="shared" si="7"/>
        <v>#DIV/0!</v>
      </c>
      <c r="F35" s="197">
        <f>SUMIF(修正!A45:A56,G2,修正!D45:D56)</f>
        <v>0</v>
      </c>
      <c r="G35" s="197" t="e">
        <f t="shared" si="6"/>
        <v>#DIV/0!</v>
      </c>
      <c r="H35" s="197">
        <f t="shared" si="8"/>
        <v>0</v>
      </c>
      <c r="I35" s="197"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315"/>
      <c r="B36" s="2756" t="s">
        <v>2919</v>
      </c>
      <c r="C36" s="203" t="e">
        <f>ROUND(D5*C19*C20*C24*F36,0)</f>
        <v>#DIV/0!</v>
      </c>
      <c r="D36" s="2836"/>
      <c r="E36" s="197" t="e">
        <f t="shared" si="7"/>
        <v>#DIV/0!</v>
      </c>
      <c r="F36" s="197">
        <f>SUMIF(修正!A45:A56,G2,修正!E45:E56)</f>
        <v>0</v>
      </c>
      <c r="G36" s="197" t="e">
        <f t="shared" si="6"/>
        <v>#DIV/0!</v>
      </c>
      <c r="H36" s="197">
        <f t="shared" si="8"/>
        <v>0</v>
      </c>
      <c r="I36" s="197"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7" t="e">
        <f>ROUND(C5*C19*C20*C24*F37,0)</f>
        <v>#DIV/0!</v>
      </c>
      <c r="D37" s="2836"/>
      <c r="E37" s="197" t="e">
        <f t="shared" si="7"/>
        <v>#DIV/0!</v>
      </c>
      <c r="F37" s="203">
        <f>SUMIF(修正!A45:A56,G2,修正!F45:F56)</f>
        <v>0</v>
      </c>
      <c r="G37" s="197" t="e">
        <f t="shared" si="6"/>
        <v>#DIV/0!</v>
      </c>
      <c r="H37" s="197">
        <f t="shared" si="8"/>
        <v>0</v>
      </c>
      <c r="I37" s="197"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7" t="e">
        <f>ROUND(C5*C19*C20*C24*F38,0)</f>
        <v>#DIV/0!</v>
      </c>
      <c r="D38" s="2836"/>
      <c r="E38" s="197" t="e">
        <f t="shared" si="7"/>
        <v>#DIV/0!</v>
      </c>
      <c r="F38" s="203">
        <f>SUMIF(修正!A45:A56,G2,修正!G45:G56)</f>
        <v>0</v>
      </c>
      <c r="G38" s="197" t="e">
        <f t="shared" si="6"/>
        <v>#DIV/0!</v>
      </c>
      <c r="H38" s="197">
        <f t="shared" si="8"/>
        <v>0</v>
      </c>
      <c r="I38" s="197"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6" t="e">
        <f>ROUND(C5*C19*C20*C24*F39,0)</f>
        <v>#DIV/0!</v>
      </c>
      <c r="D39" s="2842"/>
      <c r="E39" s="226" t="e">
        <f t="shared" si="7"/>
        <v>#DIV/0!</v>
      </c>
      <c r="F39" s="927">
        <f>SUMIF(修正!A45:A56,G2,修正!H45:H56)</f>
        <v>0</v>
      </c>
      <c r="G39" s="226" t="e">
        <f t="shared" si="6"/>
        <v>#DIV/0!</v>
      </c>
      <c r="H39" s="226">
        <f t="shared" si="8"/>
        <v>0</v>
      </c>
      <c r="I39" s="226"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600" t="s">
        <v>2583</v>
      </c>
      <c r="K47" s="600" t="s">
        <v>2584</v>
      </c>
      <c r="L47" s="600" t="s">
        <v>2585</v>
      </c>
      <c r="M47" s="600" t="s">
        <v>2586</v>
      </c>
      <c r="N47" s="600"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600" t="s">
        <v>2583</v>
      </c>
      <c r="K58" s="600" t="s">
        <v>2584</v>
      </c>
      <c r="L58" s="600" t="s">
        <v>2585</v>
      </c>
      <c r="M58" s="600" t="s">
        <v>2586</v>
      </c>
      <c r="N58" s="600"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600" t="s">
        <v>2583</v>
      </c>
      <c r="K69" s="600" t="s">
        <v>2584</v>
      </c>
      <c r="L69" s="600" t="s">
        <v>2585</v>
      </c>
      <c r="M69" s="600" t="s">
        <v>2586</v>
      </c>
      <c r="N69" s="600"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600" t="s">
        <v>2583</v>
      </c>
      <c r="K80" s="600" t="s">
        <v>2584</v>
      </c>
      <c r="L80" s="600" t="s">
        <v>2585</v>
      </c>
      <c r="M80" s="600" t="s">
        <v>2586</v>
      </c>
      <c r="N80" s="600"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307" t="s">
        <v>2957</v>
      </c>
      <c r="B90" s="3307"/>
      <c r="C90" s="3307"/>
      <c r="D90" s="3307"/>
      <c r="E90" s="3307"/>
      <c r="F90" s="3307"/>
      <c r="G90" s="3307"/>
      <c r="H90" s="3307"/>
      <c r="I90" s="3307"/>
      <c r="J90" s="3307"/>
      <c r="K90" s="2883"/>
      <c r="L90" s="2883"/>
      <c r="M90" s="2883"/>
      <c r="N90" s="2883"/>
    </row>
    <row r="91" spans="1:37">
      <c r="A91" s="3309" t="s">
        <v>2958</v>
      </c>
      <c r="B91" s="3309" t="s">
        <v>2959</v>
      </c>
      <c r="C91" s="2837" t="s">
        <v>2960</v>
      </c>
      <c r="D91" s="2838"/>
      <c r="E91" s="2838"/>
      <c r="F91" s="2838"/>
      <c r="G91" s="2838"/>
      <c r="H91" s="2838"/>
      <c r="I91" s="2838"/>
      <c r="J91" s="2884"/>
      <c r="K91" s="2885"/>
      <c r="L91" s="2885"/>
      <c r="M91" s="2885"/>
      <c r="N91" s="2885"/>
    </row>
    <row r="92" spans="1:37">
      <c r="A92" s="3309"/>
      <c r="B92" s="3309"/>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310"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1"/>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0" t="s">
        <v>2962</v>
      </c>
      <c r="B101" s="2890" t="s">
        <v>2963</v>
      </c>
      <c r="C101" s="2891">
        <f>$G$3</f>
        <v>0.34</v>
      </c>
      <c r="D101" s="2891">
        <f t="shared" ref="D101:N101" si="31">$G$3</f>
        <v>0.34</v>
      </c>
      <c r="E101" s="2891">
        <f t="shared" si="31"/>
        <v>0.34</v>
      </c>
      <c r="F101" s="2891">
        <f t="shared" si="31"/>
        <v>0.34</v>
      </c>
      <c r="G101" s="2891">
        <f t="shared" si="31"/>
        <v>0.34</v>
      </c>
      <c r="H101" s="2891">
        <f t="shared" si="31"/>
        <v>0.34</v>
      </c>
      <c r="I101" s="2891">
        <f t="shared" si="31"/>
        <v>0.34</v>
      </c>
      <c r="J101" s="2891">
        <f t="shared" si="31"/>
        <v>0.34</v>
      </c>
      <c r="K101" s="2891">
        <f t="shared" si="31"/>
        <v>0.34</v>
      </c>
      <c r="L101" s="2891">
        <f t="shared" si="31"/>
        <v>0.34</v>
      </c>
      <c r="M101" s="2891">
        <f t="shared" si="31"/>
        <v>0.34</v>
      </c>
      <c r="N101" s="2891">
        <f t="shared" si="31"/>
        <v>0.34</v>
      </c>
    </row>
    <row r="102" spans="1:14">
      <c r="A102" s="3311"/>
      <c r="B102" s="2886">
        <v>1</v>
      </c>
      <c r="C102" s="2887">
        <f>1.9362/C101</f>
        <v>5.6947058823529408</v>
      </c>
      <c r="D102" s="2887">
        <f>1.9362/D101</f>
        <v>5.6947058823529408</v>
      </c>
      <c r="E102" s="2887">
        <f>1.8629/E101</f>
        <v>5.479117647058823</v>
      </c>
      <c r="F102" s="2887">
        <f>1.8629/F101</f>
        <v>5.479117647058823</v>
      </c>
      <c r="G102" s="2887">
        <f>1.8629/G101</f>
        <v>5.479117647058823</v>
      </c>
      <c r="H102" s="2887">
        <f>1.8629/H101</f>
        <v>5.479117647058823</v>
      </c>
      <c r="I102" s="2887">
        <f>1.8629/I101</f>
        <v>5.479117647058823</v>
      </c>
      <c r="J102" s="2887">
        <f>1.942/J101</f>
        <v>5.7117647058823522</v>
      </c>
      <c r="K102" s="2887">
        <f>1.942/K101</f>
        <v>5.7117647058823522</v>
      </c>
      <c r="L102" s="2887">
        <f>1.942/L101</f>
        <v>5.7117647058823522</v>
      </c>
      <c r="M102" s="2887">
        <f>1.942/M101</f>
        <v>5.7117647058823522</v>
      </c>
      <c r="N102" s="2887">
        <f>1.942/N101</f>
        <v>5.7117647058823522</v>
      </c>
    </row>
    <row r="103" spans="1:14">
      <c r="A103" s="3311"/>
      <c r="B103" s="2886">
        <v>2</v>
      </c>
      <c r="C103" s="2887">
        <f>1.4198/C101</f>
        <v>4.1758823529411764</v>
      </c>
      <c r="D103" s="2887">
        <f>1.4198/D101</f>
        <v>4.1758823529411764</v>
      </c>
      <c r="E103" s="2887">
        <f>1.3372/E101</f>
        <v>3.9329411764705879</v>
      </c>
      <c r="F103" s="2887">
        <f>1.3372/F101</f>
        <v>3.9329411764705879</v>
      </c>
      <c r="G103" s="2887">
        <f>1.3372/G101</f>
        <v>3.9329411764705879</v>
      </c>
      <c r="H103" s="2887">
        <f>1.3372/H101</f>
        <v>3.9329411764705879</v>
      </c>
      <c r="I103" s="2887">
        <f>1.3372/I101</f>
        <v>3.9329411764705879</v>
      </c>
      <c r="J103" s="2887">
        <f>1.2799/J101</f>
        <v>3.7644117647058821</v>
      </c>
      <c r="K103" s="2887">
        <f>1.2799/K101</f>
        <v>3.7644117647058821</v>
      </c>
      <c r="L103" s="2887">
        <f>1.2799/L101</f>
        <v>3.7644117647058821</v>
      </c>
      <c r="M103" s="2887">
        <f>1.2799/M101</f>
        <v>3.7644117647058821</v>
      </c>
      <c r="N103" s="2887">
        <f>1.2799/N101</f>
        <v>3.7644117647058821</v>
      </c>
    </row>
    <row r="104" spans="1:14">
      <c r="A104" s="3311"/>
      <c r="B104" s="2886">
        <v>3</v>
      </c>
      <c r="C104" s="2887">
        <f>1.1594/C101</f>
        <v>3.4099999999999997</v>
      </c>
      <c r="D104" s="2887">
        <f>1.1594/D101</f>
        <v>3.4099999999999997</v>
      </c>
      <c r="E104" s="2887">
        <f>1.0788/E101</f>
        <v>3.1729411764705882</v>
      </c>
      <c r="F104" s="2887">
        <f>1.0788/F101</f>
        <v>3.1729411764705882</v>
      </c>
      <c r="G104" s="2887">
        <f>1.0788/G101</f>
        <v>3.1729411764705882</v>
      </c>
      <c r="H104" s="2887">
        <f>1.0788/H101</f>
        <v>3.1729411764705882</v>
      </c>
      <c r="I104" s="2887">
        <f>1.0788/I101</f>
        <v>3.1729411764705882</v>
      </c>
      <c r="J104" s="2887">
        <f>1.0072/J101</f>
        <v>2.9623529411764706</v>
      </c>
      <c r="K104" s="2887">
        <f>1.0072/K101</f>
        <v>2.9623529411764706</v>
      </c>
      <c r="L104" s="2887">
        <f>1.0072/L101</f>
        <v>2.9623529411764706</v>
      </c>
      <c r="M104" s="2887">
        <f>1.0072/M101</f>
        <v>2.9623529411764706</v>
      </c>
      <c r="N104" s="2887">
        <f>1.0072/N101</f>
        <v>2.9623529411764706</v>
      </c>
    </row>
    <row r="105" spans="1:14">
      <c r="A105" s="3311"/>
      <c r="B105" s="2886">
        <v>4</v>
      </c>
      <c r="C105" s="2887">
        <f>0.9622/C101</f>
        <v>2.83</v>
      </c>
      <c r="D105" s="2887">
        <f>0.9622/D101</f>
        <v>2.83</v>
      </c>
      <c r="E105" s="2887">
        <f>0.8656/E101</f>
        <v>2.5458823529411765</v>
      </c>
      <c r="F105" s="2887">
        <f>0.8656/F101</f>
        <v>2.5458823529411765</v>
      </c>
      <c r="G105" s="2887">
        <f>0.8656/G101</f>
        <v>2.5458823529411765</v>
      </c>
      <c r="H105" s="2887">
        <f>0.8656/H101</f>
        <v>2.5458823529411765</v>
      </c>
      <c r="I105" s="2887">
        <f>0.8656/I101</f>
        <v>2.5458823529411765</v>
      </c>
      <c r="J105" s="2887">
        <f>0.7525/J101</f>
        <v>2.2132352941176467</v>
      </c>
      <c r="K105" s="2887">
        <f>0.7525/K101</f>
        <v>2.2132352941176467</v>
      </c>
      <c r="L105" s="2887">
        <f>0.7525/L101</f>
        <v>2.2132352941176467</v>
      </c>
      <c r="M105" s="2887">
        <f>0.7525/M101</f>
        <v>2.2132352941176467</v>
      </c>
      <c r="N105" s="2887">
        <f>0.7525/N101</f>
        <v>2.2132352941176467</v>
      </c>
    </row>
    <row r="106" spans="1:14">
      <c r="A106" s="3311"/>
      <c r="B106" s="2886">
        <v>5</v>
      </c>
      <c r="C106" s="2887">
        <f>0.8417/C101</f>
        <v>2.4755882352941176</v>
      </c>
      <c r="D106" s="2887">
        <f>0.8417/D101</f>
        <v>2.4755882352941176</v>
      </c>
      <c r="E106" s="2887">
        <f>0.7371/E101</f>
        <v>2.1679411764705878</v>
      </c>
      <c r="F106" s="2887">
        <f>0.7371/F101</f>
        <v>2.1679411764705878</v>
      </c>
      <c r="G106" s="2887">
        <f>0.7371/G101</f>
        <v>2.1679411764705878</v>
      </c>
      <c r="H106" s="2887">
        <f>0.7371/H101</f>
        <v>2.1679411764705878</v>
      </c>
      <c r="I106" s="2887">
        <f>0.7371/I101</f>
        <v>2.1679411764705878</v>
      </c>
      <c r="J106" s="2887">
        <f>0.5659/J101</f>
        <v>1.664411764705882</v>
      </c>
      <c r="K106" s="2887">
        <f>0.5659/K101</f>
        <v>1.664411764705882</v>
      </c>
      <c r="L106" s="2887">
        <f>0.5659/L101</f>
        <v>1.664411764705882</v>
      </c>
      <c r="M106" s="2887">
        <f>0.5659/M101</f>
        <v>1.664411764705882</v>
      </c>
      <c r="N106" s="2887">
        <f>0.5659/N101</f>
        <v>1.664411764705882</v>
      </c>
    </row>
    <row r="107" spans="1:14">
      <c r="A107" s="3311"/>
      <c r="B107" s="2886">
        <v>6</v>
      </c>
      <c r="C107" s="2887">
        <f>0.7608/C101</f>
        <v>2.2376470588235295</v>
      </c>
      <c r="D107" s="2887">
        <f>0.7608/D101</f>
        <v>2.2376470588235295</v>
      </c>
      <c r="E107" s="2887">
        <f>0.6482/E101</f>
        <v>1.9064705882352939</v>
      </c>
      <c r="F107" s="2887">
        <f>0.6482/F101</f>
        <v>1.9064705882352939</v>
      </c>
      <c r="G107" s="2887">
        <f>0.6482/G101</f>
        <v>1.9064705882352939</v>
      </c>
      <c r="H107" s="2887">
        <f>0.6482/H101</f>
        <v>1.9064705882352939</v>
      </c>
      <c r="I107" s="2887">
        <f>0.6482/I101</f>
        <v>1.9064705882352939</v>
      </c>
      <c r="J107" s="2887">
        <f>0.4525/J101</f>
        <v>1.3308823529411764</v>
      </c>
      <c r="K107" s="2887">
        <f>0.4525/K101</f>
        <v>1.3308823529411764</v>
      </c>
      <c r="L107" s="2887">
        <f>0.4525/L101</f>
        <v>1.3308823529411764</v>
      </c>
      <c r="M107" s="2887">
        <f>0.4525/M101</f>
        <v>1.3308823529411764</v>
      </c>
      <c r="N107" s="2887">
        <f>0.4525/N101</f>
        <v>1.3308823529411764</v>
      </c>
    </row>
    <row r="108" spans="1:14">
      <c r="A108" s="3311"/>
      <c r="B108" s="3138"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2"/>
      <c r="B109" s="3139"/>
      <c r="C109" s="2889">
        <f>(-0.163*(C108^2)-0.59*C108+7617)*(10^(-4))/C101</f>
        <v>2.2402941176470588</v>
      </c>
      <c r="D109" s="2889">
        <f>(-0.163*(D108^2)-0.59*D108+7617)*(10^(-4))/D101</f>
        <v>2.2402941176470588</v>
      </c>
      <c r="E109" s="2889">
        <f>(-0.161*(E108^2)-7.509*E108+6533)*(10^(-4))/E101</f>
        <v>1.921470588235294</v>
      </c>
      <c r="F109" s="2889">
        <f>(-0.161*(F108^2)-7.509*F108+6533)*(10^(-4))/F101</f>
        <v>1.921470588235294</v>
      </c>
      <c r="G109" s="2889">
        <f>(-0.161*(G108^2)-7.509*G108+6533)*(10^(-4))/G101</f>
        <v>1.921470588235294</v>
      </c>
      <c r="H109" s="2889">
        <f>(-0.161*(H108^2)-7.509*H108+6533)*(10^(-4))/H101</f>
        <v>1.921470588235294</v>
      </c>
      <c r="I109" s="2889">
        <f>(-0.161*(I108^2)-7.509*I108+6533)*(10^(-4))/I101</f>
        <v>1.921470588235294</v>
      </c>
      <c r="J109" s="2889">
        <f>(-0.214*(J108^2)-21.991*J108+4665)*(10^(-4))/J101</f>
        <v>1.3720588235294118</v>
      </c>
      <c r="K109" s="2889">
        <f>(-0.214*(K108^2)-21.991*K108+4665)*(10^(-4))/K101</f>
        <v>1.3720588235294118</v>
      </c>
      <c r="L109" s="2889">
        <f>(-0.214*(L108^2)-21.991*L108+4665)*(10^(-4))/L101</f>
        <v>1.3720588235294118</v>
      </c>
      <c r="M109" s="2889">
        <f>(-0.214*(M108^2)-21.991*M108+4665)*(10^(-4))/M101</f>
        <v>1.3720588235294118</v>
      </c>
      <c r="N109" s="2889">
        <f>(-0.214*(N108^2)-21.991*N108+4665)*(10^(-4))/N101</f>
        <v>1.3720588235294118</v>
      </c>
    </row>
    <row r="110" spans="1:14">
      <c r="A110" s="3308" t="s">
        <v>2965</v>
      </c>
      <c r="B110" s="3308"/>
      <c r="C110" s="3308"/>
      <c r="D110" s="3308"/>
      <c r="E110" s="3308"/>
      <c r="F110" s="3308"/>
      <c r="G110" s="3308"/>
      <c r="H110" s="3308"/>
      <c r="I110" s="3308"/>
      <c r="J110" s="3308"/>
      <c r="K110" s="2892"/>
      <c r="L110" s="2892"/>
      <c r="M110" s="2892"/>
      <c r="N110" s="2892"/>
    </row>
    <row r="112" spans="1:14" ht="13.5" thickBot="1"/>
    <row r="113" spans="1:13" ht="25.5" thickBot="1">
      <c r="A113" s="895" t="s">
        <v>2966</v>
      </c>
      <c r="B113" s="1282">
        <f>G3</f>
        <v>0.34</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0.93030000000000002</v>
      </c>
      <c r="C115" s="902">
        <f>B115</f>
        <v>0.93030000000000002</v>
      </c>
      <c r="D115" s="902">
        <f>ROUND(0.8331-0.0109*B113,4)</f>
        <v>0.82940000000000003</v>
      </c>
      <c r="E115" s="902">
        <f>D115</f>
        <v>0.82940000000000003</v>
      </c>
      <c r="F115" s="902">
        <f>E115</f>
        <v>0.82940000000000003</v>
      </c>
      <c r="G115" s="902">
        <f>F115</f>
        <v>0.82940000000000003</v>
      </c>
      <c r="H115" s="902">
        <f>G115</f>
        <v>0.82940000000000003</v>
      </c>
      <c r="I115" s="902">
        <f>ROUND(0.689-0.0155*B113,4)</f>
        <v>0.68369999999999997</v>
      </c>
      <c r="J115" s="902">
        <f t="shared" ref="J115:M118" si="33">I115</f>
        <v>0.68369999999999997</v>
      </c>
      <c r="K115" s="902">
        <f t="shared" si="33"/>
        <v>0.68369999999999997</v>
      </c>
      <c r="L115" s="902">
        <f t="shared" si="33"/>
        <v>0.68369999999999997</v>
      </c>
      <c r="M115" s="903">
        <f t="shared" si="33"/>
        <v>0.68369999999999997</v>
      </c>
    </row>
    <row r="116" spans="1:13">
      <c r="A116" s="901" t="s">
        <v>2863</v>
      </c>
      <c r="B116" s="902">
        <f>ROUND(0.949-0.012*B113,4)</f>
        <v>0.94489999999999996</v>
      </c>
      <c r="C116" s="902">
        <f>B116</f>
        <v>0.94489999999999996</v>
      </c>
      <c r="D116" s="902">
        <f>ROUND(0.8567-0.013*B113,4)</f>
        <v>0.85229999999999995</v>
      </c>
      <c r="E116" s="902">
        <f t="shared" ref="E116:H117" si="34">D116</f>
        <v>0.85229999999999995</v>
      </c>
      <c r="F116" s="902">
        <f t="shared" si="34"/>
        <v>0.85229999999999995</v>
      </c>
      <c r="G116" s="902">
        <f t="shared" si="34"/>
        <v>0.85229999999999995</v>
      </c>
      <c r="H116" s="902">
        <f t="shared" si="34"/>
        <v>0.85229999999999995</v>
      </c>
      <c r="I116" s="902">
        <f>ROUND(0.7694-0.014*B113,4)</f>
        <v>0.76459999999999995</v>
      </c>
      <c r="J116" s="902">
        <f t="shared" si="33"/>
        <v>0.76459999999999995</v>
      </c>
      <c r="K116" s="902">
        <f t="shared" si="33"/>
        <v>0.76459999999999995</v>
      </c>
      <c r="L116" s="902">
        <f t="shared" si="33"/>
        <v>0.76459999999999995</v>
      </c>
      <c r="M116" s="903">
        <f t="shared" si="33"/>
        <v>0.76459999999999995</v>
      </c>
    </row>
    <row r="117" spans="1:13">
      <c r="A117" s="901" t="s">
        <v>2864</v>
      </c>
      <c r="B117" s="902">
        <f>ROUND(0.8808-0.006*B113,4)</f>
        <v>0.87880000000000003</v>
      </c>
      <c r="C117" s="902">
        <f>B117</f>
        <v>0.87880000000000003</v>
      </c>
      <c r="D117" s="902">
        <f>ROUND(0.8748-0.008*B113,4)</f>
        <v>0.87209999999999999</v>
      </c>
      <c r="E117" s="902">
        <f t="shared" si="34"/>
        <v>0.87209999999999999</v>
      </c>
      <c r="F117" s="902">
        <f t="shared" si="34"/>
        <v>0.87209999999999999</v>
      </c>
      <c r="G117" s="902">
        <f t="shared" si="34"/>
        <v>0.87209999999999999</v>
      </c>
      <c r="H117" s="902">
        <f t="shared" si="34"/>
        <v>0.87209999999999999</v>
      </c>
      <c r="I117" s="902">
        <f>ROUND(0.7412-0.0095*B113,4)</f>
        <v>0.73799999999999999</v>
      </c>
      <c r="J117" s="902">
        <f t="shared" si="33"/>
        <v>0.73799999999999999</v>
      </c>
      <c r="K117" s="902">
        <f t="shared" si="33"/>
        <v>0.73799999999999999</v>
      </c>
      <c r="L117" s="902">
        <f t="shared" si="33"/>
        <v>0.73799999999999999</v>
      </c>
      <c r="M117" s="903">
        <f t="shared" si="33"/>
        <v>0.73799999999999999</v>
      </c>
    </row>
    <row r="118" spans="1:13" ht="13.5" thickBot="1">
      <c r="A118" s="711" t="s">
        <v>2865</v>
      </c>
      <c r="B118" s="904">
        <f>ROUND(0.7275-0.01*B113,4)</f>
        <v>0.72409999999999997</v>
      </c>
      <c r="C118" s="904">
        <f>B118</f>
        <v>0.72409999999999997</v>
      </c>
      <c r="D118" s="904">
        <f>ROUND(0.7043-0.012*B113,4)</f>
        <v>0.70020000000000004</v>
      </c>
      <c r="E118" s="904">
        <f>D118</f>
        <v>0.70020000000000004</v>
      </c>
      <c r="F118" s="904">
        <f>E118</f>
        <v>0.70020000000000004</v>
      </c>
      <c r="G118" s="904">
        <f>ROUND(0.6299-0.0122*B113,4)</f>
        <v>0.62580000000000002</v>
      </c>
      <c r="H118" s="904">
        <f>G118</f>
        <v>0.62580000000000002</v>
      </c>
      <c r="I118" s="904">
        <f>ROUND(0.5667-0.0136*B113,4)</f>
        <v>0.56210000000000004</v>
      </c>
      <c r="J118" s="904">
        <f t="shared" si="33"/>
        <v>0.56210000000000004</v>
      </c>
      <c r="K118" s="904">
        <f t="shared" si="33"/>
        <v>0.56210000000000004</v>
      </c>
      <c r="L118" s="904">
        <f t="shared" si="33"/>
        <v>0.56210000000000004</v>
      </c>
      <c r="M118" s="905">
        <f t="shared" si="33"/>
        <v>0.56210000000000004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25" t="s">
        <v>183</v>
      </c>
      <c r="B18" s="874" t="s">
        <v>560</v>
      </c>
      <c r="C18" s="875" t="s">
        <v>561</v>
      </c>
      <c r="D18" s="876"/>
      <c r="E18" s="874">
        <v>1</v>
      </c>
      <c r="F18" s="877" t="s">
        <v>562</v>
      </c>
      <c r="G18" s="878"/>
      <c r="H18" s="870"/>
      <c r="I18" s="870"/>
    </row>
    <row r="19" spans="1:9" s="879" customFormat="1" ht="19.5" customHeight="1">
      <c r="A19" s="3325"/>
      <c r="B19" s="3325" t="s">
        <v>563</v>
      </c>
      <c r="C19" s="875" t="s">
        <v>564</v>
      </c>
      <c r="D19" s="876"/>
      <c r="E19" s="874">
        <v>0.9</v>
      </c>
      <c r="F19" s="877" t="s">
        <v>565</v>
      </c>
      <c r="G19" s="878"/>
      <c r="H19" s="870"/>
      <c r="I19" s="870"/>
    </row>
    <row r="20" spans="1:9" s="879" customFormat="1" ht="19.5" customHeight="1">
      <c r="A20" s="3325"/>
      <c r="B20" s="3325"/>
      <c r="C20" s="875" t="s">
        <v>566</v>
      </c>
      <c r="D20" s="876"/>
      <c r="E20" s="874">
        <v>1.1000000000000001</v>
      </c>
      <c r="F20" s="877" t="s">
        <v>567</v>
      </c>
      <c r="G20" s="878"/>
      <c r="H20" s="870"/>
      <c r="I20" s="870"/>
    </row>
    <row r="21" spans="1:9" s="879" customFormat="1" ht="19.5" customHeight="1">
      <c r="A21" s="3325"/>
      <c r="B21" s="3325"/>
      <c r="C21" s="875" t="s">
        <v>568</v>
      </c>
      <c r="D21" s="876"/>
      <c r="E21" s="874">
        <v>0.8</v>
      </c>
      <c r="F21" s="877" t="s">
        <v>569</v>
      </c>
      <c r="G21" s="878"/>
      <c r="H21" s="870"/>
      <c r="I21" s="870"/>
    </row>
    <row r="22" spans="1:9" s="879" customFormat="1" ht="19.5" customHeight="1">
      <c r="A22" s="3325"/>
      <c r="B22" s="3325"/>
      <c r="C22" s="875" t="s">
        <v>570</v>
      </c>
      <c r="D22" s="876"/>
      <c r="E22" s="874">
        <v>0.5</v>
      </c>
      <c r="F22" s="877"/>
      <c r="G22" s="878"/>
      <c r="H22" s="870"/>
      <c r="I22" s="870"/>
    </row>
    <row r="23" spans="1:9" s="879" customFormat="1" ht="19.5" customHeight="1">
      <c r="A23" s="3325" t="s">
        <v>184</v>
      </c>
      <c r="B23" s="874" t="s">
        <v>560</v>
      </c>
      <c r="C23" s="875" t="s">
        <v>571</v>
      </c>
      <c r="D23" s="876"/>
      <c r="E23" s="874">
        <v>1</v>
      </c>
      <c r="F23" s="877" t="s">
        <v>572</v>
      </c>
      <c r="G23" s="878"/>
      <c r="H23" s="870"/>
      <c r="I23" s="870"/>
    </row>
    <row r="24" spans="1:9" s="879" customFormat="1" ht="19.5" customHeight="1">
      <c r="A24" s="3325"/>
      <c r="B24" s="3325" t="s">
        <v>563</v>
      </c>
      <c r="C24" s="875" t="s">
        <v>573</v>
      </c>
      <c r="D24" s="876"/>
      <c r="E24" s="874">
        <v>0.5</v>
      </c>
      <c r="F24" s="877"/>
      <c r="G24" s="878"/>
      <c r="H24" s="870"/>
      <c r="I24" s="870"/>
    </row>
    <row r="25" spans="1:9" s="879" customFormat="1" ht="19.5" customHeight="1">
      <c r="A25" s="3325"/>
      <c r="B25" s="3325"/>
      <c r="C25" s="875" t="s">
        <v>574</v>
      </c>
      <c r="D25" s="876"/>
      <c r="E25" s="874">
        <v>1.1000000000000001</v>
      </c>
      <c r="F25" s="877"/>
      <c r="G25" s="878"/>
      <c r="H25" s="870"/>
      <c r="I25" s="870"/>
    </row>
    <row r="26" spans="1:9" s="879" customFormat="1" ht="19.5" customHeight="1">
      <c r="A26" s="3325"/>
      <c r="B26" s="3325"/>
      <c r="C26" s="875" t="s">
        <v>575</v>
      </c>
      <c r="D26" s="876"/>
      <c r="E26" s="874">
        <v>1.1000000000000001</v>
      </c>
      <c r="F26" s="877"/>
      <c r="G26" s="878"/>
      <c r="H26" s="870"/>
      <c r="I26" s="870"/>
    </row>
    <row r="27" spans="1:9" s="879" customFormat="1" ht="19.5" customHeight="1">
      <c r="A27" s="3325"/>
      <c r="B27" s="3325"/>
      <c r="C27" s="875" t="s">
        <v>576</v>
      </c>
      <c r="D27" s="876"/>
      <c r="E27" s="874">
        <v>0.9</v>
      </c>
      <c r="F27" s="877" t="s">
        <v>577</v>
      </c>
      <c r="G27" s="878"/>
      <c r="H27" s="870"/>
      <c r="I27" s="870"/>
    </row>
    <row r="28" spans="1:9" s="879" customFormat="1" ht="19.5" customHeight="1">
      <c r="A28" s="3325"/>
      <c r="B28" s="3325"/>
      <c r="C28" s="875" t="s">
        <v>578</v>
      </c>
      <c r="D28" s="876"/>
      <c r="E28" s="874">
        <v>0.9</v>
      </c>
      <c r="F28" s="877" t="s">
        <v>579</v>
      </c>
      <c r="G28" s="878"/>
      <c r="H28" s="870"/>
      <c r="I28" s="870"/>
    </row>
    <row r="29" spans="1:9" s="879" customFormat="1" ht="19.5" customHeight="1">
      <c r="A29" s="3325"/>
      <c r="B29" s="3325"/>
      <c r="C29" s="875" t="s">
        <v>580</v>
      </c>
      <c r="D29" s="876"/>
      <c r="E29" s="874">
        <v>0.9</v>
      </c>
      <c r="F29" s="877" t="s">
        <v>581</v>
      </c>
      <c r="G29" s="878"/>
      <c r="H29" s="870"/>
      <c r="I29" s="870"/>
    </row>
    <row r="30" spans="1:9" s="879" customFormat="1" ht="19.5" customHeight="1">
      <c r="A30" s="3325"/>
      <c r="B30" s="3325"/>
      <c r="C30" s="875" t="s">
        <v>582</v>
      </c>
      <c r="D30" s="876"/>
      <c r="E30" s="874">
        <v>0.9</v>
      </c>
      <c r="F30" s="877" t="s">
        <v>583</v>
      </c>
      <c r="G30" s="878"/>
      <c r="H30" s="870"/>
      <c r="I30" s="870"/>
    </row>
    <row r="31" spans="1:9" s="879" customFormat="1" ht="19.5" customHeight="1">
      <c r="A31" s="3325"/>
      <c r="B31" s="3325"/>
      <c r="C31" s="875" t="s">
        <v>584</v>
      </c>
      <c r="D31" s="876"/>
      <c r="E31" s="874">
        <v>0.8</v>
      </c>
      <c r="F31" s="877" t="s">
        <v>585</v>
      </c>
      <c r="G31" s="878"/>
      <c r="H31" s="870"/>
      <c r="I31" s="870"/>
    </row>
    <row r="32" spans="1:9" s="879" customFormat="1" ht="19.5" customHeight="1">
      <c r="A32" s="3325"/>
      <c r="B32" s="3325"/>
      <c r="C32" s="875" t="s">
        <v>586</v>
      </c>
      <c r="D32" s="876"/>
      <c r="E32" s="874">
        <v>0.8</v>
      </c>
      <c r="F32" s="877" t="s">
        <v>587</v>
      </c>
      <c r="G32" s="878"/>
      <c r="H32" s="870"/>
      <c r="I32" s="870"/>
    </row>
    <row r="33" spans="1:9" s="879" customFormat="1" ht="19.5" customHeight="1">
      <c r="A33" s="3325" t="s">
        <v>185</v>
      </c>
      <c r="B33" s="874" t="s">
        <v>560</v>
      </c>
      <c r="C33" s="875" t="s">
        <v>588</v>
      </c>
      <c r="D33" s="876"/>
      <c r="E33" s="874">
        <v>1</v>
      </c>
      <c r="F33" s="877" t="s">
        <v>589</v>
      </c>
      <c r="G33" s="878"/>
      <c r="H33" s="870"/>
      <c r="I33" s="870"/>
    </row>
    <row r="34" spans="1:9" s="879" customFormat="1" ht="19.5" customHeight="1">
      <c r="A34" s="3325"/>
      <c r="B34" s="874" t="s">
        <v>563</v>
      </c>
      <c r="C34" s="875" t="s">
        <v>590</v>
      </c>
      <c r="D34" s="876"/>
      <c r="E34" s="874">
        <v>1.5</v>
      </c>
      <c r="F34" s="877" t="s">
        <v>591</v>
      </c>
      <c r="G34" s="878"/>
      <c r="H34" s="870"/>
      <c r="I34" s="870"/>
    </row>
    <row r="35" spans="1:9" s="879" customFormat="1" ht="19.5" customHeight="1">
      <c r="A35" s="3325" t="s">
        <v>186</v>
      </c>
      <c r="B35" s="874" t="s">
        <v>560</v>
      </c>
      <c r="C35" s="875" t="s">
        <v>592</v>
      </c>
      <c r="D35" s="876"/>
      <c r="E35" s="874">
        <v>1</v>
      </c>
      <c r="F35" s="877" t="s">
        <v>593</v>
      </c>
      <c r="G35" s="878"/>
      <c r="H35" s="870"/>
      <c r="I35" s="870"/>
    </row>
    <row r="36" spans="1:9" s="879" customFormat="1" ht="19.5" customHeight="1">
      <c r="A36" s="3325"/>
      <c r="B36" s="3325" t="s">
        <v>563</v>
      </c>
      <c r="C36" s="875" t="s">
        <v>594</v>
      </c>
      <c r="D36" s="876"/>
      <c r="E36" s="874">
        <v>1</v>
      </c>
      <c r="F36" s="877" t="s">
        <v>595</v>
      </c>
      <c r="G36" s="878"/>
      <c r="H36" s="870"/>
      <c r="I36" s="870"/>
    </row>
    <row r="37" spans="1:9" s="879" customFormat="1" ht="19.5" customHeight="1">
      <c r="A37" s="3325"/>
      <c r="B37" s="3325"/>
      <c r="C37" s="875" t="s">
        <v>596</v>
      </c>
      <c r="D37" s="876"/>
      <c r="E37" s="874">
        <v>1.5</v>
      </c>
      <c r="F37" s="877" t="s">
        <v>597</v>
      </c>
      <c r="G37" s="878"/>
      <c r="H37" s="870"/>
      <c r="I37" s="870"/>
    </row>
    <row r="38" spans="1:9" s="879" customFormat="1" ht="19.5" customHeight="1">
      <c r="A38" s="3325"/>
      <c r="B38" s="3325"/>
      <c r="C38" s="875" t="s">
        <v>598</v>
      </c>
      <c r="D38" s="876"/>
      <c r="E38" s="874">
        <v>1</v>
      </c>
      <c r="F38" s="877" t="s">
        <v>599</v>
      </c>
      <c r="G38" s="878"/>
      <c r="H38" s="870"/>
      <c r="I38" s="870"/>
    </row>
    <row r="39" spans="1:9" s="879" customFormat="1" ht="19.5" customHeight="1">
      <c r="A39" s="3325"/>
      <c r="B39" s="3325"/>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25" t="s">
        <v>614</v>
      </c>
      <c r="C61" s="810" t="s">
        <v>615</v>
      </c>
      <c r="D61" s="810" t="s">
        <v>616</v>
      </c>
      <c r="E61" s="887">
        <v>0.5</v>
      </c>
      <c r="F61" s="874">
        <v>80</v>
      </c>
    </row>
    <row r="62" spans="1:8" s="870" customFormat="1" ht="24">
      <c r="A62" s="874">
        <v>2</v>
      </c>
      <c r="B62" s="3325"/>
      <c r="C62" s="810" t="s">
        <v>617</v>
      </c>
      <c r="D62" s="810" t="s">
        <v>618</v>
      </c>
      <c r="E62" s="887">
        <v>0.5</v>
      </c>
      <c r="F62" s="874">
        <v>80</v>
      </c>
    </row>
    <row r="63" spans="1:8" s="870" customFormat="1" ht="36">
      <c r="A63" s="874">
        <v>3</v>
      </c>
      <c r="B63" s="3325"/>
      <c r="C63" s="810" t="s">
        <v>619</v>
      </c>
      <c r="D63" s="810" t="s">
        <v>620</v>
      </c>
      <c r="E63" s="887">
        <v>0.5</v>
      </c>
      <c r="F63" s="874">
        <v>80</v>
      </c>
    </row>
    <row r="64" spans="1:8" s="870" customFormat="1" ht="36">
      <c r="A64" s="874">
        <v>4</v>
      </c>
      <c r="B64" s="3325"/>
      <c r="C64" s="810" t="s">
        <v>621</v>
      </c>
      <c r="D64" s="810" t="s">
        <v>622</v>
      </c>
      <c r="E64" s="887">
        <v>0.4</v>
      </c>
      <c r="F64" s="874">
        <v>60</v>
      </c>
    </row>
    <row r="65" spans="1:6" s="870" customFormat="1" ht="36">
      <c r="A65" s="874">
        <v>5</v>
      </c>
      <c r="B65" s="3325"/>
      <c r="C65" s="810" t="s">
        <v>623</v>
      </c>
      <c r="D65" s="810" t="s">
        <v>624</v>
      </c>
      <c r="E65" s="887">
        <v>0.2</v>
      </c>
      <c r="F65" s="874">
        <v>30</v>
      </c>
    </row>
    <row r="66" spans="1:6" s="870" customFormat="1" ht="36">
      <c r="A66" s="874">
        <v>6</v>
      </c>
      <c r="B66" s="3325"/>
      <c r="C66" s="810" t="s">
        <v>625</v>
      </c>
      <c r="D66" s="810" t="s">
        <v>626</v>
      </c>
      <c r="E66" s="887">
        <v>0.3</v>
      </c>
      <c r="F66" s="874">
        <v>50</v>
      </c>
    </row>
    <row r="67" spans="1:6" s="870" customFormat="1" ht="36">
      <c r="A67" s="874">
        <v>7</v>
      </c>
      <c r="B67" s="3325"/>
      <c r="C67" s="810" t="s">
        <v>627</v>
      </c>
      <c r="D67" s="810" t="s">
        <v>628</v>
      </c>
      <c r="E67" s="887">
        <v>0.2</v>
      </c>
      <c r="F67" s="874">
        <v>30</v>
      </c>
    </row>
    <row r="68" spans="1:6" s="870" customFormat="1" ht="36">
      <c r="A68" s="874">
        <v>8</v>
      </c>
      <c r="B68" s="3325"/>
      <c r="C68" s="810" t="s">
        <v>629</v>
      </c>
      <c r="D68" s="810" t="s">
        <v>630</v>
      </c>
      <c r="E68" s="887">
        <v>0.2</v>
      </c>
      <c r="F68" s="874">
        <v>30</v>
      </c>
    </row>
    <row r="69" spans="1:6" s="870" customFormat="1" ht="36">
      <c r="A69" s="874">
        <v>9</v>
      </c>
      <c r="B69" s="3325"/>
      <c r="C69" s="810" t="s">
        <v>631</v>
      </c>
      <c r="D69" s="810" t="s">
        <v>632</v>
      </c>
      <c r="E69" s="887">
        <v>0.2</v>
      </c>
      <c r="F69" s="874">
        <v>30</v>
      </c>
    </row>
    <row r="70" spans="1:6" s="870" customFormat="1" ht="48">
      <c r="A70" s="874">
        <v>10</v>
      </c>
      <c r="B70" s="3325"/>
      <c r="C70" s="810" t="s">
        <v>633</v>
      </c>
      <c r="D70" s="810" t="s">
        <v>634</v>
      </c>
      <c r="E70" s="887">
        <v>0.2</v>
      </c>
      <c r="F70" s="874">
        <v>30</v>
      </c>
    </row>
    <row r="71" spans="1:6" s="870" customFormat="1" ht="48">
      <c r="A71" s="874">
        <v>11</v>
      </c>
      <c r="B71" s="3325"/>
      <c r="C71" s="810" t="s">
        <v>635</v>
      </c>
      <c r="D71" s="810" t="s">
        <v>636</v>
      </c>
      <c r="E71" s="887">
        <v>0.2</v>
      </c>
      <c r="F71" s="874">
        <v>30</v>
      </c>
    </row>
    <row r="72" spans="1:6" s="870" customFormat="1" ht="36">
      <c r="A72" s="874">
        <v>12</v>
      </c>
      <c r="B72" s="3325"/>
      <c r="C72" s="810" t="s">
        <v>637</v>
      </c>
      <c r="D72" s="810" t="s">
        <v>638</v>
      </c>
      <c r="E72" s="887">
        <v>0.5</v>
      </c>
      <c r="F72" s="874">
        <v>80</v>
      </c>
    </row>
    <row r="73" spans="1:6" s="870" customFormat="1" ht="24">
      <c r="A73" s="874">
        <v>13</v>
      </c>
      <c r="B73" s="3325"/>
      <c r="C73" s="810" t="s">
        <v>639</v>
      </c>
      <c r="D73" s="810" t="s">
        <v>640</v>
      </c>
      <c r="E73" s="887">
        <v>0.4</v>
      </c>
      <c r="F73" s="874">
        <v>60</v>
      </c>
    </row>
    <row r="74" spans="1:6" s="870" customFormat="1" ht="24">
      <c r="A74" s="874">
        <v>14</v>
      </c>
      <c r="B74" s="3325"/>
      <c r="C74" s="810" t="s">
        <v>641</v>
      </c>
      <c r="D74" s="810" t="s">
        <v>642</v>
      </c>
      <c r="E74" s="887">
        <v>0.2</v>
      </c>
      <c r="F74" s="874">
        <v>30</v>
      </c>
    </row>
    <row r="75" spans="1:6" s="870" customFormat="1" ht="24">
      <c r="A75" s="874">
        <v>15</v>
      </c>
      <c r="B75" s="3325"/>
      <c r="C75" s="810" t="s">
        <v>643</v>
      </c>
      <c r="D75" s="810" t="s">
        <v>644</v>
      </c>
      <c r="E75" s="887">
        <v>0.2</v>
      </c>
      <c r="F75" s="874">
        <v>30</v>
      </c>
    </row>
    <row r="76" spans="1:6" s="870" customFormat="1" ht="24">
      <c r="A76" s="874">
        <v>16</v>
      </c>
      <c r="B76" s="3325" t="s">
        <v>645</v>
      </c>
      <c r="C76" s="810" t="s">
        <v>646</v>
      </c>
      <c r="D76" s="810" t="s">
        <v>647</v>
      </c>
      <c r="E76" s="887">
        <v>0.5</v>
      </c>
      <c r="F76" s="874">
        <v>80</v>
      </c>
    </row>
    <row r="77" spans="1:6" s="870" customFormat="1" ht="24">
      <c r="A77" s="874">
        <v>17</v>
      </c>
      <c r="B77" s="3325"/>
      <c r="C77" s="810" t="s">
        <v>648</v>
      </c>
      <c r="D77" s="810" t="s">
        <v>649</v>
      </c>
      <c r="E77" s="887">
        <v>0.5</v>
      </c>
      <c r="F77" s="874">
        <v>80</v>
      </c>
    </row>
    <row r="78" spans="1:6" s="870" customFormat="1" ht="24">
      <c r="A78" s="874">
        <v>18</v>
      </c>
      <c r="B78" s="3325"/>
      <c r="C78" s="810" t="s">
        <v>650</v>
      </c>
      <c r="D78" s="810" t="s">
        <v>651</v>
      </c>
      <c r="E78" s="887">
        <v>0.2</v>
      </c>
      <c r="F78" s="874">
        <v>30</v>
      </c>
    </row>
    <row r="79" spans="1:6" s="870" customFormat="1" ht="24">
      <c r="A79" s="874">
        <v>19</v>
      </c>
      <c r="B79" s="3325"/>
      <c r="C79" s="810" t="s">
        <v>652</v>
      </c>
      <c r="D79" s="810" t="s">
        <v>653</v>
      </c>
      <c r="E79" s="887">
        <v>0.5</v>
      </c>
      <c r="F79" s="874">
        <v>80</v>
      </c>
    </row>
    <row r="80" spans="1:6" s="870" customFormat="1" ht="36">
      <c r="A80" s="874">
        <v>20</v>
      </c>
      <c r="B80" s="3325"/>
      <c r="C80" s="810" t="s">
        <v>654</v>
      </c>
      <c r="D80" s="810" t="s">
        <v>655</v>
      </c>
      <c r="E80" s="887">
        <v>0.2</v>
      </c>
      <c r="F80" s="874">
        <v>30</v>
      </c>
    </row>
    <row r="81" spans="1:6" s="870" customFormat="1" ht="36">
      <c r="A81" s="874">
        <v>21</v>
      </c>
      <c r="B81" s="3325"/>
      <c r="C81" s="810" t="s">
        <v>656</v>
      </c>
      <c r="D81" s="810" t="s">
        <v>657</v>
      </c>
      <c r="E81" s="887">
        <v>0.2</v>
      </c>
      <c r="F81" s="874">
        <v>30</v>
      </c>
    </row>
    <row r="82" spans="1:6" s="870" customFormat="1" ht="48">
      <c r="A82" s="874">
        <v>22</v>
      </c>
      <c r="B82" s="3325"/>
      <c r="C82" s="810" t="s">
        <v>658</v>
      </c>
      <c r="D82" s="810" t="s">
        <v>659</v>
      </c>
      <c r="E82" s="887">
        <v>0.2</v>
      </c>
      <c r="F82" s="874">
        <v>30</v>
      </c>
    </row>
    <row r="83" spans="1:6" s="870" customFormat="1" ht="48">
      <c r="A83" s="874">
        <v>23</v>
      </c>
      <c r="B83" s="3325"/>
      <c r="C83" s="810" t="s">
        <v>660</v>
      </c>
      <c r="D83" s="810" t="s">
        <v>661</v>
      </c>
      <c r="E83" s="887">
        <v>0.2</v>
      </c>
      <c r="F83" s="874">
        <v>30</v>
      </c>
    </row>
    <row r="84" spans="1:6" s="870" customFormat="1" ht="36">
      <c r="A84" s="874">
        <v>24</v>
      </c>
      <c r="B84" s="3325"/>
      <c r="C84" s="810" t="s">
        <v>662</v>
      </c>
      <c r="D84" s="810" t="s">
        <v>663</v>
      </c>
      <c r="E84" s="887">
        <v>0.2</v>
      </c>
      <c r="F84" s="874">
        <v>30</v>
      </c>
    </row>
    <row r="85" spans="1:6" s="870" customFormat="1" ht="36">
      <c r="A85" s="874">
        <v>25</v>
      </c>
      <c r="B85" s="3325"/>
      <c r="C85" s="810" t="s">
        <v>664</v>
      </c>
      <c r="D85" s="810" t="s">
        <v>665</v>
      </c>
      <c r="E85" s="887">
        <v>0.5</v>
      </c>
      <c r="F85" s="874">
        <v>80</v>
      </c>
    </row>
    <row r="86" spans="1:6" s="870" customFormat="1" ht="36">
      <c r="A86" s="874">
        <v>26</v>
      </c>
      <c r="B86" s="3325"/>
      <c r="C86" s="810" t="s">
        <v>666</v>
      </c>
      <c r="D86" s="810" t="s">
        <v>667</v>
      </c>
      <c r="E86" s="887">
        <v>0.2</v>
      </c>
      <c r="F86" s="874">
        <v>30</v>
      </c>
    </row>
    <row r="87" spans="1:6" s="870" customFormat="1" ht="36">
      <c r="A87" s="874">
        <v>27</v>
      </c>
      <c r="B87" s="3325"/>
      <c r="C87" s="810" t="s">
        <v>668</v>
      </c>
      <c r="D87" s="810" t="s">
        <v>669</v>
      </c>
      <c r="E87" s="887">
        <v>0.2</v>
      </c>
      <c r="F87" s="874">
        <v>30</v>
      </c>
    </row>
    <row r="88" spans="1:6" s="870" customFormat="1" ht="36">
      <c r="A88" s="874">
        <v>28</v>
      </c>
      <c r="B88" s="3325"/>
      <c r="C88" s="810" t="s">
        <v>670</v>
      </c>
      <c r="D88" s="810" t="s">
        <v>671</v>
      </c>
      <c r="E88" s="887">
        <v>0.2</v>
      </c>
      <c r="F88" s="874">
        <v>30</v>
      </c>
    </row>
    <row r="89" spans="1:6" s="870" customFormat="1" ht="24">
      <c r="A89" s="874">
        <v>29</v>
      </c>
      <c r="B89" s="3325"/>
      <c r="C89" s="810" t="s">
        <v>672</v>
      </c>
      <c r="D89" s="810" t="s">
        <v>673</v>
      </c>
      <c r="E89" s="887">
        <v>0.2</v>
      </c>
      <c r="F89" s="874">
        <v>30</v>
      </c>
    </row>
    <row r="90" spans="1:6" s="870" customFormat="1" ht="24">
      <c r="A90" s="874">
        <v>30</v>
      </c>
      <c r="B90" s="3325"/>
      <c r="C90" s="810" t="s">
        <v>674</v>
      </c>
      <c r="D90" s="810" t="s">
        <v>675</v>
      </c>
      <c r="E90" s="887">
        <v>0.2</v>
      </c>
      <c r="F90" s="874">
        <v>30</v>
      </c>
    </row>
    <row r="91" spans="1:6" s="870" customFormat="1" ht="36">
      <c r="A91" s="874">
        <v>31</v>
      </c>
      <c r="B91" s="3325"/>
      <c r="C91" s="810" t="s">
        <v>676</v>
      </c>
      <c r="D91" s="810" t="s">
        <v>677</v>
      </c>
      <c r="E91" s="887">
        <v>0.2</v>
      </c>
      <c r="F91" s="874">
        <v>30</v>
      </c>
    </row>
    <row r="92" spans="1:6" s="870" customFormat="1" ht="24">
      <c r="A92" s="874">
        <v>32</v>
      </c>
      <c r="B92" s="3325" t="s">
        <v>678</v>
      </c>
      <c r="C92" s="874" t="s">
        <v>679</v>
      </c>
      <c r="D92" s="810" t="s">
        <v>680</v>
      </c>
      <c r="E92" s="887">
        <v>0.2</v>
      </c>
      <c r="F92" s="874">
        <v>30</v>
      </c>
    </row>
    <row r="93" spans="1:6" s="870" customFormat="1" ht="36">
      <c r="A93" s="874">
        <v>33</v>
      </c>
      <c r="B93" s="3325"/>
      <c r="C93" s="874" t="s">
        <v>681</v>
      </c>
      <c r="D93" s="810" t="s">
        <v>682</v>
      </c>
      <c r="E93" s="887">
        <v>0.2</v>
      </c>
      <c r="F93" s="874">
        <v>30</v>
      </c>
    </row>
    <row r="94" spans="1:6" s="870" customFormat="1" ht="48">
      <c r="A94" s="874">
        <v>34</v>
      </c>
      <c r="B94" s="3325"/>
      <c r="C94" s="874" t="s">
        <v>683</v>
      </c>
      <c r="D94" s="810" t="s">
        <v>684</v>
      </c>
      <c r="E94" s="887">
        <v>0.2</v>
      </c>
      <c r="F94" s="874">
        <v>30</v>
      </c>
    </row>
    <row r="95" spans="1:6" s="870" customFormat="1" ht="36">
      <c r="A95" s="874">
        <v>35</v>
      </c>
      <c r="B95" s="3325"/>
      <c r="C95" s="874" t="s">
        <v>685</v>
      </c>
      <c r="D95" s="810" t="s">
        <v>686</v>
      </c>
      <c r="E95" s="887">
        <v>0.2</v>
      </c>
      <c r="F95" s="874">
        <v>30</v>
      </c>
    </row>
    <row r="96" spans="1:6" s="870" customFormat="1" ht="48">
      <c r="A96" s="874">
        <v>36</v>
      </c>
      <c r="B96" s="3325"/>
      <c r="C96" s="810" t="s">
        <v>687</v>
      </c>
      <c r="D96" s="810" t="s">
        <v>688</v>
      </c>
      <c r="E96" s="887">
        <v>0.2</v>
      </c>
      <c r="F96" s="874">
        <v>30</v>
      </c>
    </row>
    <row r="97" spans="1:6" s="870" customFormat="1" ht="36">
      <c r="A97" s="874">
        <v>37</v>
      </c>
      <c r="B97" s="3325"/>
      <c r="C97" s="874" t="s">
        <v>689</v>
      </c>
      <c r="D97" s="810" t="s">
        <v>690</v>
      </c>
      <c r="E97" s="887">
        <v>0.2</v>
      </c>
      <c r="F97" s="874">
        <v>30</v>
      </c>
    </row>
    <row r="98" spans="1:6" s="870" customFormat="1" ht="36">
      <c r="A98" s="874">
        <v>38</v>
      </c>
      <c r="B98" s="3325"/>
      <c r="C98" s="874" t="s">
        <v>691</v>
      </c>
      <c r="D98" s="810" t="s">
        <v>692</v>
      </c>
      <c r="E98" s="887">
        <v>0.2</v>
      </c>
      <c r="F98" s="874">
        <v>30</v>
      </c>
    </row>
    <row r="99" spans="1:6" s="870" customFormat="1" ht="36">
      <c r="A99" s="874">
        <v>39</v>
      </c>
      <c r="B99" s="3325" t="s">
        <v>693</v>
      </c>
      <c r="C99" s="874" t="s">
        <v>694</v>
      </c>
      <c r="D99" s="810" t="s">
        <v>695</v>
      </c>
      <c r="E99" s="887">
        <v>0.3</v>
      </c>
      <c r="F99" s="874">
        <v>50</v>
      </c>
    </row>
    <row r="100" spans="1:6" s="870" customFormat="1" ht="24">
      <c r="A100" s="874">
        <v>40</v>
      </c>
      <c r="B100" s="3325"/>
      <c r="C100" s="874" t="s">
        <v>696</v>
      </c>
      <c r="D100" s="810" t="s">
        <v>697</v>
      </c>
      <c r="E100" s="887">
        <v>0.2</v>
      </c>
      <c r="F100" s="874">
        <v>30</v>
      </c>
    </row>
    <row r="101" spans="1:6" s="870" customFormat="1" ht="36">
      <c r="A101" s="874">
        <v>41</v>
      </c>
      <c r="B101" s="3325"/>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25" t="s">
        <v>708</v>
      </c>
      <c r="C105" s="874" t="s">
        <v>709</v>
      </c>
      <c r="D105" s="810" t="s">
        <v>710</v>
      </c>
      <c r="E105" s="887">
        <v>0.2</v>
      </c>
      <c r="F105" s="874">
        <v>30</v>
      </c>
    </row>
    <row r="106" spans="1:6" s="870" customFormat="1" ht="36">
      <c r="A106" s="874">
        <v>46</v>
      </c>
      <c r="B106" s="3325"/>
      <c r="C106" s="874" t="s">
        <v>711</v>
      </c>
      <c r="D106" s="810" t="s">
        <v>712</v>
      </c>
      <c r="E106" s="887">
        <v>0.2</v>
      </c>
      <c r="F106" s="874">
        <v>30</v>
      </c>
    </row>
    <row r="107" spans="1:6" s="870" customFormat="1" ht="36">
      <c r="A107" s="874">
        <v>47</v>
      </c>
      <c r="B107" s="3325" t="s">
        <v>713</v>
      </c>
      <c r="C107" s="874" t="s">
        <v>714</v>
      </c>
      <c r="D107" s="810" t="s">
        <v>715</v>
      </c>
      <c r="E107" s="887">
        <v>0.3</v>
      </c>
      <c r="F107" s="874">
        <v>50</v>
      </c>
    </row>
    <row r="108" spans="1:6" s="870" customFormat="1" ht="36">
      <c r="A108" s="874">
        <v>48</v>
      </c>
      <c r="B108" s="3325"/>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25" t="s">
        <v>724</v>
      </c>
      <c r="C111" s="874" t="s">
        <v>725</v>
      </c>
      <c r="D111" s="810" t="s">
        <v>726</v>
      </c>
      <c r="E111" s="887">
        <v>0.2</v>
      </c>
      <c r="F111" s="874">
        <v>30</v>
      </c>
    </row>
    <row r="112" spans="1:6" s="870" customFormat="1" ht="24">
      <c r="A112" s="874">
        <v>52</v>
      </c>
      <c r="B112" s="3325"/>
      <c r="C112" s="874" t="s">
        <v>727</v>
      </c>
      <c r="D112" s="810" t="s">
        <v>728</v>
      </c>
      <c r="E112" s="887">
        <v>0.2</v>
      </c>
      <c r="F112" s="874">
        <v>30</v>
      </c>
    </row>
    <row r="113" spans="1:6" s="870" customFormat="1" ht="24">
      <c r="A113" s="874">
        <v>53</v>
      </c>
      <c r="B113" s="3325"/>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25" t="s">
        <v>737</v>
      </c>
      <c r="C116" s="874" t="s">
        <v>738</v>
      </c>
      <c r="D116" s="810" t="s">
        <v>739</v>
      </c>
      <c r="E116" s="887">
        <v>0.2</v>
      </c>
      <c r="F116" s="874">
        <v>30</v>
      </c>
    </row>
    <row r="117" spans="1:6" ht="36">
      <c r="A117" s="874">
        <v>57</v>
      </c>
      <c r="B117" s="3325"/>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331" t="s">
        <v>1150</v>
      </c>
      <c r="C1" s="3331"/>
      <c r="D1" s="3331"/>
      <c r="E1" s="3331"/>
      <c r="F1" s="3331"/>
      <c r="G1" s="3327" t="s">
        <v>1151</v>
      </c>
      <c r="H1" s="3327"/>
      <c r="I1" s="3327"/>
      <c r="J1" s="3327"/>
      <c r="K1" s="3327"/>
      <c r="L1" s="3327"/>
      <c r="N1" s="3327" t="s">
        <v>1152</v>
      </c>
      <c r="O1" s="3327"/>
      <c r="P1" s="3327"/>
      <c r="Q1" s="3327"/>
      <c r="R1" s="1441"/>
      <c r="S1" s="3327" t="s">
        <v>1153</v>
      </c>
      <c r="T1" s="3327"/>
      <c r="U1" s="3327"/>
      <c r="V1" s="3327"/>
      <c r="X1" s="3326" t="s">
        <v>1154</v>
      </c>
      <c r="Y1" s="3327"/>
      <c r="Z1" s="3327"/>
      <c r="AA1" s="3327"/>
      <c r="AB1" s="3327"/>
      <c r="AD1" s="3326" t="s">
        <v>1155</v>
      </c>
      <c r="AE1" s="3327"/>
      <c r="AF1" s="3327"/>
      <c r="AG1" s="3327"/>
      <c r="AH1" s="3327"/>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332">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329"/>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329"/>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330"/>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328">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329"/>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329"/>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330"/>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328">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329"/>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329"/>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330"/>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333">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34"/>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34"/>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35"/>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328">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329"/>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329"/>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330"/>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328">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329">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329">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330">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328">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329">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329">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330">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328">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329">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329">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330">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328">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329">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329">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330">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328">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329">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329">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330">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328">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329">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329">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330">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328">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329">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329">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330">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328">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329">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329">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330">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328">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329">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329">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330">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328">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329">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329">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330">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1643</v>
      </c>
      <c r="B2" s="3026" t="s">
        <v>1644</v>
      </c>
      <c r="C2" s="3026" t="s">
        <v>1645</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7"/>
      <c r="B3" s="3027"/>
      <c r="C3" s="3027"/>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3130.82</v>
      </c>
      <c r="C4" s="1039">
        <f>项目基本情况!C18</f>
        <v>9119.9</v>
      </c>
      <c r="D4" s="1039">
        <f ca="1">结果表!D118</f>
        <v>4610</v>
      </c>
      <c r="E4" s="1039">
        <f ca="1">结果表!E118</f>
        <v>14725</v>
      </c>
      <c r="F4" s="1039">
        <f ca="1">结果表!F118</f>
        <v>4536</v>
      </c>
      <c r="G4" s="1039">
        <f ca="1">结果表!G118</f>
        <v>14488</v>
      </c>
      <c r="H4" s="1039">
        <f ca="1">结果表!H118</f>
        <v>9146</v>
      </c>
      <c r="I4" s="1039">
        <f ca="1">结果表!I118</f>
        <v>29213</v>
      </c>
    </row>
    <row r="5" spans="1:9" ht="30" customHeight="1">
      <c r="A5" s="3027" t="s">
        <v>1642</v>
      </c>
      <c r="B5" s="3027"/>
      <c r="C5" s="3027"/>
      <c r="D5" s="3028" t="str">
        <f ca="1">结果表!D119</f>
        <v>肆仟陆佰壹拾万元整</v>
      </c>
      <c r="E5" s="3028"/>
      <c r="F5" s="3028" t="str">
        <f ca="1">结果表!F119</f>
        <v>肆仟伍佰叁拾陆万元整</v>
      </c>
      <c r="G5" s="3028"/>
      <c r="H5" s="3028" t="str">
        <f ca="1">结果表!H119</f>
        <v>玖仟壹佰肆拾陆万元整</v>
      </c>
      <c r="I5" s="3028"/>
    </row>
    <row r="6" spans="1:9" ht="15.75">
      <c r="A6" s="3029" t="str">
        <f>结果表!A120</f>
        <v>估价师知悉的法定优先受偿款</v>
      </c>
      <c r="B6" s="3029"/>
      <c r="C6" s="3029"/>
      <c r="D6" s="3029">
        <f>结果表!D120</f>
        <v>0</v>
      </c>
      <c r="E6" s="3029"/>
      <c r="F6" s="3029"/>
      <c r="G6" s="3029"/>
      <c r="H6" s="3029"/>
      <c r="I6" s="3029"/>
    </row>
    <row r="7" spans="1:9" ht="15">
      <c r="A7" s="3027" t="s">
        <v>1642</v>
      </c>
      <c r="B7" s="3027"/>
      <c r="C7" s="3027"/>
      <c r="D7" s="3030" t="str">
        <f>结果表!D121</f>
        <v>零元整</v>
      </c>
      <c r="E7" s="3031"/>
      <c r="F7" s="3031"/>
      <c r="G7" s="3031"/>
      <c r="H7" s="3031"/>
      <c r="I7" s="3032"/>
    </row>
    <row r="8" spans="1:9" ht="15.75">
      <c r="A8" s="3029" t="str">
        <f>结果表!A122</f>
        <v/>
      </c>
      <c r="B8" s="3029"/>
      <c r="C8" s="3029"/>
      <c r="D8" s="3029" t="str">
        <f>结果表!D122</f>
        <v>——</v>
      </c>
      <c r="E8" s="3029"/>
      <c r="F8" s="3029"/>
      <c r="G8" s="3029"/>
      <c r="H8" s="3029"/>
      <c r="I8" s="3029"/>
    </row>
    <row r="9" spans="1:9" ht="15">
      <c r="A9" s="3027" t="s">
        <v>1642</v>
      </c>
      <c r="B9" s="3027"/>
      <c r="C9" s="3027"/>
      <c r="D9" s="3028" t="e">
        <f>结果表!D123</f>
        <v>#VALUE!</v>
      </c>
      <c r="E9" s="3028"/>
      <c r="F9" s="3028"/>
      <c r="G9" s="3028"/>
      <c r="H9" s="3028"/>
      <c r="I9" s="3028"/>
    </row>
    <row r="10" spans="1:9" ht="15.75">
      <c r="A10" s="3029" t="str">
        <f>结果表!A124</f>
        <v>抵押担保权已注销时的房地产抵押价值</v>
      </c>
      <c r="B10" s="3029"/>
      <c r="C10" s="3029"/>
      <c r="D10" s="3029">
        <f ca="1">结果表!D124</f>
        <v>9146</v>
      </c>
      <c r="E10" s="3029"/>
      <c r="F10" s="3029"/>
      <c r="G10" s="3029"/>
      <c r="H10" s="3029"/>
      <c r="I10" s="3029"/>
    </row>
    <row r="11" spans="1:9" ht="15">
      <c r="A11" s="3027" t="s">
        <v>1642</v>
      </c>
      <c r="B11" s="3027"/>
      <c r="C11" s="3027"/>
      <c r="D11" s="3028" t="str">
        <f ca="1">结果表!D125</f>
        <v>玖仟壹佰肆拾陆万元整</v>
      </c>
      <c r="E11" s="3028"/>
      <c r="F11" s="3028"/>
      <c r="G11" s="3028"/>
      <c r="H11" s="3028"/>
      <c r="I11" s="3028"/>
    </row>
    <row r="12" spans="1:9" ht="15.75">
      <c r="A12" s="3029" t="str">
        <f>结果表!A126</f>
        <v/>
      </c>
      <c r="B12" s="3029"/>
      <c r="C12" s="3029"/>
      <c r="D12" s="3029" t="str">
        <f>结果表!D126</f>
        <v>——</v>
      </c>
      <c r="E12" s="3029"/>
      <c r="F12" s="3029"/>
      <c r="G12" s="3029"/>
      <c r="H12" s="3029"/>
      <c r="I12" s="3029"/>
    </row>
    <row r="13" spans="1:9" ht="15.75" thickBot="1">
      <c r="A13" s="3033" t="s">
        <v>1642</v>
      </c>
      <c r="B13" s="3033"/>
      <c r="C13" s="3033"/>
      <c r="D13" s="3034" t="e">
        <f>结果表!D127</f>
        <v>#VALUE!</v>
      </c>
      <c r="E13" s="3034"/>
      <c r="F13" s="3034"/>
      <c r="G13" s="3034"/>
      <c r="H13" s="3034"/>
      <c r="I13" s="3034"/>
    </row>
    <row r="14" spans="1:9" ht="15" thickTop="1">
      <c r="A14" s="3035" t="s">
        <v>1647</v>
      </c>
      <c r="B14" s="3035"/>
      <c r="C14" s="3035"/>
      <c r="D14" s="3035"/>
      <c r="E14" s="3035"/>
      <c r="F14" s="3035"/>
      <c r="G14" s="3035"/>
      <c r="H14" s="3035"/>
      <c r="I14" s="3035"/>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2990</v>
      </c>
      <c r="C1" s="3337" t="s">
        <v>2991</v>
      </c>
      <c r="D1" s="3338"/>
      <c r="E1" s="3338"/>
      <c r="F1" s="3338"/>
      <c r="G1" s="3338"/>
      <c r="H1" s="3338"/>
      <c r="I1" s="3338"/>
      <c r="J1" s="3338"/>
      <c r="K1" s="3338"/>
      <c r="L1" s="3338"/>
      <c r="M1" s="3338"/>
      <c r="N1" s="3338"/>
      <c r="O1" s="3338"/>
      <c r="P1" s="3338"/>
      <c r="Q1" s="3338"/>
      <c r="R1" s="3338"/>
      <c r="S1" s="3339"/>
      <c r="T1" s="1199" t="s">
        <v>2992</v>
      </c>
    </row>
    <row r="2" spans="1:45" s="704" customFormat="1">
      <c r="A2" s="1200"/>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4" t="s">
        <v>2994</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5" t="s">
        <v>2995</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5" t="s">
        <v>2996</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9" t="s">
        <v>3002</v>
      </c>
      <c r="E19" s="1787"/>
      <c r="F19" s="1787"/>
      <c r="G19" s="1787"/>
      <c r="H19" s="1275"/>
      <c r="I19" s="165"/>
      <c r="J19" s="165"/>
      <c r="K19" s="165"/>
      <c r="L19" s="165"/>
      <c r="M19" s="165"/>
      <c r="N19" s="165"/>
      <c r="O19" s="165"/>
      <c r="P19" s="165"/>
      <c r="Q19" s="165"/>
      <c r="R19" s="785"/>
      <c r="S19" s="135"/>
    </row>
    <row r="20" spans="1:45" ht="16.5" thickBot="1">
      <c r="A20" s="712" t="s">
        <v>3003</v>
      </c>
      <c r="B20" s="335" t="e">
        <f ca="1">IF(D20="——",S22,S22-F20)</f>
        <v>#REF!</v>
      </c>
      <c r="C20" s="165"/>
      <c r="D20" s="2910" t="s">
        <v>3004</v>
      </c>
      <c r="E20" s="1788"/>
      <c r="F20" s="1199" t="e">
        <f ca="1">SUMIF(INDIRECT("'"&amp;H20&amp;"'"&amp;"!A:A"),"承租人权益价值",INDIRECT("'"&amp;H20&amp;"'"&amp;"!c:c"))</f>
        <v>#REF!</v>
      </c>
      <c r="G20" s="1199" t="s">
        <v>3005</v>
      </c>
      <c r="H20" s="2911"/>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19" t="s">
        <v>33</v>
      </c>
      <c r="D22" s="3120"/>
      <c r="E22" s="3120"/>
      <c r="F22" s="3120"/>
      <c r="G22" s="3120"/>
      <c r="H22" s="3120"/>
      <c r="I22" s="3120"/>
      <c r="J22" s="3120"/>
      <c r="K22" s="3120"/>
      <c r="L22" s="3120"/>
      <c r="M22" s="3120"/>
      <c r="N22" s="3120"/>
      <c r="O22" s="3120"/>
      <c r="P22" s="3120"/>
      <c r="Q22" s="3336"/>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37708</v>
      </c>
      <c r="C2" s="2" t="s">
        <v>133</v>
      </c>
      <c r="D2" s="240"/>
      <c r="E2" s="240"/>
      <c r="F2" s="240"/>
      <c r="G2" s="240"/>
    </row>
    <row r="3" spans="1:7" s="241" customFormat="1" ht="18" customHeight="1" thickBot="1">
      <c r="A3" s="244" t="s">
        <v>85</v>
      </c>
      <c r="B3" s="245">
        <f ca="1">ROUND(B2*10000/'数据-汇总表'!E3,0)</f>
        <v>120441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810</v>
      </c>
      <c r="D7" s="261"/>
      <c r="E7" s="259"/>
      <c r="F7" s="262">
        <f>'数据-取费表'!B48+'数据-取费表'!B49</f>
        <v>4.0500000000000001E-2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148</v>
      </c>
      <c r="F9" s="262"/>
      <c r="G9" s="267"/>
    </row>
    <row r="10" spans="1:7" s="255" customFormat="1" ht="13.5" customHeight="1">
      <c r="A10" s="945" t="s">
        <v>801</v>
      </c>
      <c r="B10" s="265" t="s">
        <v>94</v>
      </c>
      <c r="C10" s="266">
        <f>ROUND(D10*E10/10000,0)</f>
        <v>30</v>
      </c>
      <c r="D10" s="1027">
        <f>'数据-汇总表'!E6</f>
        <v>3130.82</v>
      </c>
      <c r="E10" s="266">
        <f>'数据-取费表'!B28</f>
        <v>97</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94</v>
      </c>
      <c r="D19" s="1031">
        <f>'数据-汇总表'!E3</f>
        <v>3130.82</v>
      </c>
      <c r="E19" s="252">
        <f>'数据-取费表'!B31</f>
        <v>300</v>
      </c>
      <c r="F19" s="272"/>
      <c r="G19" s="1" t="s">
        <v>1074</v>
      </c>
    </row>
    <row r="20" spans="1:7" s="255" customFormat="1" ht="13.5" customHeight="1">
      <c r="A20" s="943" t="s">
        <v>1057</v>
      </c>
      <c r="B20" s="251" t="s">
        <v>104</v>
      </c>
      <c r="C20" s="273">
        <f>ROUND((C5+C19)*F20,0)</f>
        <v>418</v>
      </c>
      <c r="D20" s="273"/>
      <c r="E20" s="273"/>
      <c r="F20" s="274">
        <f>'数据-取费表'!B37</f>
        <v>0.02</v>
      </c>
      <c r="G20" s="1284" t="s">
        <v>1068</v>
      </c>
    </row>
    <row r="21" spans="1:7" s="255" customFormat="1" ht="13.5" customHeight="1">
      <c r="A21" s="943" t="s">
        <v>1059</v>
      </c>
      <c r="B21" s="251" t="s">
        <v>105</v>
      </c>
      <c r="C21" s="276">
        <f>F21</f>
        <v>0.05</v>
      </c>
      <c r="D21" s="277" t="s">
        <v>126</v>
      </c>
      <c r="E21" s="273"/>
      <c r="F21" s="274">
        <f>'数据-取费表'!B38</f>
        <v>0.05</v>
      </c>
      <c r="G21" s="275" t="s">
        <v>106</v>
      </c>
    </row>
    <row r="22" spans="1:7" s="255" customFormat="1" ht="13.5" customHeight="1">
      <c r="A22" s="943" t="s">
        <v>786</v>
      </c>
      <c r="B22" s="251" t="s">
        <v>107</v>
      </c>
      <c r="C22" s="1349">
        <f ca="1">ROUND(SUM(C23:C25),0)</f>
        <v>1522</v>
      </c>
      <c r="D22" s="276">
        <f ca="1">C26</f>
        <v>1.8E-3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1500</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7</v>
      </c>
      <c r="D24" s="279"/>
      <c r="E24" s="279"/>
      <c r="F24" s="280"/>
      <c r="G24" s="281" t="s">
        <v>109</v>
      </c>
    </row>
    <row r="25" spans="1:7" s="255" customFormat="1" ht="24">
      <c r="A25" s="946" t="s">
        <v>793</v>
      </c>
      <c r="B25" s="256" t="s">
        <v>1058</v>
      </c>
      <c r="C25" s="1350">
        <f ca="1">ROUND(IF('数据-取费表'!B22&lt;=1,C20*F22*'数据-取费表'!B23/2,C20*(POWER((1+F22),'数据-取费表'!B23/2)-1)),0)</f>
        <v>15</v>
      </c>
      <c r="D25" s="279"/>
      <c r="E25" s="282"/>
      <c r="F25" s="280"/>
      <c r="G25" s="283" t="s">
        <v>110</v>
      </c>
    </row>
    <row r="26" spans="1:7" s="255" customFormat="1">
      <c r="A26" s="946" t="s">
        <v>795</v>
      </c>
      <c r="B26" s="256" t="s">
        <v>1060</v>
      </c>
      <c r="C26" s="279">
        <f ca="1">ROUND(IF('数据-取费表'!B22&lt;=1,F21*F22*'数据-取费表'!B23/2,F21*(POWER((1+F22),'数据-取费表'!B23/2)-1)),4)</f>
        <v>1.8E-3</v>
      </c>
      <c r="D26" s="279"/>
      <c r="E26" s="282"/>
      <c r="F26" s="280"/>
      <c r="G26" s="284"/>
    </row>
    <row r="27" spans="1:7" s="255" customFormat="1" ht="24.75">
      <c r="A27" s="943" t="s">
        <v>787</v>
      </c>
      <c r="B27" s="285" t="s">
        <v>112</v>
      </c>
      <c r="C27" s="286">
        <f>C28</f>
        <v>7676</v>
      </c>
      <c r="D27" s="276">
        <f>C29</f>
        <v>1.7999999999999999E-2</v>
      </c>
      <c r="E27" s="277" t="s">
        <v>126</v>
      </c>
      <c r="F27" s="287">
        <f>'数据-取费表'!Q16</f>
        <v>0.36</v>
      </c>
      <c r="G27" s="288" t="s">
        <v>1069</v>
      </c>
    </row>
    <row r="28" spans="1:7" s="255" customFormat="1" ht="13.5" customHeight="1">
      <c r="A28" s="946" t="s">
        <v>794</v>
      </c>
      <c r="B28" s="289" t="s">
        <v>1062</v>
      </c>
      <c r="C28" s="290">
        <f>ROUND((C5+C19+C20)*F27*'数据-取费表'!B21/'数据-取费表'!B20,0)</f>
        <v>7676</v>
      </c>
      <c r="D28" s="276"/>
      <c r="E28" s="277"/>
      <c r="F28" s="287"/>
      <c r="G28" s="288"/>
    </row>
    <row r="29" spans="1:7" s="255" customFormat="1" ht="13.5" customHeight="1">
      <c r="A29" s="946" t="s">
        <v>792</v>
      </c>
      <c r="B29" s="289" t="s">
        <v>1063</v>
      </c>
      <c r="C29" s="279">
        <f>ROUND(C21*F27*'数据-取费表'!B21/'数据-取费表'!B20,4)</f>
        <v>1.7999999999999999E-2</v>
      </c>
      <c r="D29" s="276"/>
      <c r="E29" s="277"/>
      <c r="F29" s="287"/>
      <c r="G29" s="288"/>
    </row>
    <row r="30" spans="1:7" s="255" customFormat="1" ht="13.5" customHeight="1">
      <c r="A30" s="943"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34768</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1943</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1677</v>
      </c>
      <c r="D34" s="258"/>
      <c r="E34" s="261"/>
      <c r="F34" s="298">
        <f>IF('数据-取费表'!B24=0,1,'数据-取费表'!N16)</f>
        <v>1</v>
      </c>
      <c r="G34" s="260" t="s">
        <v>116</v>
      </c>
    </row>
    <row r="35" spans="1:7" ht="13.5" customHeight="1">
      <c r="A35" s="946" t="s">
        <v>796</v>
      </c>
      <c r="B35" s="256" t="s">
        <v>60</v>
      </c>
      <c r="C35" s="261">
        <f>ROUND(C34*F35,0)</f>
        <v>84</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157</v>
      </c>
      <c r="D37" s="258">
        <f>'数据-汇总表'!E3</f>
        <v>3130.82</v>
      </c>
      <c r="E37" s="290">
        <f>'数据-取费表'!B35</f>
        <v>500</v>
      </c>
      <c r="F37" s="300"/>
      <c r="G37" s="302" t="s">
        <v>119</v>
      </c>
    </row>
    <row r="38" spans="1:7" ht="13.5" customHeight="1">
      <c r="A38" s="946" t="s">
        <v>799</v>
      </c>
      <c r="B38" s="256" t="s">
        <v>63</v>
      </c>
      <c r="C38" s="261">
        <f>ROUND(C34*F38,0)</f>
        <v>25</v>
      </c>
      <c r="D38" s="261"/>
      <c r="E38" s="261"/>
      <c r="F38" s="300">
        <f>'数据-取费表'!B36</f>
        <v>1.4999999999999999E-2</v>
      </c>
      <c r="G38" s="260" t="s">
        <v>117</v>
      </c>
    </row>
    <row r="39" spans="1:7" s="255" customFormat="1" ht="13.5" customHeight="1">
      <c r="A39" s="943" t="s">
        <v>783</v>
      </c>
      <c r="B39" s="251" t="s">
        <v>104</v>
      </c>
      <c r="C39" s="273">
        <f>ROUND(C33*F20,0)</f>
        <v>39</v>
      </c>
      <c r="D39" s="273"/>
      <c r="E39" s="273"/>
      <c r="F39" s="274"/>
      <c r="G39" s="1284" t="s">
        <v>1071</v>
      </c>
    </row>
    <row r="40" spans="1:7" s="255" customFormat="1" ht="13.5" customHeight="1">
      <c r="A40" s="943" t="s">
        <v>784</v>
      </c>
      <c r="B40" s="251" t="s">
        <v>105</v>
      </c>
      <c r="C40" s="303">
        <f>F21</f>
        <v>0.05</v>
      </c>
      <c r="D40" s="277" t="s">
        <v>129</v>
      </c>
      <c r="E40" s="273"/>
      <c r="F40" s="274"/>
      <c r="G40" s="275" t="s">
        <v>120</v>
      </c>
    </row>
    <row r="41" spans="1:7" s="255" customFormat="1" ht="13.5" customHeight="1">
      <c r="A41" s="943" t="s">
        <v>785</v>
      </c>
      <c r="B41" s="251" t="s">
        <v>107</v>
      </c>
      <c r="C41" s="273">
        <f ca="1">ROUND(SUM(C42:C43),0)</f>
        <v>70</v>
      </c>
      <c r="D41" s="276">
        <f ca="1">C44</f>
        <v>1.8E-3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69</v>
      </c>
      <c r="D42" s="279"/>
      <c r="E42" s="279"/>
      <c r="F42" s="280"/>
      <c r="G42" s="3204" t="s">
        <v>121</v>
      </c>
    </row>
    <row r="43" spans="1:7" ht="13.5" customHeight="1">
      <c r="A43" s="946" t="s">
        <v>792</v>
      </c>
      <c r="B43" s="256" t="s">
        <v>1064</v>
      </c>
      <c r="C43" s="279">
        <f ca="1">ROUND(IF('数据-取费表'!B22&lt;=1,C39*F22*'数据-取费表'!B21/2,C39*(POWER((1+F22),'数据-取费表'!B21/2)-1)),0)</f>
        <v>1</v>
      </c>
      <c r="D43" s="279"/>
      <c r="E43" s="279"/>
      <c r="F43" s="280"/>
      <c r="G43" s="3205"/>
    </row>
    <row r="44" spans="1:7" ht="13.5" customHeight="1">
      <c r="A44" s="946" t="s">
        <v>793</v>
      </c>
      <c r="B44" s="256" t="s">
        <v>1066</v>
      </c>
      <c r="C44" s="279">
        <f ca="1">ROUND(IF('数据-取费表'!B22&lt;=1,C40*F22*'数据-取费表'!B21/2,C40*(POWER((1+F22),'数据-取费表'!B21/2)-1)),4)</f>
        <v>1.8E-3</v>
      </c>
      <c r="D44" s="279"/>
      <c r="E44" s="279"/>
      <c r="F44" s="280"/>
      <c r="G44" s="3206"/>
    </row>
    <row r="45" spans="1:7" s="255" customFormat="1" ht="13.5" customHeight="1">
      <c r="A45" s="943" t="s">
        <v>786</v>
      </c>
      <c r="B45" s="285" t="s">
        <v>112</v>
      </c>
      <c r="C45" s="286">
        <f>C46</f>
        <v>714</v>
      </c>
      <c r="D45" s="276">
        <f>C47</f>
        <v>1.7999999999999999E-2</v>
      </c>
      <c r="E45" s="277" t="s">
        <v>129</v>
      </c>
      <c r="F45" s="287"/>
      <c r="G45" s="288" t="s">
        <v>1072</v>
      </c>
    </row>
    <row r="46" spans="1:7" s="255" customFormat="1" ht="13.5" customHeight="1">
      <c r="A46" s="946" t="s">
        <v>794</v>
      </c>
      <c r="B46" s="289" t="s">
        <v>1065</v>
      </c>
      <c r="C46" s="290">
        <f>ROUND((C33+C39)*F27,0)</f>
        <v>714</v>
      </c>
      <c r="D46" s="304"/>
      <c r="E46" s="277"/>
      <c r="F46" s="287"/>
      <c r="G46" s="288"/>
    </row>
    <row r="47" spans="1:7" s="255" customFormat="1" ht="13.5" customHeight="1">
      <c r="A47" s="946" t="s">
        <v>792</v>
      </c>
      <c r="B47" s="289" t="s">
        <v>1067</v>
      </c>
      <c r="C47" s="279">
        <f>ROUND(C40*F27,4)</f>
        <v>1.7999999999999999E-2</v>
      </c>
      <c r="D47" s="304"/>
      <c r="E47" s="277"/>
      <c r="F47" s="287"/>
      <c r="G47" s="288"/>
    </row>
    <row r="48" spans="1:7" s="255" customFormat="1" ht="13.5" customHeight="1">
      <c r="A48" s="943" t="s">
        <v>787</v>
      </c>
      <c r="B48" s="251" t="s">
        <v>122</v>
      </c>
      <c r="C48" s="303">
        <f>F30</f>
        <v>5.5000000000000007E-2</v>
      </c>
      <c r="D48" s="277" t="s">
        <v>130</v>
      </c>
      <c r="E48" s="273"/>
      <c r="F48" s="278"/>
      <c r="G48" s="275" t="s">
        <v>123</v>
      </c>
    </row>
    <row r="49" spans="1:7" ht="16.5" customHeight="1">
      <c r="A49" s="943" t="s">
        <v>788</v>
      </c>
      <c r="B49" s="251" t="s">
        <v>131</v>
      </c>
      <c r="C49" s="273">
        <f ca="1">ROUND((C33+C39+C41+C45)/(1-C40-D41-D45-C48/(1+'数据-取费表'!B42)),0)</f>
        <v>3151</v>
      </c>
      <c r="D49" s="273"/>
      <c r="E49" s="273"/>
      <c r="F49" s="305"/>
      <c r="G49" s="275" t="s">
        <v>1073</v>
      </c>
    </row>
    <row r="50" spans="1:7" s="299" customFormat="1" ht="24">
      <c r="A50" s="943" t="s">
        <v>789</v>
      </c>
      <c r="B50" s="251" t="s">
        <v>124</v>
      </c>
      <c r="C50" s="273"/>
      <c r="D50" s="273"/>
      <c r="E50" s="273"/>
      <c r="F50" s="305">
        <f>IF('数据-取费表'!B24=0,'数据-取费表'!N16,1)</f>
        <v>0.93300000000000005</v>
      </c>
      <c r="G50" s="288" t="s">
        <v>125</v>
      </c>
    </row>
    <row r="51" spans="1:7" ht="16.5" customHeight="1">
      <c r="A51" s="943" t="s">
        <v>790</v>
      </c>
      <c r="B51" s="251" t="s">
        <v>132</v>
      </c>
      <c r="C51" s="273">
        <f ca="1">ROUND(C49*F50,0)</f>
        <v>2940</v>
      </c>
      <c r="D51" s="273"/>
      <c r="E51" s="273"/>
      <c r="F51" s="305"/>
      <c r="G51" s="275" t="s">
        <v>64</v>
      </c>
    </row>
    <row r="52" spans="1:7" s="249" customFormat="1" ht="16.5" thickBot="1">
      <c r="A52" s="306" t="s">
        <v>65</v>
      </c>
      <c r="B52" s="307"/>
      <c r="C52" s="308">
        <f ca="1">C31+C51</f>
        <v>37708</v>
      </c>
      <c r="D52" s="307"/>
      <c r="E52" s="307"/>
      <c r="F52" s="307"/>
      <c r="G52" s="309"/>
    </row>
    <row r="55" spans="1:7" ht="15">
      <c r="B55" s="311" t="s">
        <v>66</v>
      </c>
      <c r="C55" s="312"/>
    </row>
    <row r="56" spans="1:7">
      <c r="B56" s="314" t="s">
        <v>67</v>
      </c>
      <c r="C56" s="315">
        <f ca="1">ROUND(C51/C52,3)</f>
        <v>7.8E-2</v>
      </c>
    </row>
    <row r="57" spans="1:7">
      <c r="B57" s="314" t="s">
        <v>68</v>
      </c>
      <c r="C57" s="316">
        <f ca="1">1-C56</f>
        <v>0.92200000000000004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40" t="s">
        <v>156</v>
      </c>
      <c r="B1" s="3340"/>
      <c r="C1" s="3340"/>
      <c r="D1" s="3340"/>
      <c r="E1" s="3340"/>
      <c r="F1" s="3340"/>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41" t="s">
        <v>169</v>
      </c>
      <c r="B2" s="3341"/>
      <c r="C2" s="3341"/>
      <c r="D2" s="3341"/>
      <c r="E2" s="3341"/>
      <c r="F2" s="3341"/>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42"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43"/>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40" t="s">
        <v>871</v>
      </c>
      <c r="B1" s="3340"/>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43110</v>
      </c>
      <c r="D1" s="1695" t="s">
        <v>1302</v>
      </c>
      <c r="E1" s="1690">
        <f>'数据-取费表'!B22</f>
        <v>1.5</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36" t="s">
        <v>1664</v>
      </c>
      <c r="B1" s="3036"/>
      <c r="C1" s="3036"/>
      <c r="D1" s="3036"/>
    </row>
    <row r="2" spans="1:4" ht="18">
      <c r="A2" s="3037" t="s">
        <v>1648</v>
      </c>
      <c r="B2" s="3037"/>
      <c r="C2" s="3037"/>
      <c r="D2" s="3037"/>
    </row>
    <row r="3" spans="1:4" ht="18.75">
      <c r="A3" s="1972" t="s">
        <v>1649</v>
      </c>
      <c r="B3" s="1972" t="s">
        <v>1650</v>
      </c>
      <c r="C3" s="1972" t="s">
        <v>1651</v>
      </c>
      <c r="D3" s="1972" t="s">
        <v>1652</v>
      </c>
    </row>
    <row r="4" spans="1:4" ht="56.25" customHeight="1">
      <c r="A4" s="1973" t="str">
        <f>项目基本情况!B4</f>
        <v>王鹏</v>
      </c>
      <c r="B4" s="1974">
        <f ca="1">项目基本情况!C4</f>
        <v>1120050019</v>
      </c>
      <c r="C4" s="1975"/>
      <c r="D4" s="1976" t="s">
        <v>1653</v>
      </c>
    </row>
    <row r="5" spans="1:4" ht="56.25" customHeight="1">
      <c r="A5" s="1973" t="str">
        <f>项目基本情况!D4</f>
        <v>郑燚</v>
      </c>
      <c r="B5" s="1974">
        <f ca="1">项目基本情况!E4</f>
        <v>1120070131</v>
      </c>
      <c r="C5" s="1977"/>
      <c r="D5" s="1976" t="s">
        <v>1653</v>
      </c>
    </row>
    <row r="6" spans="1:4" ht="18">
      <c r="A6" s="3037" t="s">
        <v>1654</v>
      </c>
      <c r="B6" s="3037"/>
      <c r="C6" s="3037"/>
      <c r="D6" s="3037"/>
    </row>
    <row r="7" spans="1:4" ht="18.75">
      <c r="A7" s="1972" t="s">
        <v>1649</v>
      </c>
      <c r="B7" s="1974" t="s">
        <v>1655</v>
      </c>
      <c r="C7" s="1972" t="s">
        <v>1651</v>
      </c>
      <c r="D7" s="1972" t="s">
        <v>1652</v>
      </c>
    </row>
    <row r="8" spans="1:4" ht="56.25" customHeight="1">
      <c r="A8" s="1978" t="s">
        <v>869</v>
      </c>
      <c r="B8" s="1978" t="s">
        <v>1</v>
      </c>
      <c r="C8" s="1975"/>
      <c r="D8" s="1976" t="s">
        <v>1653</v>
      </c>
    </row>
    <row r="9" spans="1:4">
      <c r="A9" s="725"/>
      <c r="B9" s="725"/>
      <c r="C9" s="725"/>
      <c r="D9" s="725"/>
    </row>
    <row r="10" spans="1:4" ht="18.75">
      <c r="A10" s="1979" t="s">
        <v>1656</v>
      </c>
      <c r="B10" s="725"/>
      <c r="C10" s="725"/>
      <c r="D10" s="725"/>
    </row>
    <row r="11" spans="1:4" ht="30" customHeight="1">
      <c r="A11" s="3038" t="s">
        <v>1657</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9" t="str">
        <f>IF(项目基本情况!B8="抵押","4.本次评估估价师所知悉的法定优先受偿款情况说明如下：","——")</f>
        <v>4.本次评估估价师所知悉的法定优先受偿款情况说明如下：</v>
      </c>
      <c r="B14" s="3040"/>
      <c r="C14" s="3040"/>
      <c r="D14" s="3040"/>
    </row>
    <row r="15" spans="1:4" ht="42" customHeight="1">
      <c r="A15" s="303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9"/>
      <c r="C15" s="3039"/>
      <c r="D15" s="3039"/>
    </row>
    <row r="16" spans="1:4" ht="30" customHeight="1">
      <c r="A16" s="3042" t="s">
        <v>1658</v>
      </c>
      <c r="B16" s="3042"/>
      <c r="C16" s="3042"/>
      <c r="D16" s="3042"/>
    </row>
    <row r="17" spans="1:4" ht="144" customHeight="1">
      <c r="A17" s="3042" t="s">
        <v>1659</v>
      </c>
      <c r="B17" s="3042"/>
      <c r="C17" s="3042"/>
      <c r="D17" s="3042"/>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1660</v>
      </c>
      <c r="B22" s="3044"/>
      <c r="C22" s="3044"/>
      <c r="D22" s="3044"/>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50" t="s">
        <v>1671</v>
      </c>
      <c r="B15" s="3045" t="s">
        <v>136</v>
      </c>
      <c r="C15" s="3046"/>
    </row>
    <row r="16" spans="1:7" ht="13.5">
      <c r="A16" s="3051"/>
      <c r="B16" s="3045" t="s">
        <v>69</v>
      </c>
      <c r="C16" s="3046"/>
    </row>
    <row r="17" spans="1:3" ht="13.5">
      <c r="A17" s="3051"/>
      <c r="B17" s="3048" t="s">
        <v>1672</v>
      </c>
      <c r="C17" s="1995" t="s">
        <v>1671</v>
      </c>
    </row>
    <row r="18" spans="1:3" ht="13.5">
      <c r="A18" s="3051"/>
      <c r="B18" s="3048"/>
      <c r="C18" s="1995" t="s">
        <v>1673</v>
      </c>
    </row>
    <row r="19" spans="1:3" ht="13.5">
      <c r="A19" s="3051"/>
      <c r="B19" s="3048"/>
      <c r="C19" s="1995" t="s">
        <v>1674</v>
      </c>
    </row>
    <row r="20" spans="1:3" ht="13.5">
      <c r="A20" s="3052"/>
      <c r="B20" s="3047" t="s">
        <v>1675</v>
      </c>
      <c r="C20" s="3046"/>
    </row>
    <row r="21" spans="1:3" ht="13.5">
      <c r="A21" s="1996" t="s">
        <v>1676</v>
      </c>
      <c r="B21" s="1997"/>
      <c r="C21" s="1998"/>
    </row>
    <row r="22" spans="1:3" ht="13.5">
      <c r="A22" s="3049" t="s">
        <v>1677</v>
      </c>
      <c r="B22" s="3047" t="s">
        <v>1678</v>
      </c>
      <c r="C22" s="3046"/>
    </row>
    <row r="23" spans="1:3" ht="13.5">
      <c r="A23" s="3049"/>
      <c r="B23" s="3047" t="s">
        <v>1679</v>
      </c>
      <c r="C23" s="3046"/>
    </row>
    <row r="24" spans="1:3" ht="13.5">
      <c r="A24" s="3049"/>
      <c r="B24" s="3047" t="s">
        <v>1680</v>
      </c>
      <c r="C24" s="3046"/>
    </row>
    <row r="25" spans="1:3" ht="13.5">
      <c r="A25" s="3049"/>
      <c r="B25" s="3048" t="s">
        <v>1681</v>
      </c>
      <c r="C25" s="1995" t="s">
        <v>1682</v>
      </c>
    </row>
    <row r="26" spans="1:3" ht="13.5">
      <c r="A26" s="3049"/>
      <c r="B26" s="3048"/>
      <c r="C26" s="1995" t="s">
        <v>1683</v>
      </c>
    </row>
    <row r="27" spans="1:3" ht="13.5">
      <c r="A27" s="3049"/>
      <c r="B27" s="3048"/>
      <c r="C27" s="1995" t="s">
        <v>1684</v>
      </c>
    </row>
    <row r="28" spans="1:3" ht="13.5">
      <c r="A28" s="3049"/>
      <c r="B28" s="3048"/>
      <c r="C28" s="1995" t="s">
        <v>1685</v>
      </c>
    </row>
    <row r="29" spans="1:3" ht="13.5">
      <c r="A29" s="3049"/>
      <c r="B29" s="3048"/>
      <c r="C29" s="1995" t="s">
        <v>1686</v>
      </c>
    </row>
    <row r="30" spans="1:3" ht="13.5">
      <c r="A30" s="3049"/>
      <c r="B30" s="3048"/>
      <c r="C30" s="1995" t="s">
        <v>1687</v>
      </c>
    </row>
    <row r="31" spans="1:3" ht="13.5">
      <c r="A31" s="3049"/>
      <c r="B31" s="3048"/>
      <c r="C31" s="1995" t="s">
        <v>1688</v>
      </c>
    </row>
    <row r="32" spans="1:3" ht="13.5">
      <c r="A32" s="3049"/>
      <c r="B32" s="3048"/>
      <c r="C32" s="1995" t="s">
        <v>1689</v>
      </c>
    </row>
    <row r="33" spans="1:3" ht="13.5">
      <c r="A33" s="3049"/>
      <c r="B33" s="3048"/>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43126</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f ca="1">IF(C7&lt;B2,"已过期",1120050019)</f>
        <v>1120050019</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f ca="1">IF(C22&lt;B2,"已过期",1120020033)</f>
        <v>1120020033</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53" t="s">
        <v>846</v>
      </c>
      <c r="B25" s="3053"/>
      <c r="C25" s="3053"/>
      <c r="D25" s="3053"/>
      <c r="E25" s="3053"/>
      <c r="F25" s="3053"/>
      <c r="G25" s="3053"/>
    </row>
    <row r="26" spans="1:7" s="1020" customFormat="1" ht="24" customHeight="1">
      <c r="A26" s="3054" t="s">
        <v>847</v>
      </c>
      <c r="B26" s="3054"/>
      <c r="C26" s="3055"/>
      <c r="D26" s="3056" t="s">
        <v>848</v>
      </c>
      <c r="E26" s="3054"/>
      <c r="F26" s="3054"/>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7"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一期-A5-15套</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'一期-A5-15套'!Print_Area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2018-01-09T06:26:30Z</cp:lastPrinted>
  <dcterms:created xsi:type="dcterms:W3CDTF">2015-07-13T07:17:23Z</dcterms:created>
  <dcterms:modified xsi:type="dcterms:W3CDTF">2018-01-26T09:29:33Z</dcterms:modified>
</cp:coreProperties>
</file>