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D3C5B667-C8B4-4854-B31F-2F98FB80DB5D}" xr6:coauthVersionLast="47" xr6:coauthVersionMax="47" xr10:uidLastSave="{00000000-0000-0000-0000-000000000000}"/>
  <bookViews>
    <workbookView xWindow="-120" yWindow="-120" windowWidth="21840" windowHeight="131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成本法 (元)" sheetId="69"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售价案例" sheetId="81" r:id="rId40"/>
    <sheet name="租金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 i="31" l="1"/>
  <c r="F4" i="31" s="1"/>
  <c r="G4" i="31" s="1"/>
  <c r="H4" i="31" s="1"/>
  <c r="D4" i="31"/>
  <c r="B14" i="74"/>
  <c r="C14" i="31"/>
  <c r="B25" i="31"/>
  <c r="B26" i="31"/>
  <c r="B24" i="31"/>
  <c r="A26" i="31"/>
  <c r="A25" i="31"/>
  <c r="A24" i="31"/>
  <c r="I36" i="33"/>
  <c r="G36" i="33"/>
  <c r="E36" i="33"/>
  <c r="C36" i="33"/>
  <c r="E104" i="33"/>
  <c r="F104" i="33" s="1"/>
  <c r="G104" i="33" s="1"/>
  <c r="H104" i="33" s="1"/>
  <c r="D104" i="33"/>
  <c r="C33" i="33"/>
  <c r="D93" i="33"/>
  <c r="C93" i="33"/>
  <c r="I7" i="33"/>
  <c r="G7" i="33"/>
  <c r="E7" i="33"/>
  <c r="N17" i="33"/>
  <c r="E93" i="33" s="1"/>
  <c r="M70" i="81" l="1"/>
  <c r="I47" i="33" s="1"/>
  <c r="J49" i="67"/>
  <c r="G44" i="43"/>
  <c r="U2" i="43"/>
  <c r="B56" i="1"/>
  <c r="Y6" i="1"/>
  <c r="P42" i="1"/>
  <c r="Q41" i="1"/>
  <c r="R31" i="1"/>
  <c r="R43" i="1" s="1"/>
  <c r="Q31" i="1"/>
  <c r="Q43" i="1" s="1"/>
  <c r="P31" i="1"/>
  <c r="P41" i="1" s="1"/>
  <c r="O31" i="1"/>
  <c r="O42" i="1" s="1"/>
  <c r="N31" i="1"/>
  <c r="N43" i="1" s="1"/>
  <c r="M31" i="1"/>
  <c r="M43" i="1" s="1"/>
  <c r="L31" i="1"/>
  <c r="L42" i="1" s="1"/>
  <c r="K31" i="1"/>
  <c r="K41" i="1" s="1"/>
  <c r="N41" i="1" l="1"/>
  <c r="R41" i="1"/>
  <c r="Q42" i="1"/>
  <c r="P43" i="1"/>
  <c r="O41" i="1"/>
  <c r="N42" i="1"/>
  <c r="R42" i="1"/>
  <c r="O43" i="1"/>
  <c r="M41" i="1"/>
  <c r="K43" i="1"/>
  <c r="K42" i="1"/>
  <c r="L43" i="1"/>
  <c r="L41" i="1"/>
  <c r="M42" i="1"/>
  <c r="N21" i="1" l="1"/>
  <c r="N6" i="1" s="1"/>
  <c r="N19" i="1"/>
  <c r="F19" i="6"/>
  <c r="C19" i="6"/>
  <c r="F16"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AA28" i="71"/>
  <c r="N66" i="7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G84" i="34"/>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5" i="3" s="1"/>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0" i="31"/>
  <c r="S312" i="31"/>
  <c r="S304" i="31"/>
  <c r="S296" i="31"/>
  <c r="S288" i="31"/>
  <c r="S284" i="31"/>
  <c r="S280" i="31"/>
  <c r="S276" i="31"/>
  <c r="S272" i="31"/>
  <c r="S268" i="31"/>
  <c r="S264" i="31"/>
  <c r="S260" i="31"/>
  <c r="S256" i="31"/>
  <c r="S252" i="31"/>
  <c r="S251" i="31"/>
  <c r="S248" i="31"/>
  <c r="S247" i="31"/>
  <c r="S244" i="31"/>
  <c r="S243" i="31"/>
  <c r="S240" i="31"/>
  <c r="S239" i="31"/>
  <c r="S236" i="31"/>
  <c r="S235" i="31"/>
  <c r="S232" i="31"/>
  <c r="S231" i="31"/>
  <c r="S228" i="31"/>
  <c r="S227" i="31"/>
  <c r="S224" i="31"/>
  <c r="S223" i="31"/>
  <c r="S425"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95" i="31"/>
  <c r="S491" i="31"/>
  <c r="S487" i="31"/>
  <c r="S483" i="31"/>
  <c r="S479" i="31"/>
  <c r="S475" i="31"/>
  <c r="S471" i="31"/>
  <c r="S436" i="31"/>
  <c r="S120" i="31"/>
  <c r="S119" i="31"/>
  <c r="S116" i="31"/>
  <c r="S115" i="31"/>
  <c r="S112" i="31"/>
  <c r="S461" i="31"/>
  <c r="S452" i="31"/>
  <c r="S52" i="31"/>
  <c r="S51" i="31"/>
  <c r="S48" i="31"/>
  <c r="S47" i="31"/>
  <c r="S44" i="31"/>
  <c r="S43" i="31"/>
  <c r="S40" i="31"/>
  <c r="S39" i="31"/>
  <c r="S36" i="31"/>
  <c r="S35" i="31"/>
  <c r="S32" i="31"/>
  <c r="S76" i="31"/>
  <c r="S75" i="31"/>
  <c r="S72" i="31"/>
  <c r="S71" i="31"/>
  <c r="S68" i="31"/>
  <c r="S67" i="31"/>
  <c r="S64" i="31"/>
  <c r="S63" i="31"/>
  <c r="S60" i="31"/>
  <c r="S59" i="31"/>
  <c r="S56" i="31"/>
  <c r="S55" i="31"/>
  <c r="S96" i="31"/>
  <c r="S95" i="31"/>
  <c r="S92" i="31"/>
  <c r="S91" i="31"/>
  <c r="S88" i="31"/>
  <c r="S87" i="31"/>
  <c r="S84" i="31"/>
  <c r="S83" i="31"/>
  <c r="S80" i="31"/>
  <c r="S79" i="31"/>
  <c r="S31" i="31"/>
  <c r="S99" i="31"/>
  <c r="S100" i="31"/>
  <c r="S103" i="31"/>
  <c r="S104" i="31"/>
  <c r="S107" i="31"/>
  <c r="S108" i="31"/>
  <c r="S111" i="31"/>
  <c r="S508"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G574" i="3" s="1"/>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9"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G73" i="37" s="1"/>
  <c r="D71" i="37"/>
  <c r="H15" i="37"/>
  <c r="AB15" i="37" s="1"/>
  <c r="B68" i="37"/>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F35" i="35" s="1"/>
  <c r="B97" i="35"/>
  <c r="B77" i="35"/>
  <c r="B75" i="35"/>
  <c r="J24" i="35" s="1"/>
  <c r="AC24" i="35"/>
  <c r="B73" i="35"/>
  <c r="J23" i="35" s="1"/>
  <c r="AC23" i="35" s="1"/>
  <c r="B57" i="35"/>
  <c r="B61" i="35"/>
  <c r="B59" i="35"/>
  <c r="F12" i="35" s="1"/>
  <c r="B131" i="34"/>
  <c r="B129" i="34"/>
  <c r="B127" i="34"/>
  <c r="F45" i="34" s="1"/>
  <c r="S45" i="34" s="1"/>
  <c r="B99" i="34"/>
  <c r="B97" i="34"/>
  <c r="B95" i="34"/>
  <c r="B93" i="34"/>
  <c r="J29" i="34" s="1"/>
  <c r="B75" i="34"/>
  <c r="B73" i="34"/>
  <c r="B71" i="34"/>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W39" i="33" s="1"/>
  <c r="Q38" i="33"/>
  <c r="Z38" i="33" s="1"/>
  <c r="J38" i="33"/>
  <c r="AC38" i="33" s="1"/>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J44" i="21" s="1"/>
  <c r="AC44" i="21" s="1"/>
  <c r="B98" i="21"/>
  <c r="H31" i="21" s="1"/>
  <c r="B96" i="21"/>
  <c r="B94" i="21"/>
  <c r="J29" i="21"/>
  <c r="AC29" i="21" s="1"/>
  <c r="B92" i="21"/>
  <c r="B90" i="2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J35" i="39"/>
  <c r="AC35" i="39" s="1"/>
  <c r="F35" i="39"/>
  <c r="AA35" i="39"/>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s="1"/>
  <c r="F26" i="33"/>
  <c r="AA26" i="33" s="1"/>
  <c r="U35" i="33"/>
  <c r="S40" i="33"/>
  <c r="H39" i="37"/>
  <c r="F11" i="40"/>
  <c r="AA11" i="40"/>
  <c r="H11" i="40"/>
  <c r="AB11" i="40" s="1"/>
  <c r="W8" i="40"/>
  <c r="U9" i="40"/>
  <c r="U38" i="40"/>
  <c r="F42" i="39"/>
  <c r="AA42" i="39" s="1"/>
  <c r="F41" i="39"/>
  <c r="S41" i="39" s="1"/>
  <c r="H40" i="39"/>
  <c r="AB40" i="39" s="1"/>
  <c r="H39" i="39"/>
  <c r="U39" i="39" s="1"/>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H11" i="21"/>
  <c r="U11" i="21" s="1"/>
  <c r="J11" i="21"/>
  <c r="W11" i="21" s="1"/>
  <c r="H37" i="40"/>
  <c r="U37" i="40" s="1"/>
  <c r="H36" i="40"/>
  <c r="AB36" i="40" s="1"/>
  <c r="F35" i="40"/>
  <c r="AA35" i="40"/>
  <c r="H23" i="40"/>
  <c r="AB23" i="40" s="1"/>
  <c r="H17" i="40"/>
  <c r="U17" i="40" s="1"/>
  <c r="J15" i="40"/>
  <c r="W15" i="40" s="1"/>
  <c r="J11" i="40"/>
  <c r="W11" i="40"/>
  <c r="AB12" i="35"/>
  <c r="AB12" i="36"/>
  <c r="S44" i="39"/>
  <c r="J34" i="36"/>
  <c r="W34" i="36" s="1"/>
  <c r="U30" i="36"/>
  <c r="J30" i="35"/>
  <c r="W30" i="35" s="1"/>
  <c r="H30" i="35"/>
  <c r="AB30" i="35" s="1"/>
  <c r="F22" i="35"/>
  <c r="AA22" i="35"/>
  <c r="H10" i="35"/>
  <c r="U10" i="35" s="1"/>
  <c r="W30" i="36"/>
  <c r="H16" i="36"/>
  <c r="J29" i="36"/>
  <c r="AC29" i="36" s="1"/>
  <c r="F12" i="36"/>
  <c r="S12" i="36" s="1"/>
  <c r="F24" i="36"/>
  <c r="AA24" i="36"/>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F15" i="34"/>
  <c r="AA15" i="34" s="1"/>
  <c r="J15" i="34"/>
  <c r="H15" i="34"/>
  <c r="J28" i="34"/>
  <c r="W28" i="34"/>
  <c r="F41" i="33"/>
  <c r="AA41" i="33" s="1"/>
  <c r="S38" i="33"/>
  <c r="E113" i="33"/>
  <c r="F32" i="33"/>
  <c r="AA32" i="33" s="1"/>
  <c r="J19" i="33"/>
  <c r="W19" i="33" s="1"/>
  <c r="F11" i="33"/>
  <c r="AA11" i="33" s="1"/>
  <c r="S26" i="33"/>
  <c r="U40" i="33"/>
  <c r="F37" i="40"/>
  <c r="AA37" i="40"/>
  <c r="F36" i="40"/>
  <c r="AA36" i="40" s="1"/>
  <c r="H28" i="40"/>
  <c r="U28" i="40" s="1"/>
  <c r="F23" i="40"/>
  <c r="AA23" i="40" s="1"/>
  <c r="F17" i="40"/>
  <c r="AA17" i="40" s="1"/>
  <c r="J17" i="40"/>
  <c r="F15" i="40"/>
  <c r="S15" i="40" s="1"/>
  <c r="H15" i="40"/>
  <c r="AB15" i="40"/>
  <c r="AC11" i="40"/>
  <c r="AA12" i="36"/>
  <c r="AB30" i="36"/>
  <c r="F29" i="35"/>
  <c r="H29" i="35"/>
  <c r="AB29" i="35" s="1"/>
  <c r="H33" i="37"/>
  <c r="F33" i="37"/>
  <c r="AA33" i="37" s="1"/>
  <c r="U34" i="37"/>
  <c r="J43" i="34"/>
  <c r="AB42" i="34"/>
  <c r="J40" i="34"/>
  <c r="H38" i="34"/>
  <c r="AB38" i="34" s="1"/>
  <c r="J36" i="34"/>
  <c r="W36" i="34" s="1"/>
  <c r="H37" i="34"/>
  <c r="U37" i="34" s="1"/>
  <c r="H25" i="34"/>
  <c r="AB25" i="34" s="1"/>
  <c r="J25" i="34"/>
  <c r="AC25" i="34" s="1"/>
  <c r="AB23" i="34"/>
  <c r="F23" i="34"/>
  <c r="J19" i="34"/>
  <c r="AC19" i="34" s="1"/>
  <c r="F17" i="34"/>
  <c r="AA17" i="34"/>
  <c r="J17" i="34"/>
  <c r="W17" i="34" s="1"/>
  <c r="F113" i="33"/>
  <c r="G113" i="33" s="1"/>
  <c r="H113" i="33" s="1"/>
  <c r="I113" i="33" s="1"/>
  <c r="J113" i="33" s="1"/>
  <c r="K113" i="33" s="1"/>
  <c r="L113" i="33" s="1"/>
  <c r="M113" i="33" s="1"/>
  <c r="H37" i="33"/>
  <c r="AB37" i="33" s="1"/>
  <c r="H11" i="33"/>
  <c r="AB11" i="33" s="1"/>
  <c r="F28" i="40"/>
  <c r="AA28" i="40"/>
  <c r="AA42" i="34"/>
  <c r="AC38" i="34"/>
  <c r="J37" i="34"/>
  <c r="AC37" i="34" s="1"/>
  <c r="J11" i="33"/>
  <c r="W11" i="33" s="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c r="F44" i="21"/>
  <c r="AA44" i="21" s="1"/>
  <c r="F46" i="21"/>
  <c r="AA46" i="21" s="1"/>
  <c r="E119" i="21"/>
  <c r="F119" i="21" s="1"/>
  <c r="G119" i="21" s="1"/>
  <c r="H119" i="21" s="1"/>
  <c r="I119" i="21" s="1"/>
  <c r="J119" i="21" s="1"/>
  <c r="K119" i="21" s="1"/>
  <c r="L119" i="21" s="1"/>
  <c r="M119" i="21" s="1"/>
  <c r="H26" i="33"/>
  <c r="U26" i="33"/>
  <c r="F28" i="33"/>
  <c r="AA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U29" i="21" s="1"/>
  <c r="J31" i="21"/>
  <c r="AC31" i="21" s="1"/>
  <c r="F31" i="21"/>
  <c r="S31" i="21" s="1"/>
  <c r="F45" i="21"/>
  <c r="AA45" i="21" s="1"/>
  <c r="F27" i="33"/>
  <c r="S27" i="33" s="1"/>
  <c r="J29" i="33"/>
  <c r="H29" i="33"/>
  <c r="U29" i="33"/>
  <c r="F29" i="33"/>
  <c r="S29" i="33" s="1"/>
  <c r="J31" i="33"/>
  <c r="H45" i="33"/>
  <c r="U45" i="33" s="1"/>
  <c r="J45" i="33"/>
  <c r="W45" i="33" s="1"/>
  <c r="F45" i="33"/>
  <c r="AA45" i="33"/>
  <c r="J14" i="34"/>
  <c r="W14" i="34" s="1"/>
  <c r="F14" i="34"/>
  <c r="S14" i="34" s="1"/>
  <c r="H14" i="34"/>
  <c r="H32" i="34"/>
  <c r="F32" i="34"/>
  <c r="J32" i="34"/>
  <c r="W32" i="34" s="1"/>
  <c r="H11" i="35"/>
  <c r="AB11" i="35" s="1"/>
  <c r="J26" i="36"/>
  <c r="W26" i="36" s="1"/>
  <c r="H28" i="36"/>
  <c r="U28" i="36" s="1"/>
  <c r="H32" i="36"/>
  <c r="AB32" i="36" s="1"/>
  <c r="J32" i="36"/>
  <c r="W32"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J25" i="36"/>
  <c r="W25" i="36"/>
  <c r="F25" i="36"/>
  <c r="S25" i="36" s="1"/>
  <c r="H25" i="36"/>
  <c r="AB25" i="36" s="1"/>
  <c r="H13" i="37"/>
  <c r="AB13" i="37" s="1"/>
  <c r="F13" i="37"/>
  <c r="S13" i="37"/>
  <c r="J13" i="37"/>
  <c r="W13" i="37" s="1"/>
  <c r="F28" i="37"/>
  <c r="AA28" i="37" s="1"/>
  <c r="J28" i="37"/>
  <c r="AC28" i="37"/>
  <c r="H28" i="37"/>
  <c r="H38" i="37"/>
  <c r="AB38" i="37"/>
  <c r="J38" i="37"/>
  <c r="F38" i="37"/>
  <c r="S38" i="37"/>
  <c r="F43" i="39"/>
  <c r="AA43" i="39" s="1"/>
  <c r="H43" i="39"/>
  <c r="J14" i="39"/>
  <c r="AC14" i="39" s="1"/>
  <c r="F14" i="39"/>
  <c r="H14" i="39"/>
  <c r="U14" i="39" s="1"/>
  <c r="AB14" i="39"/>
  <c r="F12" i="40"/>
  <c r="S12" i="40"/>
  <c r="H12" i="40"/>
  <c r="AB12" i="40"/>
  <c r="H30" i="40"/>
  <c r="AB30" i="40" s="1"/>
  <c r="F33" i="40"/>
  <c r="AA33" i="40"/>
  <c r="H33" i="40"/>
  <c r="U33" i="40" s="1"/>
  <c r="J35" i="40"/>
  <c r="W35" i="40" s="1"/>
  <c r="AC35" i="40"/>
  <c r="J37" i="40"/>
  <c r="AC37" i="40" s="1"/>
  <c r="H13" i="40"/>
  <c r="U13" i="40"/>
  <c r="J13" i="40"/>
  <c r="W13" i="40" s="1"/>
  <c r="F13" i="40"/>
  <c r="AA13" i="40"/>
  <c r="F27" i="37"/>
  <c r="AA27" i="37"/>
  <c r="F13" i="39"/>
  <c r="J13" i="39"/>
  <c r="W13" i="39" s="1"/>
  <c r="H13" i="39"/>
  <c r="H14" i="40"/>
  <c r="AB14" i="40" s="1"/>
  <c r="J27" i="37"/>
  <c r="AC27" i="37"/>
  <c r="AA44" i="33"/>
  <c r="U46" i="33"/>
  <c r="AA14" i="33"/>
  <c r="J36" i="37"/>
  <c r="AC36" i="37"/>
  <c r="J10" i="36"/>
  <c r="AC10" i="36" s="1"/>
  <c r="AB26" i="33"/>
  <c r="AB30" i="21"/>
  <c r="W31" i="34"/>
  <c r="AA14" i="34"/>
  <c r="S45" i="33"/>
  <c r="AC28" i="21"/>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64" i="3"/>
  <c r="G560" i="3"/>
  <c r="G554" i="3"/>
  <c r="G550" i="3"/>
  <c r="BL584" i="3"/>
  <c r="BL580" i="3"/>
  <c r="BL568" i="3"/>
  <c r="BL564" i="3"/>
  <c r="BL560" i="3"/>
  <c r="BL554" i="3"/>
  <c r="BL546" i="3"/>
  <c r="BL542" i="3"/>
  <c r="BL538" i="3"/>
  <c r="BL534" i="3"/>
  <c r="BL530" i="3"/>
  <c r="BL526" i="3"/>
  <c r="BL522" i="3"/>
  <c r="BL516" i="3"/>
  <c r="BL512" i="3"/>
  <c r="BL506" i="3"/>
  <c r="AZ506" i="3" s="1"/>
  <c r="BL502" i="3"/>
  <c r="BL498" i="3"/>
  <c r="BL494" i="3"/>
  <c r="BL582"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78" i="3"/>
  <c r="BA576" i="3"/>
  <c r="AZ576" i="3" s="1"/>
  <c r="BA570" i="3"/>
  <c r="AZ570" i="3" s="1"/>
  <c r="BA568" i="3"/>
  <c r="BA564" i="3"/>
  <c r="BA562" i="3"/>
  <c r="BA560" i="3"/>
  <c r="BA558" i="3"/>
  <c r="BA556" i="3"/>
  <c r="AZ556" i="3" s="1"/>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BA510" i="3"/>
  <c r="AZ510" i="3"/>
  <c r="BA508" i="3"/>
  <c r="BA506" i="3"/>
  <c r="BA504" i="3"/>
  <c r="AZ504" i="3"/>
  <c r="BA502" i="3"/>
  <c r="BA500" i="3"/>
  <c r="BA498" i="3"/>
  <c r="AZ498" i="3"/>
  <c r="BA496" i="3"/>
  <c r="BA494" i="3"/>
  <c r="BA587" i="3"/>
  <c r="BA579" i="3"/>
  <c r="BA577" i="3"/>
  <c r="BA571" i="3"/>
  <c r="AZ571" i="3" s="1"/>
  <c r="BA569"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AZ560" i="3"/>
  <c r="G583" i="3"/>
  <c r="G577" i="3"/>
  <c r="G575" i="3"/>
  <c r="G569" i="3"/>
  <c r="G567" i="3"/>
  <c r="G565" i="3"/>
  <c r="G563" i="3"/>
  <c r="G561" i="3"/>
  <c r="BL558" i="3"/>
  <c r="BA557" i="3"/>
  <c r="AC557" i="3"/>
  <c r="G557" i="3" s="1"/>
  <c r="BQ557" i="3"/>
  <c r="BL557" i="3" s="1"/>
  <c r="BQ583" i="3"/>
  <c r="BL583" i="3" s="1"/>
  <c r="BQ581" i="3"/>
  <c r="BQ579" i="3"/>
  <c r="BL579" i="3"/>
  <c r="BQ577" i="3"/>
  <c r="BQ575" i="3"/>
  <c r="BL575" i="3"/>
  <c r="BQ573" i="3"/>
  <c r="BL573" i="3" s="1"/>
  <c r="AZ573" i="3" s="1"/>
  <c r="BQ571" i="3"/>
  <c r="BQ569" i="3"/>
  <c r="BL569" i="3" s="1"/>
  <c r="AZ569" i="3" s="1"/>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s="1"/>
  <c r="BQ497" i="3"/>
  <c r="BL497" i="3" s="1"/>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s="1"/>
  <c r="F37" i="37"/>
  <c r="S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U14" i="40"/>
  <c r="W23" i="35"/>
  <c r="U26" i="37"/>
  <c r="W47" i="34"/>
  <c r="AC36" i="34"/>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19" i="40"/>
  <c r="AC13" i="40"/>
  <c r="AB33" i="40"/>
  <c r="W23" i="39"/>
  <c r="AC43" i="39"/>
  <c r="W43" i="39"/>
  <c r="U45" i="39"/>
  <c r="AB45" i="39"/>
  <c r="AB44" i="39"/>
  <c r="U44" i="39"/>
  <c r="H37" i="39"/>
  <c r="AB37" i="39" s="1"/>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s="1"/>
  <c r="F11" i="39"/>
  <c r="S11" i="39" s="1"/>
  <c r="AA11" i="39"/>
  <c r="G4" i="4"/>
  <c r="I4" i="4"/>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55" i="3"/>
  <c r="AZ168"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AZ388" i="3" s="1"/>
  <c r="G389" i="3"/>
  <c r="BA391" i="3"/>
  <c r="AZ391" i="3" s="1"/>
  <c r="BL392" i="3"/>
  <c r="G393" i="3"/>
  <c r="BO5" i="3"/>
  <c r="BH5" i="3"/>
  <c r="BF5" i="3"/>
  <c r="AZ341" i="3"/>
  <c r="AC5" i="3"/>
  <c r="AZ496" i="3"/>
  <c r="G548" i="3"/>
  <c r="G538" i="3"/>
  <c r="G520" i="3"/>
  <c r="G502" i="3"/>
  <c r="BG5" i="3"/>
  <c r="G17" i="3"/>
  <c r="BA17" i="3"/>
  <c r="AZ350" i="3"/>
  <c r="AZ356" i="3"/>
  <c r="AZ368" i="3"/>
  <c r="AZ380" i="3"/>
  <c r="AZ392" i="3"/>
  <c r="AZ509" i="3"/>
  <c r="G509" i="3"/>
  <c r="BL493" i="3"/>
  <c r="AZ493" i="3"/>
  <c r="U36" i="40"/>
  <c r="F83" i="43"/>
  <c r="H85" i="43" s="1"/>
  <c r="F50" i="43"/>
  <c r="H54" i="43" s="1"/>
  <c r="F72" i="43"/>
  <c r="H75" i="43" s="1"/>
  <c r="U17" i="39"/>
  <c r="S14" i="35"/>
  <c r="U43" i="21"/>
  <c r="U35" i="21"/>
  <c r="AC35" i="21"/>
  <c r="G8" i="1"/>
  <c r="G10" i="1"/>
  <c r="AC11" i="39"/>
  <c r="AZ563" i="3"/>
  <c r="W37" i="37"/>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27" i="3"/>
  <c r="AZ235" i="3"/>
  <c r="AZ248" i="3"/>
  <c r="AZ259" i="3"/>
  <c r="AZ271" i="3"/>
  <c r="AZ133" i="3"/>
  <c r="AZ74"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W12" i="33"/>
  <c r="AC12" i="33"/>
  <c r="AA32" i="36"/>
  <c r="S32" i="36"/>
  <c r="BL14" i="3"/>
  <c r="U30" i="33"/>
  <c r="W28" i="37"/>
  <c r="S19" i="39"/>
  <c r="F12" i="33"/>
  <c r="H12" i="39"/>
  <c r="AB12" i="39"/>
  <c r="F39" i="40"/>
  <c r="BA14" i="3"/>
  <c r="AZ250" i="3"/>
  <c r="AZ286"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5" i="40"/>
  <c r="AB27" i="40"/>
  <c r="S30" i="40"/>
  <c r="S28" i="40"/>
  <c r="AA27" i="40"/>
  <c r="U21" i="40"/>
  <c r="AB19"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AC13" i="39"/>
  <c r="U12" i="39"/>
  <c r="U13" i="36"/>
  <c r="U26" i="36"/>
  <c r="AA26" i="36"/>
  <c r="AA34" i="36"/>
  <c r="AC26" i="36"/>
  <c r="AA22" i="36"/>
  <c r="AB14" i="36"/>
  <c r="U22" i="36"/>
  <c r="S16" i="36"/>
  <c r="AA25" i="36"/>
  <c r="S24" i="36"/>
  <c r="U24" i="36"/>
  <c r="AB20" i="36"/>
  <c r="S14" i="36"/>
  <c r="AA25" i="35"/>
  <c r="S23" i="35"/>
  <c r="W24" i="35"/>
  <c r="AB13" i="35"/>
  <c r="U29" i="35"/>
  <c r="U28" i="35"/>
  <c r="AB27" i="35"/>
  <c r="U36" i="35"/>
  <c r="U32" i="35"/>
  <c r="AC30" i="35"/>
  <c r="S32" i="35"/>
  <c r="AA36" i="35"/>
  <c r="S28" i="35"/>
  <c r="AB16" i="35"/>
  <c r="U22" i="35"/>
  <c r="AC20" i="35"/>
  <c r="S22" i="35"/>
  <c r="U14" i="35"/>
  <c r="AC12" i="35"/>
  <c r="W13" i="35"/>
  <c r="F9" i="35"/>
  <c r="S9" i="35" s="1"/>
  <c r="H9" i="35"/>
  <c r="U9" i="35" s="1"/>
  <c r="W27" i="37"/>
  <c r="U29" i="37"/>
  <c r="S32" i="37"/>
  <c r="AB31" i="37"/>
  <c r="W30" i="37"/>
  <c r="S36" i="37"/>
  <c r="AA38" i="37"/>
  <c r="AC35" i="37"/>
  <c r="W39" i="37"/>
  <c r="S30" i="37"/>
  <c r="AC15" i="37"/>
  <c r="J17" i="37"/>
  <c r="W17" i="37" s="1"/>
  <c r="F17" i="37"/>
  <c r="AA17" i="37" s="1"/>
  <c r="AB17" i="37"/>
  <c r="F75" i="37"/>
  <c r="F19" i="37"/>
  <c r="S19" i="37" s="1"/>
  <c r="F79" i="37"/>
  <c r="F23" i="37"/>
  <c r="S23" i="37" s="1"/>
  <c r="U23" i="37"/>
  <c r="U15" i="37"/>
  <c r="AC13" i="37"/>
  <c r="AA13" i="37"/>
  <c r="H10" i="37"/>
  <c r="AB10" i="37" s="1"/>
  <c r="F11" i="37"/>
  <c r="S11" i="37" s="1"/>
  <c r="W25" i="34"/>
  <c r="AA33" i="34"/>
  <c r="U43" i="34"/>
  <c r="AC39" i="34"/>
  <c r="AC42" i="34"/>
  <c r="AB35" i="34"/>
  <c r="U39" i="34"/>
  <c r="AB41" i="34"/>
  <c r="AA45" i="34"/>
  <c r="AA25" i="34"/>
  <c r="S17" i="34"/>
  <c r="AA29" i="34"/>
  <c r="U27" i="34"/>
  <c r="S13" i="34"/>
  <c r="H10" i="34"/>
  <c r="AB10" i="34" s="1"/>
  <c r="F11" i="34"/>
  <c r="S11" i="34" s="1"/>
  <c r="W42" i="33"/>
  <c r="AA29" i="33"/>
  <c r="AB29"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U27" i="33" s="1"/>
  <c r="H25" i="33"/>
  <c r="U25" i="33" s="1"/>
  <c r="F25" i="33"/>
  <c r="AA25" i="33" s="1"/>
  <c r="J23" i="33"/>
  <c r="AC23" i="33" s="1"/>
  <c r="H23" i="33"/>
  <c r="AB23" i="33" s="1"/>
  <c r="F81" i="33"/>
  <c r="F19" i="33"/>
  <c r="S19" i="33" s="1"/>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U39" i="33"/>
  <c r="U38" i="33"/>
  <c r="S33" i="33"/>
  <c r="U44" i="33"/>
  <c r="AB44" i="33"/>
  <c r="S30" i="33"/>
  <c r="AA30" i="33"/>
  <c r="AC14" i="33"/>
  <c r="W14" i="33"/>
  <c r="AC30" i="33"/>
  <c r="W30" i="33"/>
  <c r="U37"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J36" i="33"/>
  <c r="W36" i="33" s="1"/>
  <c r="H36" i="33"/>
  <c r="U36" i="33" s="1"/>
  <c r="G91" i="33"/>
  <c r="H91" i="33"/>
  <c r="I91" i="33" s="1"/>
  <c r="J91" i="33" s="1"/>
  <c r="K91" i="33" s="1"/>
  <c r="L91" i="33" s="1"/>
  <c r="M91" i="33" s="1"/>
  <c r="J27" i="33"/>
  <c r="W27" i="33" s="1"/>
  <c r="J25" i="33"/>
  <c r="W25" i="33" s="1"/>
  <c r="F23" i="33"/>
  <c r="H19" i="33"/>
  <c r="U19" i="33" s="1"/>
  <c r="G81" i="33"/>
  <c r="H17" i="33"/>
  <c r="U17" i="33" s="1"/>
  <c r="F17" i="33"/>
  <c r="S17" i="33" s="1"/>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C25" i="33"/>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6" i="15"/>
  <c r="F42" i="67"/>
  <c r="F40" i="67"/>
  <c r="E12" i="76"/>
  <c r="E8" i="76"/>
  <c r="C76" i="67"/>
  <c r="M9" i="15"/>
  <c r="F37" i="67"/>
  <c r="E2" i="69"/>
  <c r="M23" i="67"/>
  <c r="F9" i="67"/>
  <c r="F13" i="67"/>
  <c r="B10" i="76"/>
  <c r="F8" i="67"/>
  <c r="F36" i="15"/>
  <c r="F6" i="67"/>
  <c r="F16" i="67"/>
  <c r="M24" i="67"/>
  <c r="F26" i="67"/>
  <c r="E2" i="68"/>
  <c r="F7" i="15"/>
  <c r="M23" i="15"/>
  <c r="E13" i="76"/>
  <c r="F8" i="15"/>
  <c r="F20" i="31"/>
  <c r="M9" i="67"/>
  <c r="F37" i="15"/>
  <c r="M6" i="67"/>
  <c r="B9" i="76"/>
  <c r="M26" i="15"/>
  <c r="F43" i="15"/>
  <c r="M29" i="15"/>
  <c r="B8" i="76"/>
  <c r="B13" i="76"/>
  <c r="M8" i="15"/>
  <c r="F36" i="67"/>
  <c r="B12" i="76"/>
  <c r="M22" i="67"/>
  <c r="F16" i="15"/>
  <c r="F7" i="67"/>
  <c r="E7" i="76"/>
  <c r="D6" i="73"/>
  <c r="F40" i="15"/>
  <c r="L47" i="67"/>
  <c r="C76" i="15"/>
  <c r="F7" i="73"/>
  <c r="B7" i="76"/>
  <c r="F5" i="73"/>
  <c r="F9" i="15"/>
  <c r="B11" i="76"/>
  <c r="F4" i="73"/>
  <c r="M22" i="15"/>
  <c r="F43" i="67"/>
  <c r="AO13" i="1"/>
  <c r="M8" i="67"/>
  <c r="L48" i="15"/>
  <c r="M6" i="15"/>
  <c r="F38" i="67"/>
  <c r="E9" i="76"/>
  <c r="F26" i="15"/>
  <c r="J15" i="15"/>
  <c r="F42" i="15"/>
  <c r="L48" i="67"/>
  <c r="M28" i="67"/>
  <c r="M28" i="15"/>
  <c r="M29" i="67"/>
  <c r="L47" i="15"/>
  <c r="E11" i="76"/>
  <c r="J15" i="67"/>
  <c r="F6" i="73"/>
  <c r="F38" i="15"/>
  <c r="F3" i="73"/>
  <c r="M24" i="15"/>
  <c r="F13" i="15"/>
  <c r="M26" i="67"/>
  <c r="W46" i="33" l="1"/>
  <c r="AC39" i="33"/>
  <c r="W38" i="33"/>
  <c r="AC37" i="33"/>
  <c r="AB36" i="33"/>
  <c r="S36" i="33"/>
  <c r="AC34" i="33"/>
  <c r="AB34" i="33"/>
  <c r="S25" i="33"/>
  <c r="AB25" i="33"/>
  <c r="F15" i="33"/>
  <c r="AA15" i="33" s="1"/>
  <c r="H15" i="33"/>
  <c r="AB15" i="33" s="1"/>
  <c r="J15" i="33"/>
  <c r="AC15" i="33" s="1"/>
  <c r="AA27" i="33"/>
  <c r="W32" i="33"/>
  <c r="U33" i="33"/>
  <c r="S32" i="33"/>
  <c r="S11" i="33"/>
  <c r="S28" i="33"/>
  <c r="U23" i="33"/>
  <c r="AC21" i="33"/>
  <c r="S21" i="33"/>
  <c r="AC19" i="33"/>
  <c r="AB19" i="33"/>
  <c r="AA19" i="33"/>
  <c r="AC17" i="33"/>
  <c r="S15" i="33"/>
  <c r="U15" i="33"/>
  <c r="W15" i="33"/>
  <c r="W9" i="33"/>
  <c r="F9" i="33"/>
  <c r="AA9" i="33" s="1"/>
  <c r="U9" i="33"/>
  <c r="W8" i="33"/>
  <c r="D51" i="43"/>
  <c r="D53" i="43"/>
  <c r="H69" i="43"/>
  <c r="F31" i="12"/>
  <c r="F28" i="15"/>
  <c r="F32" i="67"/>
  <c r="F60" i="67" s="1"/>
  <c r="F28" i="67"/>
  <c r="C28" i="67" s="1"/>
  <c r="D68" i="9"/>
  <c r="F30" i="69"/>
  <c r="F48" i="69" s="1"/>
  <c r="M18" i="15"/>
  <c r="M18" i="67"/>
  <c r="F30" i="11"/>
  <c r="C48" i="11" s="1"/>
  <c r="C40" i="68"/>
  <c r="C21" i="68"/>
  <c r="C5" i="68"/>
  <c r="G1" i="69"/>
  <c r="K1" i="12"/>
  <c r="H5" i="3"/>
  <c r="BA15" i="3"/>
  <c r="BT5" i="3"/>
  <c r="BK5" i="3"/>
  <c r="A2" i="9"/>
  <c r="A4" i="52"/>
  <c r="B41" i="72" s="1"/>
  <c r="S19" i="40"/>
  <c r="AA19" i="40"/>
  <c r="AC41" i="34"/>
  <c r="W41" i="34"/>
  <c r="AB28" i="34"/>
  <c r="U28" i="34"/>
  <c r="AC38" i="37"/>
  <c r="W38" i="37"/>
  <c r="AC40" i="37"/>
  <c r="W40" i="37"/>
  <c r="AC14" i="36"/>
  <c r="W14" i="36"/>
  <c r="AA23" i="34"/>
  <c r="S23" i="34"/>
  <c r="AB15" i="34"/>
  <c r="U15" i="34"/>
  <c r="AA28" i="34"/>
  <c r="S28" i="34"/>
  <c r="H27" i="21"/>
  <c r="J27" i="21"/>
  <c r="F27" i="21"/>
  <c r="H46" i="21"/>
  <c r="J46" i="21"/>
  <c r="F9" i="34"/>
  <c r="AA9" i="34" s="1"/>
  <c r="J9" i="34"/>
  <c r="H9" i="34"/>
  <c r="H13" i="33"/>
  <c r="U13" i="33" s="1"/>
  <c r="J13" i="33"/>
  <c r="F13" i="33"/>
  <c r="H31" i="33"/>
  <c r="F31" i="33"/>
  <c r="J12" i="34"/>
  <c r="H12" i="34"/>
  <c r="F12" i="34"/>
  <c r="S12" i="34" s="1"/>
  <c r="H30" i="34"/>
  <c r="J30" i="34"/>
  <c r="W30" i="34" s="1"/>
  <c r="F30" i="34"/>
  <c r="H46" i="34"/>
  <c r="F46" i="34"/>
  <c r="J46" i="34"/>
  <c r="J11" i="35"/>
  <c r="F11" i="35"/>
  <c r="H25" i="37"/>
  <c r="F25" i="37"/>
  <c r="U8" i="39"/>
  <c r="AB8" i="39"/>
  <c r="AA38" i="39"/>
  <c r="S38" i="39"/>
  <c r="F36" i="39"/>
  <c r="H36" i="39"/>
  <c r="J36" i="39"/>
  <c r="AC36" i="39" s="1"/>
  <c r="BA583" i="3"/>
  <c r="AZ583" i="3" s="1"/>
  <c r="AZ582" i="3"/>
  <c r="AZ580" i="3"/>
  <c r="AZ575" i="3"/>
  <c r="BJ5" i="3"/>
  <c r="AZ574" i="3"/>
  <c r="BN5" i="3"/>
  <c r="G29" i="6" s="1"/>
  <c r="BE5" i="3"/>
  <c r="AA17" i="33"/>
  <c r="AA43" i="34"/>
  <c r="S43" i="34"/>
  <c r="AA20" i="35"/>
  <c r="AZ384" i="3"/>
  <c r="AZ372" i="3"/>
  <c r="AZ309" i="3"/>
  <c r="AA37" i="37"/>
  <c r="AZ521" i="3"/>
  <c r="AZ558" i="3"/>
  <c r="AZ568" i="3"/>
  <c r="W13" i="34"/>
  <c r="AC13" i="34"/>
  <c r="W31" i="33"/>
  <c r="AC31" i="33"/>
  <c r="S33" i="35"/>
  <c r="AA33" i="35"/>
  <c r="W17" i="40"/>
  <c r="AC17" i="40"/>
  <c r="AB32" i="33"/>
  <c r="U32" i="33"/>
  <c r="BA586" i="3"/>
  <c r="BL585" i="3"/>
  <c r="BA585" i="3"/>
  <c r="AC33" i="33"/>
  <c r="W33" i="33"/>
  <c r="U8" i="34"/>
  <c r="AB8" i="34"/>
  <c r="AC9" i="35"/>
  <c r="W9" i="35"/>
  <c r="F40" i="37"/>
  <c r="H40" i="37"/>
  <c r="J14" i="40"/>
  <c r="F14" i="40"/>
  <c r="AC31" i="40"/>
  <c r="W31" i="40"/>
  <c r="J39" i="40"/>
  <c r="H39" i="40"/>
  <c r="S34" i="37"/>
  <c r="AA34" i="37"/>
  <c r="AB32" i="37"/>
  <c r="U32" i="37"/>
  <c r="AZ525" i="3"/>
  <c r="AZ561" i="3"/>
  <c r="AZ499" i="3"/>
  <c r="AZ512" i="3"/>
  <c r="S29" i="35"/>
  <c r="AA29" i="35"/>
  <c r="AB16" i="36"/>
  <c r="U16" i="36"/>
  <c r="AB39" i="37"/>
  <c r="U39" i="37"/>
  <c r="H14" i="37"/>
  <c r="AB14" i="37" s="1"/>
  <c r="F14" i="37"/>
  <c r="J14" i="37"/>
  <c r="AC14" i="37" s="1"/>
  <c r="AB34" i="40"/>
  <c r="U34" i="40"/>
  <c r="U23" i="21"/>
  <c r="AC27" i="33"/>
  <c r="AC23" i="37"/>
  <c r="AC9" i="21"/>
  <c r="D6" i="52"/>
  <c r="AB27" i="33"/>
  <c r="S17" i="37"/>
  <c r="S13" i="21"/>
  <c r="AA35" i="33"/>
  <c r="AZ342" i="3"/>
  <c r="AZ337" i="3"/>
  <c r="AA15" i="37"/>
  <c r="S15" i="37"/>
  <c r="AZ533" i="3"/>
  <c r="AZ579" i="3"/>
  <c r="AA11" i="36"/>
  <c r="S11" i="36"/>
  <c r="J9" i="37"/>
  <c r="W9" i="37" s="1"/>
  <c r="H9" i="37"/>
  <c r="U9" i="37" s="1"/>
  <c r="S9" i="40"/>
  <c r="AA9" i="40"/>
  <c r="BM5" i="3"/>
  <c r="F29" i="6" s="1"/>
  <c r="BD5" i="3"/>
  <c r="BL567" i="3"/>
  <c r="AZ566" i="3"/>
  <c r="AC40" i="33"/>
  <c r="W40" i="33"/>
  <c r="AC8" i="34"/>
  <c r="W8" i="34"/>
  <c r="J37" i="39"/>
  <c r="F37" i="39"/>
  <c r="S38" i="34"/>
  <c r="AA38" i="34"/>
  <c r="BA551" i="3"/>
  <c r="AZ551" i="3" s="1"/>
  <c r="BA550" i="3"/>
  <c r="AC29" i="37"/>
  <c r="AA47" i="34"/>
  <c r="BB5" i="3"/>
  <c r="E15" i="6" s="1"/>
  <c r="E64" i="39" s="1"/>
  <c r="BC5" i="3"/>
  <c r="AZ387" i="3"/>
  <c r="AZ370" i="3"/>
  <c r="AZ362" i="3"/>
  <c r="AZ338" i="3"/>
  <c r="AZ307" i="3"/>
  <c r="AZ390" i="3"/>
  <c r="AZ371" i="3"/>
  <c r="AZ351" i="3"/>
  <c r="AZ336" i="3"/>
  <c r="AZ305" i="3"/>
  <c r="AZ204" i="3"/>
  <c r="AZ187" i="3"/>
  <c r="AZ140" i="3"/>
  <c r="AZ360" i="3"/>
  <c r="AZ539" i="3"/>
  <c r="AZ529" i="3"/>
  <c r="AZ537" i="3"/>
  <c r="AZ518" i="3"/>
  <c r="AZ526" i="3"/>
  <c r="AZ546" i="3"/>
  <c r="AZ564" i="3"/>
  <c r="BA572" i="3"/>
  <c r="AZ572" i="3" s="1"/>
  <c r="BL572" i="3"/>
  <c r="AB45" i="33"/>
  <c r="S41" i="33"/>
  <c r="H28" i="33"/>
  <c r="J28" i="33"/>
  <c r="AA27" i="35"/>
  <c r="S27" i="35"/>
  <c r="H23" i="36"/>
  <c r="J23" i="36"/>
  <c r="J33" i="36"/>
  <c r="AC33" i="36" s="1"/>
  <c r="F33" i="36"/>
  <c r="H31" i="39"/>
  <c r="J31" i="39"/>
  <c r="AZ14" i="3"/>
  <c r="AZ318" i="3"/>
  <c r="AZ304" i="3"/>
  <c r="AZ306" i="3"/>
  <c r="AZ535" i="3"/>
  <c r="BL577" i="3"/>
  <c r="AZ577" i="3" s="1"/>
  <c r="AZ557" i="3"/>
  <c r="AZ513" i="3"/>
  <c r="AZ548" i="3"/>
  <c r="AZ540" i="3"/>
  <c r="AZ502" i="3"/>
  <c r="U17" i="34"/>
  <c r="AB17" i="34"/>
  <c r="W32" i="40"/>
  <c r="F23" i="36"/>
  <c r="AB9" i="39"/>
  <c r="U9" i="39"/>
  <c r="AC40" i="39"/>
  <c r="W40" i="39"/>
  <c r="AA34" i="40"/>
  <c r="S34" i="40"/>
  <c r="G566" i="3"/>
  <c r="G558" i="3"/>
  <c r="AZ402" i="3"/>
  <c r="AZ403" i="3"/>
  <c r="B79" i="43"/>
  <c r="H23" i="35"/>
  <c r="G551" i="3"/>
  <c r="BL550" i="3"/>
  <c r="G542" i="3"/>
  <c r="BA400" i="3"/>
  <c r="AZ400" i="3" s="1"/>
  <c r="BL401" i="3"/>
  <c r="AZ407" i="3"/>
  <c r="BL408" i="3"/>
  <c r="BL413" i="3"/>
  <c r="G416" i="3"/>
  <c r="BL432" i="3"/>
  <c r="G438" i="3"/>
  <c r="AZ476" i="3"/>
  <c r="AZ480" i="3"/>
  <c r="G585" i="3"/>
  <c r="BL587" i="3"/>
  <c r="AZ587" i="3" s="1"/>
  <c r="BL586" i="3"/>
  <c r="BL15" i="3"/>
  <c r="AZ15" i="3" s="1"/>
  <c r="BA398" i="3"/>
  <c r="BA399" i="3"/>
  <c r="AZ399" i="3" s="1"/>
  <c r="BA401" i="3"/>
  <c r="AZ401" i="3" s="1"/>
  <c r="G404" i="3"/>
  <c r="BL409" i="3"/>
  <c r="G410" i="3"/>
  <c r="BL410" i="3"/>
  <c r="AZ410" i="3" s="1"/>
  <c r="G412" i="3"/>
  <c r="BL419" i="3"/>
  <c r="AZ419" i="3" s="1"/>
  <c r="BL420" i="3"/>
  <c r="G423" i="3"/>
  <c r="BA424" i="3"/>
  <c r="BL427" i="3"/>
  <c r="AZ469" i="3"/>
  <c r="BL548" i="3"/>
  <c r="G403" i="3"/>
  <c r="BA404" i="3"/>
  <c r="BA405" i="3"/>
  <c r="BA413" i="3"/>
  <c r="BL416" i="3"/>
  <c r="G418" i="3"/>
  <c r="BL428" i="3"/>
  <c r="BL429" i="3"/>
  <c r="BL433" i="3"/>
  <c r="BL434" i="3"/>
  <c r="G436" i="3"/>
  <c r="BL438" i="3"/>
  <c r="BL439" i="3"/>
  <c r="BA441" i="3"/>
  <c r="BL445" i="3"/>
  <c r="BL446" i="3"/>
  <c r="BL449" i="3"/>
  <c r="BL450" i="3"/>
  <c r="AZ450" i="3" s="1"/>
  <c r="BL452" i="3"/>
  <c r="G454" i="3"/>
  <c r="BL456" i="3"/>
  <c r="BA464" i="3"/>
  <c r="AZ464" i="3" s="1"/>
  <c r="BL467" i="3"/>
  <c r="BL468" i="3"/>
  <c r="AZ468" i="3" s="1"/>
  <c r="BL470" i="3"/>
  <c r="G472" i="3"/>
  <c r="G473" i="3"/>
  <c r="BL473" i="3"/>
  <c r="AZ473" i="3" s="1"/>
  <c r="BL474" i="3"/>
  <c r="G475" i="3"/>
  <c r="BA482" i="3"/>
  <c r="BA484" i="3"/>
  <c r="AZ484" i="3" s="1"/>
  <c r="G491" i="3"/>
  <c r="BA303" i="3"/>
  <c r="AZ303" i="3" s="1"/>
  <c r="BA307" i="3"/>
  <c r="G311" i="3"/>
  <c r="BL314" i="3"/>
  <c r="AZ314" i="3" s="1"/>
  <c r="G315" i="3"/>
  <c r="BA332" i="3"/>
  <c r="BL332" i="3"/>
  <c r="G339" i="3"/>
  <c r="BA366" i="3"/>
  <c r="AZ366" i="3" s="1"/>
  <c r="BL375" i="3"/>
  <c r="AZ375" i="3" s="1"/>
  <c r="AZ458" i="3"/>
  <c r="AZ462" i="3"/>
  <c r="AZ270" i="3"/>
  <c r="BL398" i="3"/>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AZ453" i="3" s="1"/>
  <c r="BA455" i="3"/>
  <c r="AZ455" i="3" s="1"/>
  <c r="BL457" i="3"/>
  <c r="BL460" i="3"/>
  <c r="BL461" i="3"/>
  <c r="BL463" i="3"/>
  <c r="G465" i="3"/>
  <c r="BA471" i="3"/>
  <c r="AZ471" i="3" s="1"/>
  <c r="G486" i="3"/>
  <c r="G488" i="3"/>
  <c r="BL317" i="3"/>
  <c r="G318" i="3"/>
  <c r="BA349" i="3"/>
  <c r="AZ349" i="3" s="1"/>
  <c r="BA353" i="3"/>
  <c r="BL353" i="3"/>
  <c r="BA358" i="3"/>
  <c r="AZ358" i="3" s="1"/>
  <c r="AZ228" i="3"/>
  <c r="BL404" i="3"/>
  <c r="BL405" i="3"/>
  <c r="BL407" i="3"/>
  <c r="BA412" i="3"/>
  <c r="AZ412" i="3" s="1"/>
  <c r="BA414" i="3"/>
  <c r="BA415" i="3"/>
  <c r="AZ415" i="3" s="1"/>
  <c r="BA416" i="3"/>
  <c r="BA418" i="3"/>
  <c r="AZ418" i="3" s="1"/>
  <c r="BA421" i="3"/>
  <c r="AZ421" i="3" s="1"/>
  <c r="BA423" i="3"/>
  <c r="AZ423" i="3" s="1"/>
  <c r="BA425" i="3"/>
  <c r="AZ425" i="3" s="1"/>
  <c r="BA426" i="3"/>
  <c r="BA427" i="3"/>
  <c r="BA433" i="3"/>
  <c r="AZ433" i="3" s="1"/>
  <c r="BA435" i="3"/>
  <c r="AZ435" i="3" s="1"/>
  <c r="BL437" i="3"/>
  <c r="AZ437" i="3" s="1"/>
  <c r="G439" i="3"/>
  <c r="BL441" i="3"/>
  <c r="BL442" i="3"/>
  <c r="BL444" i="3"/>
  <c r="AZ444" i="3" s="1"/>
  <c r="G446" i="3"/>
  <c r="BL448" i="3"/>
  <c r="AZ448" i="3" s="1"/>
  <c r="G450" i="3"/>
  <c r="BA454" i="3"/>
  <c r="AZ454" i="3" s="1"/>
  <c r="BA457" i="3"/>
  <c r="BA459" i="3"/>
  <c r="AZ459" i="3" s="1"/>
  <c r="BA460" i="3"/>
  <c r="AZ460" i="3" s="1"/>
  <c r="BA461" i="3"/>
  <c r="AZ461" i="3" s="1"/>
  <c r="BL464" i="3"/>
  <c r="BL466" i="3"/>
  <c r="AZ466" i="3" s="1"/>
  <c r="G468" i="3"/>
  <c r="BL476" i="3"/>
  <c r="BL477" i="3"/>
  <c r="BL478" i="3"/>
  <c r="AZ478" i="3" s="1"/>
  <c r="G479" i="3"/>
  <c r="G480" i="3"/>
  <c r="BL480" i="3"/>
  <c r="G482" i="3"/>
  <c r="BA483" i="3"/>
  <c r="BL483" i="3"/>
  <c r="AZ483" i="3" s="1"/>
  <c r="BA486" i="3"/>
  <c r="BL489" i="3"/>
  <c r="AZ489" i="3" s="1"/>
  <c r="BL491" i="3"/>
  <c r="AZ491" i="3" s="1"/>
  <c r="BL492" i="3"/>
  <c r="G307" i="3"/>
  <c r="BA315" i="3"/>
  <c r="AZ315" i="3" s="1"/>
  <c r="BA333" i="3"/>
  <c r="BL346" i="3"/>
  <c r="AZ346" i="3" s="1"/>
  <c r="G349" i="3"/>
  <c r="BL359" i="3"/>
  <c r="AZ359" i="3" s="1"/>
  <c r="G364" i="3"/>
  <c r="BA367" i="3"/>
  <c r="AZ367" i="3" s="1"/>
  <c r="BA370" i="3"/>
  <c r="BA386" i="3"/>
  <c r="AZ386" i="3" s="1"/>
  <c r="BL385" i="3"/>
  <c r="G392" i="3"/>
  <c r="BA397" i="3"/>
  <c r="BL397" i="3"/>
  <c r="BA210" i="3"/>
  <c r="BL210" i="3"/>
  <c r="BL212" i="3"/>
  <c r="G214" i="3"/>
  <c r="BL214" i="3"/>
  <c r="AZ214" i="3" s="1"/>
  <c r="G216" i="3"/>
  <c r="BL225" i="3"/>
  <c r="BL226" i="3"/>
  <c r="AZ226" i="3" s="1"/>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L139" i="3"/>
  <c r="AZ139" i="3" s="1"/>
  <c r="G140" i="3"/>
  <c r="BL141" i="3"/>
  <c r="BL143" i="3"/>
  <c r="AZ143" i="3" s="1"/>
  <c r="G146" i="3"/>
  <c r="G147" i="3"/>
  <c r="G154" i="3"/>
  <c r="G156" i="3"/>
  <c r="BL161" i="3"/>
  <c r="BL217" i="3"/>
  <c r="AZ217" i="3" s="1"/>
  <c r="BA219" i="3"/>
  <c r="AZ219" i="3" s="1"/>
  <c r="BA221" i="3"/>
  <c r="BA223" i="3"/>
  <c r="AZ223" i="3" s="1"/>
  <c r="BL228" i="3"/>
  <c r="BA230" i="3"/>
  <c r="AZ230" i="3" s="1"/>
  <c r="BL232" i="3"/>
  <c r="BL234" i="3"/>
  <c r="BA236" i="3"/>
  <c r="BA238" i="3"/>
  <c r="AZ238" i="3" s="1"/>
  <c r="BA243" i="3"/>
  <c r="AZ243" i="3" s="1"/>
  <c r="AZ126" i="3"/>
  <c r="BL24"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AZ134" i="3" s="1"/>
  <c r="BL35"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6" i="3"/>
  <c r="BA137" i="3"/>
  <c r="AZ137" i="3" s="1"/>
  <c r="BL138" i="3"/>
  <c r="BA140" i="3"/>
  <c r="BA142" i="3"/>
  <c r="BL149" i="3"/>
  <c r="AZ149" i="3" s="1"/>
  <c r="BL150" i="3"/>
  <c r="AZ150" i="3" s="1"/>
  <c r="BA152" i="3"/>
  <c r="AZ152" i="3" s="1"/>
  <c r="BA154" i="3"/>
  <c r="AZ154" i="3" s="1"/>
  <c r="BL158" i="3"/>
  <c r="BL162" i="3"/>
  <c r="AZ162" i="3" s="1"/>
  <c r="BL167" i="3"/>
  <c r="AZ167" i="3" s="1"/>
  <c r="BL169" i="3"/>
  <c r="BL170" i="3"/>
  <c r="BL34" i="3"/>
  <c r="U21" i="33"/>
  <c r="AB21" i="33"/>
  <c r="C52" i="71"/>
  <c r="D51" i="71"/>
  <c r="F66" i="71"/>
  <c r="Q65" i="71" s="1"/>
  <c r="Q67" i="71"/>
  <c r="X25" i="71"/>
  <c r="V24" i="71"/>
  <c r="E23" i="71"/>
  <c r="E22" i="71" s="1"/>
  <c r="E21" i="71" s="1"/>
  <c r="E20" i="71" s="1"/>
  <c r="V20" i="71" s="1"/>
  <c r="AA3"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AZ207" i="3" s="1"/>
  <c r="BL18" i="3"/>
  <c r="G19" i="3"/>
  <c r="BL19" i="3"/>
  <c r="BA20" i="3"/>
  <c r="AZ20" i="3" s="1"/>
  <c r="BL25" i="3"/>
  <c r="AZ25" i="3" s="1"/>
  <c r="BL27" i="3"/>
  <c r="AZ27" i="3" s="1"/>
  <c r="BA28" i="3"/>
  <c r="AZ28" i="3" s="1"/>
  <c r="BA31" i="3"/>
  <c r="AZ31" i="3" s="1"/>
  <c r="BA32" i="3"/>
  <c r="G38" i="3"/>
  <c r="BA38" i="3"/>
  <c r="AZ38" i="3" s="1"/>
  <c r="BA41" i="3"/>
  <c r="AZ41" i="3" s="1"/>
  <c r="BA42" i="3"/>
  <c r="G46" i="3"/>
  <c r="G47" i="3"/>
  <c r="BL48" i="3"/>
  <c r="AZ48" i="3" s="1"/>
  <c r="BA51" i="3"/>
  <c r="G55" i="3"/>
  <c r="BL56" i="3"/>
  <c r="BA58" i="3"/>
  <c r="AZ58" i="3" s="1"/>
  <c r="BL59" i="3"/>
  <c r="AZ59" i="3" s="1"/>
  <c r="BL60" i="3"/>
  <c r="BA61" i="3"/>
  <c r="AZ61" i="3" s="1"/>
  <c r="BL69" i="3"/>
  <c r="G70" i="3"/>
  <c r="BL70" i="3"/>
  <c r="AZ70" i="3" s="1"/>
  <c r="BL71" i="3"/>
  <c r="BL72" i="3"/>
  <c r="AZ72" i="3" s="1"/>
  <c r="G74" i="3"/>
  <c r="BA75" i="3"/>
  <c r="AZ75" i="3" s="1"/>
  <c r="BL86" i="3"/>
  <c r="BA88" i="3"/>
  <c r="AZ88" i="3" s="1"/>
  <c r="BA89" i="3"/>
  <c r="G93" i="3"/>
  <c r="BA109" i="3"/>
  <c r="P65" i="71"/>
  <c r="P66" i="71"/>
  <c r="C47" i="71"/>
  <c r="D47" i="71" s="1"/>
  <c r="D46" i="71"/>
  <c r="C67" i="71"/>
  <c r="T68" i="71"/>
  <c r="O68" i="71"/>
  <c r="T76" i="71"/>
  <c r="D76" i="71"/>
  <c r="C75" i="71"/>
  <c r="Y27" i="71"/>
  <c r="Z27" i="71" s="1"/>
  <c r="Y26" i="71"/>
  <c r="Z26" i="71" s="1"/>
  <c r="BA173" i="3"/>
  <c r="AZ173" i="3" s="1"/>
  <c r="BA174" i="3"/>
  <c r="BL179" i="3"/>
  <c r="AZ179" i="3" s="1"/>
  <c r="BA181" i="3"/>
  <c r="AZ181" i="3" s="1"/>
  <c r="BA182" i="3"/>
  <c r="AZ182" i="3" s="1"/>
  <c r="BL185" i="3"/>
  <c r="BL193" i="3"/>
  <c r="BL194" i="3"/>
  <c r="AZ194" i="3" s="1"/>
  <c r="BA198" i="3"/>
  <c r="AZ198" i="3" s="1"/>
  <c r="BL206" i="3"/>
  <c r="BA19" i="3"/>
  <c r="AZ19" i="3" s="1"/>
  <c r="BA27" i="3"/>
  <c r="BL30" i="3"/>
  <c r="AZ30" i="3" s="1"/>
  <c r="BL31" i="3"/>
  <c r="BL40" i="3"/>
  <c r="AZ40" i="3" s="1"/>
  <c r="BL41" i="3"/>
  <c r="BL45" i="3"/>
  <c r="BA48" i="3"/>
  <c r="BA49" i="3"/>
  <c r="AZ49" i="3" s="1"/>
  <c r="BL64" i="3"/>
  <c r="AZ64" i="3" s="1"/>
  <c r="BL65" i="3"/>
  <c r="AZ65" i="3" s="1"/>
  <c r="BL66" i="3"/>
  <c r="BL67" i="3"/>
  <c r="AZ67" i="3" s="1"/>
  <c r="BL79" i="3"/>
  <c r="BL81" i="3"/>
  <c r="BA82" i="3"/>
  <c r="AZ82" i="3" s="1"/>
  <c r="BL83" i="3"/>
  <c r="F40" i="69"/>
  <c r="C40" i="69"/>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BA18" i="3"/>
  <c r="AZ18" i="3" s="1"/>
  <c r="G21" i="3"/>
  <c r="BL21" i="3"/>
  <c r="AZ21" i="3" s="1"/>
  <c r="G23" i="3"/>
  <c r="G29" i="3"/>
  <c r="BL29" i="3"/>
  <c r="AZ29" i="3" s="1"/>
  <c r="G33" i="3"/>
  <c r="G34" i="3"/>
  <c r="BA37" i="3"/>
  <c r="G39" i="3"/>
  <c r="BL39" i="3"/>
  <c r="AZ39" i="3" s="1"/>
  <c r="G43" i="3"/>
  <c r="G44" i="3"/>
  <c r="BA45" i="3"/>
  <c r="BA46" i="3"/>
  <c r="AZ46" i="3" s="1"/>
  <c r="BL49" i="3"/>
  <c r="G51" i="3"/>
  <c r="BA52" i="3"/>
  <c r="AZ52" i="3" s="1"/>
  <c r="BA53" i="3"/>
  <c r="BA54" i="3"/>
  <c r="BL57" i="3"/>
  <c r="G62" i="3"/>
  <c r="BL62" i="3"/>
  <c r="AZ62" i="3" s="1"/>
  <c r="BL63" i="3"/>
  <c r="G67" i="3"/>
  <c r="BL68" i="3"/>
  <c r="BA69" i="3"/>
  <c r="AZ69" i="3" s="1"/>
  <c r="BA73" i="3"/>
  <c r="G78" i="3"/>
  <c r="G79" i="3"/>
  <c r="G81" i="3"/>
  <c r="G85" i="3"/>
  <c r="BL85" i="3"/>
  <c r="BA86" i="3"/>
  <c r="AZ86" i="3" s="1"/>
  <c r="G89" i="3"/>
  <c r="BA92" i="3"/>
  <c r="AZ108" i="3"/>
  <c r="AB21" i="37"/>
  <c r="U21" i="37"/>
  <c r="C32" i="71"/>
  <c r="C86" i="71"/>
  <c r="D86" i="71" s="1"/>
  <c r="D87" i="71"/>
  <c r="Y25" i="71"/>
  <c r="Z25" i="71" s="1"/>
  <c r="C36" i="71"/>
  <c r="D35" i="71"/>
  <c r="AB32" i="71"/>
  <c r="Y35" i="71"/>
  <c r="Z35" i="71" s="1"/>
  <c r="S80" i="71"/>
  <c r="B79" i="71"/>
  <c r="B78" i="71" s="1"/>
  <c r="G103" i="3"/>
  <c r="BA103" i="3"/>
  <c r="AZ103" i="3" s="1"/>
  <c r="BA104" i="3"/>
  <c r="BA106" i="3"/>
  <c r="BL108" i="3"/>
  <c r="BL111" i="3"/>
  <c r="AA27" i="71"/>
  <c r="S28" i="71"/>
  <c r="C83" i="71"/>
  <c r="C79" i="71"/>
  <c r="C71" i="71"/>
  <c r="C39" i="71"/>
  <c r="Y28" i="71"/>
  <c r="Z28" i="71" s="1"/>
  <c r="Y30" i="71"/>
  <c r="Z30" i="71" s="1"/>
  <c r="X28" i="71"/>
  <c r="X32" i="71"/>
  <c r="AB38" i="71"/>
  <c r="F75" i="71"/>
  <c r="F74" i="71" s="1"/>
  <c r="BL50" i="3"/>
  <c r="AZ50" i="3" s="1"/>
  <c r="BL51" i="3"/>
  <c r="G53" i="3"/>
  <c r="BL53" i="3"/>
  <c r="BA56" i="3"/>
  <c r="BA57" i="3"/>
  <c r="AZ57" i="3" s="1"/>
  <c r="BL58" i="3"/>
  <c r="G60" i="3"/>
  <c r="BA60" i="3"/>
  <c r="BA63" i="3"/>
  <c r="AZ63" i="3" s="1"/>
  <c r="BA66" i="3"/>
  <c r="AZ66" i="3" s="1"/>
  <c r="BA71" i="3"/>
  <c r="AZ71" i="3" s="1"/>
  <c r="G76" i="3"/>
  <c r="BL77" i="3"/>
  <c r="AZ77" i="3" s="1"/>
  <c r="BA79" i="3"/>
  <c r="G82" i="3"/>
  <c r="G83" i="3"/>
  <c r="BA84" i="3"/>
  <c r="AZ84" i="3" s="1"/>
  <c r="BL88" i="3"/>
  <c r="G90" i="3"/>
  <c r="BL90" i="3"/>
  <c r="BL92" i="3"/>
  <c r="G101" i="3"/>
  <c r="BA101" i="3"/>
  <c r="AZ101" i="3" s="1"/>
  <c r="G108" i="3"/>
  <c r="G109" i="3"/>
  <c r="BL112" i="3"/>
  <c r="S21" i="34"/>
  <c r="B88" i="43"/>
  <c r="F35" i="71"/>
  <c r="F36" i="71" s="1"/>
  <c r="V36" i="71" s="1"/>
  <c r="AA34" i="71"/>
  <c r="G86" i="3"/>
  <c r="G87"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W14" i="37"/>
  <c r="U28" i="37"/>
  <c r="AB28" i="37"/>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5" i="3"/>
  <c r="AZ449" i="3"/>
  <c r="AZ452" i="3"/>
  <c r="AZ456" i="3"/>
  <c r="AZ467" i="3"/>
  <c r="AZ470" i="3"/>
  <c r="W35" i="39"/>
  <c r="F27" i="34"/>
  <c r="C21" i="39"/>
  <c r="U9" i="36"/>
  <c r="H12" i="21"/>
  <c r="G526" i="3"/>
  <c r="AZ420" i="3"/>
  <c r="AZ424" i="3"/>
  <c r="AZ434" i="3"/>
  <c r="AZ438"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68" i="3"/>
  <c r="AZ73" i="3"/>
  <c r="AZ106" i="3"/>
  <c r="G200" i="3"/>
  <c r="G207" i="3"/>
  <c r="BA23" i="3"/>
  <c r="AZ23" i="3" s="1"/>
  <c r="BA24" i="3"/>
  <c r="AZ24" i="3" s="1"/>
  <c r="BL26" i="3"/>
  <c r="AZ26" i="3" s="1"/>
  <c r="BL32" i="3"/>
  <c r="AZ32" i="3" s="1"/>
  <c r="BA34" i="3"/>
  <c r="BA35" i="3"/>
  <c r="AZ35" i="3" s="1"/>
  <c r="BL37" i="3"/>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7" i="73"/>
  <c r="D9" i="69"/>
  <c r="C16" i="67"/>
  <c r="D4" i="73"/>
  <c r="D5" i="73"/>
  <c r="C16" i="15"/>
  <c r="C36" i="69"/>
  <c r="D3" i="73"/>
  <c r="N370" i="46" l="1"/>
  <c r="F26" i="43"/>
  <c r="H16" i="1"/>
  <c r="G26" i="43"/>
  <c r="F30" i="6"/>
  <c r="G30" i="6"/>
  <c r="G31" i="6" s="1"/>
  <c r="E10" i="6"/>
  <c r="G16" i="1"/>
  <c r="F10" i="39" s="1"/>
  <c r="S10" i="39" s="1"/>
  <c r="E14" i="6"/>
  <c r="E63" i="39" s="1"/>
  <c r="J7" i="37"/>
  <c r="D67" i="71"/>
  <c r="C66" i="71"/>
  <c r="O67" i="71"/>
  <c r="AZ441" i="3"/>
  <c r="AZ405" i="3"/>
  <c r="AB28" i="33"/>
  <c r="U28" i="33"/>
  <c r="AA40" i="37"/>
  <c r="S40" i="37"/>
  <c r="AA25" i="37"/>
  <c r="S25" i="37"/>
  <c r="W46" i="34"/>
  <c r="AC46" i="34"/>
  <c r="W12" i="34"/>
  <c r="AC12" i="34"/>
  <c r="AC13" i="33"/>
  <c r="W13" i="33"/>
  <c r="W27" i="21"/>
  <c r="AC27" i="21"/>
  <c r="G5" i="3"/>
  <c r="B3" i="3" s="1"/>
  <c r="E41" i="3" s="1"/>
  <c r="D79" i="71"/>
  <c r="C78" i="71"/>
  <c r="D78" i="71" s="1"/>
  <c r="AZ53" i="3"/>
  <c r="B19" i="71"/>
  <c r="B18" i="71" s="1"/>
  <c r="B17" i="71" s="1"/>
  <c r="B16" i="71" s="1"/>
  <c r="S20" i="71"/>
  <c r="T52" i="71"/>
  <c r="D52" i="71"/>
  <c r="AB31" i="39"/>
  <c r="U31" i="39"/>
  <c r="AB23" i="36"/>
  <c r="U23" i="36"/>
  <c r="N94" i="46"/>
  <c r="J26" i="43"/>
  <c r="P6" i="1"/>
  <c r="C13" i="12" s="1"/>
  <c r="Q16" i="1"/>
  <c r="E29" i="6"/>
  <c r="K15" i="1" s="1"/>
  <c r="K16" i="1" s="1"/>
  <c r="AZ107" i="3"/>
  <c r="AZ37" i="3"/>
  <c r="AZ300" i="3"/>
  <c r="AZ161" i="3"/>
  <c r="AZ246" i="3"/>
  <c r="AZ268" i="3"/>
  <c r="AZ79" i="3"/>
  <c r="D83" i="71"/>
  <c r="C82" i="71"/>
  <c r="D82" i="71" s="1"/>
  <c r="AZ45" i="3"/>
  <c r="D23" i="71"/>
  <c r="C22" i="71"/>
  <c r="AZ273" i="3"/>
  <c r="AZ302" i="3"/>
  <c r="AZ284" i="3"/>
  <c r="AZ277" i="3"/>
  <c r="AZ256" i="3"/>
  <c r="AZ397" i="3"/>
  <c r="AZ457" i="3"/>
  <c r="AZ427" i="3"/>
  <c r="AZ414" i="3"/>
  <c r="AZ353" i="3"/>
  <c r="AZ428" i="3"/>
  <c r="AZ404" i="3"/>
  <c r="AA33" i="36"/>
  <c r="S33" i="36"/>
  <c r="U39" i="40"/>
  <c r="AB39" i="40"/>
  <c r="S14" i="40"/>
  <c r="AA14" i="40"/>
  <c r="AZ586" i="3"/>
  <c r="U25" i="37"/>
  <c r="AB25" i="37"/>
  <c r="S46" i="34"/>
  <c r="AA46" i="34"/>
  <c r="AB30" i="34"/>
  <c r="U30" i="34"/>
  <c r="S31" i="33"/>
  <c r="AA31" i="33"/>
  <c r="U27" i="21"/>
  <c r="AB27" i="21"/>
  <c r="C40" i="71"/>
  <c r="D39" i="71"/>
  <c r="C56" i="71"/>
  <c r="D55" i="71"/>
  <c r="AZ398" i="3"/>
  <c r="U23" i="35"/>
  <c r="AB23" i="35"/>
  <c r="AA23" i="36"/>
  <c r="S23" i="36"/>
  <c r="AZ550" i="3"/>
  <c r="AA37" i="39"/>
  <c r="S37" i="39"/>
  <c r="AC39" i="40"/>
  <c r="W39" i="40"/>
  <c r="W14" i="40"/>
  <c r="AC14" i="40"/>
  <c r="AB36" i="39"/>
  <c r="U36" i="39"/>
  <c r="S11" i="35"/>
  <c r="AA11" i="35"/>
  <c r="U46" i="34"/>
  <c r="AB46" i="34"/>
  <c r="U9" i="34"/>
  <c r="AB9" i="34"/>
  <c r="U46" i="21"/>
  <c r="AB46" i="21"/>
  <c r="AZ234" i="3"/>
  <c r="J7" i="36"/>
  <c r="AC7" i="36" s="1"/>
  <c r="V36" i="36" s="1"/>
  <c r="I36" i="36" s="1"/>
  <c r="D17" i="53"/>
  <c r="B36" i="72" s="1"/>
  <c r="E26" i="43"/>
  <c r="E13" i="6"/>
  <c r="E16" i="6" s="1"/>
  <c r="E12" i="6"/>
  <c r="E57" i="40" s="1"/>
  <c r="S9" i="34"/>
  <c r="AZ34" i="3"/>
  <c r="AZ5" i="3" s="1"/>
  <c r="AZ138" i="3"/>
  <c r="AZ492" i="3"/>
  <c r="U14" i="37"/>
  <c r="AZ111" i="3"/>
  <c r="C70" i="71"/>
  <c r="D70" i="71" s="1"/>
  <c r="D71" i="71"/>
  <c r="T32" i="71"/>
  <c r="D32" i="71"/>
  <c r="C26" i="71"/>
  <c r="D26" i="71" s="1"/>
  <c r="D27" i="71"/>
  <c r="D75" i="71"/>
  <c r="C74" i="71"/>
  <c r="D74" i="71" s="1"/>
  <c r="AZ51" i="3"/>
  <c r="AZ118" i="3"/>
  <c r="AZ282" i="3"/>
  <c r="AZ210" i="3"/>
  <c r="AZ416" i="3"/>
  <c r="AZ332" i="3"/>
  <c r="AZ413" i="3"/>
  <c r="AC31" i="39"/>
  <c r="W31" i="39"/>
  <c r="AC23" i="36"/>
  <c r="W23" i="36"/>
  <c r="W28" i="33"/>
  <c r="AC28" i="33"/>
  <c r="AC37" i="39"/>
  <c r="W37" i="39"/>
  <c r="S14" i="37"/>
  <c r="AA14" i="37"/>
  <c r="U40" i="37"/>
  <c r="AB40" i="37"/>
  <c r="AZ585" i="3"/>
  <c r="S36" i="39"/>
  <c r="AA36" i="39"/>
  <c r="W11" i="35"/>
  <c r="AC11" i="35"/>
  <c r="AA30" i="34"/>
  <c r="S30" i="34"/>
  <c r="U12" i="34"/>
  <c r="AB12" i="34"/>
  <c r="AA13" i="33"/>
  <c r="S13" i="33"/>
  <c r="AC9" i="34"/>
  <c r="W9" i="34"/>
  <c r="AA27" i="21"/>
  <c r="S27" i="2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56" i="40"/>
  <c r="C9" i="69"/>
  <c r="C9" i="68"/>
  <c r="E72" i="43"/>
  <c r="B70" i="43" s="1"/>
  <c r="E60" i="40"/>
  <c r="F31" i="6"/>
  <c r="E51" i="40"/>
  <c r="M14" i="1"/>
  <c r="D5" i="43"/>
  <c r="J10" i="40"/>
  <c r="AC10" i="40" s="1"/>
  <c r="C7" i="43"/>
  <c r="C5" i="43" s="1"/>
  <c r="D10" i="52"/>
  <c r="D125" i="9"/>
  <c r="D11" i="52" s="1"/>
  <c r="B7" i="74"/>
  <c r="C7" i="74" s="1"/>
  <c r="F67" i="39"/>
  <c r="F59" i="67"/>
  <c r="H7" i="37"/>
  <c r="AB7" i="37" s="1"/>
  <c r="T42" i="37" s="1"/>
  <c r="G42" i="37" s="1"/>
  <c r="AA10" i="39"/>
  <c r="H7" i="33"/>
  <c r="J7" i="33"/>
  <c r="D65" i="40"/>
  <c r="E63" i="40"/>
  <c r="F48" i="35"/>
  <c r="AC7" i="37"/>
  <c r="W7" i="37"/>
  <c r="AB7" i="36"/>
  <c r="U7" i="36"/>
  <c r="F7" i="33"/>
  <c r="E58" i="2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G1" i="73"/>
  <c r="AE6" i="1"/>
  <c r="C29" i="69" l="1"/>
  <c r="D27" i="69" s="1"/>
  <c r="H10" i="40"/>
  <c r="AB10" i="40" s="1"/>
  <c r="J10" i="39"/>
  <c r="W10" i="39" s="1"/>
  <c r="H10" i="39"/>
  <c r="U10" i="39" s="1"/>
  <c r="F10" i="40"/>
  <c r="S10" i="40" s="1"/>
  <c r="F27" i="11"/>
  <c r="C29" i="11" s="1"/>
  <c r="D27" i="11" s="1"/>
  <c r="E217" i="3"/>
  <c r="E293" i="3"/>
  <c r="E175" i="3"/>
  <c r="Z6" i="3"/>
  <c r="E151" i="3"/>
  <c r="E380" i="3"/>
  <c r="E321" i="3"/>
  <c r="E411" i="3"/>
  <c r="E246" i="3"/>
  <c r="E587" i="3"/>
  <c r="E515" i="3"/>
  <c r="E581" i="3"/>
  <c r="E335" i="3"/>
  <c r="E124" i="3"/>
  <c r="E571" i="3"/>
  <c r="AE6" i="3"/>
  <c r="E369" i="3"/>
  <c r="E273" i="3"/>
  <c r="E560" i="3"/>
  <c r="AR6" i="3"/>
  <c r="E269" i="3"/>
  <c r="E290" i="3"/>
  <c r="E177" i="3"/>
  <c r="E312" i="3"/>
  <c r="E139" i="3"/>
  <c r="E94" i="3"/>
  <c r="E219" i="3"/>
  <c r="E275" i="3"/>
  <c r="E535" i="3"/>
  <c r="E247" i="3"/>
  <c r="E28" i="3"/>
  <c r="E315" i="3"/>
  <c r="E228" i="3"/>
  <c r="E503" i="3"/>
  <c r="E337" i="3"/>
  <c r="E27" i="3"/>
  <c r="E318" i="3"/>
  <c r="E45" i="3"/>
  <c r="E415" i="3"/>
  <c r="E125" i="3"/>
  <c r="E32" i="3"/>
  <c r="E280" i="3"/>
  <c r="E319" i="3"/>
  <c r="E537" i="3"/>
  <c r="E163" i="3"/>
  <c r="E552" i="3"/>
  <c r="E393" i="3"/>
  <c r="E127" i="3"/>
  <c r="E149" i="3"/>
  <c r="E15" i="3"/>
  <c r="E281" i="3"/>
  <c r="E263" i="3"/>
  <c r="E570" i="3"/>
  <c r="E368" i="3"/>
  <c r="E301" i="3"/>
  <c r="E331" i="3"/>
  <c r="E458" i="3"/>
  <c r="E239" i="3"/>
  <c r="AG6" i="3"/>
  <c r="E285" i="3"/>
  <c r="E14" i="3"/>
  <c r="E87" i="3"/>
  <c r="E463" i="3"/>
  <c r="E510" i="3"/>
  <c r="E148" i="3"/>
  <c r="E278" i="3"/>
  <c r="AJ6" i="3"/>
  <c r="E345" i="3"/>
  <c r="E106" i="3"/>
  <c r="E568" i="3"/>
  <c r="E261" i="3"/>
  <c r="E508" i="3"/>
  <c r="E505" i="3"/>
  <c r="E111" i="3"/>
  <c r="E85" i="3"/>
  <c r="E320" i="3"/>
  <c r="E166" i="3"/>
  <c r="E203" i="3"/>
  <c r="E302" i="3"/>
  <c r="E92" i="3"/>
  <c r="E224" i="3"/>
  <c r="E584" i="3"/>
  <c r="E123" i="3"/>
  <c r="F45" i="69"/>
  <c r="E59" i="40"/>
  <c r="E62" i="39"/>
  <c r="D26" i="43"/>
  <c r="C25" i="43" s="1"/>
  <c r="C33" i="43" s="1"/>
  <c r="F27" i="68"/>
  <c r="C29" i="68" s="1"/>
  <c r="D27" i="68" s="1"/>
  <c r="C47" i="69"/>
  <c r="D45" i="69" s="1"/>
  <c r="E58" i="40"/>
  <c r="F28" i="12"/>
  <c r="C29" i="12" s="1"/>
  <c r="D28" i="12" s="1"/>
  <c r="E539" i="3"/>
  <c r="E575" i="3"/>
  <c r="E152" i="3"/>
  <c r="E46" i="3"/>
  <c r="E355" i="3"/>
  <c r="E42" i="3"/>
  <c r="E113" i="3"/>
  <c r="E456" i="3"/>
  <c r="E13" i="3"/>
  <c r="E225" i="3"/>
  <c r="E324" i="3"/>
  <c r="E326"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466" i="3"/>
  <c r="E292" i="3"/>
  <c r="E249" i="3"/>
  <c r="E81" i="3"/>
  <c r="E96" i="3"/>
  <c r="E205" i="3"/>
  <c r="E512" i="3"/>
  <c r="E470" i="3"/>
  <c r="E356" i="3"/>
  <c r="E35"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I3" i="6"/>
  <c r="E544" i="3"/>
  <c r="E492" i="3"/>
  <c r="E513" i="3"/>
  <c r="E383" i="3"/>
  <c r="E525" i="3"/>
  <c r="E451" i="3"/>
  <c r="E26" i="3"/>
  <c r="E412" i="3"/>
  <c r="E232" i="3"/>
  <c r="E16" i="3"/>
  <c r="E105" i="3"/>
  <c r="E543" i="3"/>
  <c r="E422" i="3"/>
  <c r="AH6" i="3"/>
  <c r="E401" i="3"/>
  <c r="E108" i="3"/>
  <c r="E276" i="3"/>
  <c r="L6" i="3"/>
  <c r="E473" i="3"/>
  <c r="E38" i="3"/>
  <c r="E234" i="3"/>
  <c r="E392" i="3"/>
  <c r="E112" i="3"/>
  <c r="E340" i="3"/>
  <c r="E62" i="3"/>
  <c r="E365" i="3"/>
  <c r="E141" i="3"/>
  <c r="E460" i="3"/>
  <c r="E58" i="3"/>
  <c r="E24" i="3"/>
  <c r="E244" i="3"/>
  <c r="E500" i="3"/>
  <c r="E446" i="3"/>
  <c r="E48"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78" i="3"/>
  <c r="E117" i="3"/>
  <c r="E114" i="3"/>
  <c r="V6" i="3"/>
  <c r="E229" i="3"/>
  <c r="N6" i="3"/>
  <c r="E30" i="3"/>
  <c r="E121" i="3"/>
  <c r="E558" i="3"/>
  <c r="E164" i="3"/>
  <c r="E580" i="3"/>
  <c r="E73" i="3"/>
  <c r="E424" i="3"/>
  <c r="E128" i="3"/>
  <c r="E402" i="3"/>
  <c r="E565" i="3"/>
  <c r="E506" i="3"/>
  <c r="O6" i="3"/>
  <c r="AM6" i="3"/>
  <c r="E403" i="3"/>
  <c r="E145" i="3"/>
  <c r="E208" i="3"/>
  <c r="E438" i="3"/>
  <c r="E352" i="3"/>
  <c r="E504" i="3"/>
  <c r="E459" i="3"/>
  <c r="E39" i="3"/>
  <c r="E375" i="3"/>
  <c r="E284" i="3"/>
  <c r="E250" i="3"/>
  <c r="E524" i="3"/>
  <c r="AQ6" i="3"/>
  <c r="E60" i="3"/>
  <c r="J6" i="3"/>
  <c r="E188" i="3"/>
  <c r="E556" i="3"/>
  <c r="E3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583" i="3"/>
  <c r="E382" i="3"/>
  <c r="E550" i="3"/>
  <c r="E230" i="3"/>
  <c r="E551" i="3"/>
  <c r="E396" i="3"/>
  <c r="E553" i="3"/>
  <c r="E334" i="3"/>
  <c r="E88" i="3"/>
  <c r="P6" i="3"/>
  <c r="E252" i="3"/>
  <c r="E394" i="3"/>
  <c r="E496" i="3"/>
  <c r="E481" i="3"/>
  <c r="E434" i="3"/>
  <c r="E303" i="3"/>
  <c r="E304" i="3"/>
  <c r="E523" i="3"/>
  <c r="E328" i="3"/>
  <c r="E317" i="3"/>
  <c r="E547" i="3"/>
  <c r="E207" i="3"/>
  <c r="E168" i="3"/>
  <c r="E474" i="3"/>
  <c r="E136" i="3"/>
  <c r="E187" i="3"/>
  <c r="AD6" i="3"/>
  <c r="E374" i="3"/>
  <c r="E297" i="3"/>
  <c r="E138" i="3"/>
  <c r="E521" i="3"/>
  <c r="E176" i="3"/>
  <c r="E299" i="3"/>
  <c r="E346" i="3"/>
  <c r="E440" i="3"/>
  <c r="E80" i="3"/>
  <c r="T6" i="3"/>
  <c r="E484"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336" i="3"/>
  <c r="E245" i="3"/>
  <c r="E395" i="3"/>
  <c r="E294" i="3"/>
  <c r="E559" i="3"/>
  <c r="E516" i="3"/>
  <c r="E366" i="3"/>
  <c r="E316" i="3"/>
  <c r="E444" i="3"/>
  <c r="E448" i="3"/>
  <c r="E236" i="3"/>
  <c r="E256" i="3"/>
  <c r="E429" i="3"/>
  <c r="E330" i="3"/>
  <c r="AA6" i="3"/>
  <c r="E221" i="3"/>
  <c r="E298" i="3"/>
  <c r="E97" i="3"/>
  <c r="E501" i="3"/>
  <c r="E126" i="3"/>
  <c r="E548" i="3"/>
  <c r="E93" i="3"/>
  <c r="E471" i="3"/>
  <c r="E313" i="3"/>
  <c r="E82" i="3"/>
  <c r="E154" i="3"/>
  <c r="E66" i="3"/>
  <c r="E341" i="3"/>
  <c r="E464" i="3"/>
  <c r="E520" i="3"/>
  <c r="E90" i="3"/>
  <c r="E364" i="3"/>
  <c r="E170" i="3"/>
  <c r="E178" i="3"/>
  <c r="E427" i="3"/>
  <c r="E190" i="3"/>
  <c r="E206" i="3"/>
  <c r="E417"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479" i="3"/>
  <c r="E554" i="3"/>
  <c r="E541" i="3"/>
  <c r="E499" i="3"/>
  <c r="E53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35" i="3"/>
  <c r="E255" i="3"/>
  <c r="E442" i="3"/>
  <c r="E199" i="3"/>
  <c r="E197" i="3"/>
  <c r="E308" i="3"/>
  <c r="AF6" i="3"/>
  <c r="E86" i="3"/>
  <c r="E174" i="3"/>
  <c r="E482" i="3"/>
  <c r="E391" i="3"/>
  <c r="E494" i="3"/>
  <c r="E283" i="3"/>
  <c r="E68" i="3"/>
  <c r="E184" i="3"/>
  <c r="E84" i="3"/>
  <c r="E371" i="3"/>
  <c r="E160" i="3"/>
  <c r="E467" i="3"/>
  <c r="E59" i="3"/>
  <c r="E349" i="3"/>
  <c r="E258" i="3"/>
  <c r="E56" i="3"/>
  <c r="E517" i="3"/>
  <c r="E449" i="3"/>
  <c r="R6" i="3"/>
  <c r="E212" i="3"/>
  <c r="AY6" i="3"/>
  <c r="E3" i="6"/>
  <c r="T40" i="71"/>
  <c r="D40" i="71"/>
  <c r="AA7" i="36"/>
  <c r="R36" i="36" s="1"/>
  <c r="O65" i="71"/>
  <c r="D66" i="71"/>
  <c r="O66" i="71"/>
  <c r="T36" i="36"/>
  <c r="G36" i="36" s="1"/>
  <c r="T49" i="34"/>
  <c r="G49" i="34" s="1"/>
  <c r="E37" i="3"/>
  <c r="E491" i="3"/>
  <c r="AP6" i="3"/>
  <c r="E430" i="3"/>
  <c r="E502" i="3"/>
  <c r="E286" i="3"/>
  <c r="D56" i="71"/>
  <c r="T56" i="71"/>
  <c r="C21" i="71"/>
  <c r="D22" i="71"/>
  <c r="E61" i="39"/>
  <c r="E65" i="39" s="1"/>
  <c r="E30" i="6"/>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C47" i="68"/>
  <c r="D45" i="68" s="1"/>
  <c r="F45" i="68"/>
  <c r="V2" i="43"/>
  <c r="C6" i="69"/>
  <c r="C7" i="69" s="1"/>
  <c r="F22" i="68"/>
  <c r="F41" i="68" s="1"/>
  <c r="F22" i="69"/>
  <c r="F41" i="69" s="1"/>
  <c r="F24" i="15"/>
  <c r="C24" i="15" s="1"/>
  <c r="F25" i="12"/>
  <c r="C26" i="12" s="1"/>
  <c r="D25" i="12" s="1"/>
  <c r="F24" i="67"/>
  <c r="C24" i="67" s="1"/>
  <c r="AC6" i="3"/>
  <c r="H6" i="3"/>
  <c r="E6" i="3" s="1"/>
  <c r="F22" i="11"/>
  <c r="D21" i="71"/>
  <c r="C20" i="7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4" i="67"/>
  <c r="C17" i="15"/>
  <c r="C17" i="67"/>
  <c r="C34" i="69"/>
  <c r="C23" i="68" l="1"/>
  <c r="C44" i="68"/>
  <c r="D41" i="68" s="1"/>
  <c r="C44" i="69"/>
  <c r="D41" i="69" s="1"/>
  <c r="C26" i="68"/>
  <c r="D22" i="68" s="1"/>
  <c r="C26" i="69"/>
  <c r="D22" i="69" s="1"/>
  <c r="C25" i="11"/>
  <c r="C24" i="11"/>
  <c r="C23" i="11"/>
  <c r="C26" i="11"/>
  <c r="D22" i="11" s="1"/>
  <c r="C44" i="11"/>
  <c r="D41" i="1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D16" i="71" l="1"/>
  <c r="U16" i="71" s="1"/>
  <c r="C15" i="71"/>
  <c r="T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G43" i="35" l="1"/>
  <c r="H43"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2" i="36"/>
  <c r="D19" i="9"/>
  <c r="D2" i="34"/>
  <c r="L51" i="15"/>
  <c r="C19" i="9"/>
  <c r="C102" i="9" l="1"/>
  <c r="C21" i="9"/>
  <c r="B3" i="33"/>
  <c r="D102" i="9"/>
  <c r="D21" i="9"/>
  <c r="D22" i="9"/>
  <c r="G19" i="9"/>
  <c r="G21"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C20" i="9"/>
  <c r="AO12" i="1"/>
  <c r="AO10" i="1"/>
  <c r="AO11" i="1"/>
  <c r="D20" i="9"/>
  <c r="AO6"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9"/>
  <c r="F118" i="9" s="1"/>
  <c r="I118" i="9"/>
  <c r="H102" i="9" s="1"/>
  <c r="G4" i="52" l="1"/>
  <c r="B52" i="72" s="1"/>
  <c r="R24" i="31"/>
  <c r="D7" i="53"/>
  <c r="B21" i="72" s="1"/>
  <c r="F4" i="52"/>
  <c r="B51" i="72" s="1"/>
  <c r="F119" i="9"/>
  <c r="F5" i="52" s="1"/>
  <c r="B53" i="72" s="1"/>
  <c r="C105" i="9"/>
  <c r="E118" i="9"/>
  <c r="I4" i="52"/>
  <c r="H118" i="9"/>
  <c r="E4" i="52" l="1"/>
  <c r="B48" i="72" s="1"/>
  <c r="D118" i="9"/>
  <c r="H119" i="9"/>
  <c r="H5" i="52" s="1"/>
  <c r="H101" i="9"/>
  <c r="C104" i="9"/>
  <c r="H4" i="52"/>
  <c r="R26" i="31"/>
  <c r="S26" i="31" s="1"/>
  <c r="S24" i="31"/>
  <c r="R25" i="31"/>
  <c r="S25" i="31" s="1"/>
  <c r="S22" i="31" l="1"/>
  <c r="H107" i="9"/>
  <c r="D5" i="53"/>
  <c r="D45" i="9"/>
  <c r="M48" i="9"/>
  <c r="D119" i="9"/>
  <c r="D5" i="52" s="1"/>
  <c r="B49" i="72" s="1"/>
  <c r="D4" i="52"/>
  <c r="B47" i="72" s="1"/>
  <c r="R22" i="31" l="1"/>
  <c r="D14" i="74"/>
  <c r="B20" i="31"/>
  <c r="B21" i="31" s="1"/>
  <c r="M49" i="9"/>
  <c r="H108" i="9"/>
  <c r="D122" i="9"/>
  <c r="D13" i="53"/>
  <c r="B20" i="72"/>
  <c r="D6" i="53"/>
  <c r="B22" i="72" s="1"/>
  <c r="C64" i="9"/>
  <c r="C63" i="9" s="1"/>
  <c r="C67" i="9" s="1"/>
  <c r="D53" i="9"/>
  <c r="D55" i="9"/>
  <c r="M53" i="9" s="1"/>
  <c r="C72" i="9"/>
  <c r="C93" i="9"/>
  <c r="C86" i="9" s="1"/>
  <c r="C78" i="9"/>
  <c r="C73" i="9" s="1"/>
  <c r="D52" i="9"/>
  <c r="C85" i="9"/>
  <c r="B5" i="74" l="1"/>
  <c r="E14" i="74"/>
  <c r="F14" i="74"/>
  <c r="C95" i="9"/>
  <c r="C96" i="9" s="1"/>
  <c r="B30" i="72"/>
  <c r="D14" i="53"/>
  <c r="B32" i="72" s="1"/>
  <c r="D59" i="9"/>
  <c r="M55" i="9" s="1"/>
  <c r="C68" i="9"/>
  <c r="D54" i="9" s="1"/>
  <c r="D123" i="9"/>
  <c r="D9" i="52" s="1"/>
  <c r="D8" i="52"/>
  <c r="C6" i="74"/>
  <c r="D15" i="53"/>
  <c r="B31" i="72" s="1"/>
  <c r="C79" i="9"/>
  <c r="L68" i="9"/>
  <c r="M68" i="9" s="1"/>
  <c r="L63" i="9"/>
  <c r="M63" i="9" s="1"/>
  <c r="L64" i="9"/>
  <c r="M64" i="9" s="1"/>
  <c r="L65" i="9"/>
  <c r="M65" i="9" s="1"/>
  <c r="L66" i="9"/>
  <c r="M66" i="9" s="1"/>
  <c r="L67" i="9"/>
  <c r="M67" i="9" s="1"/>
  <c r="E96" i="9" l="1"/>
  <c r="E97" i="9" s="1"/>
  <c r="C97" i="9"/>
  <c r="D58" i="9" s="1"/>
  <c r="D56" i="9" s="1"/>
  <c r="M54" i="9" s="1"/>
  <c r="N57" i="9" s="1"/>
  <c r="P57" i="9" s="1"/>
  <c r="D5" i="74"/>
  <c r="C5" i="74"/>
  <c r="M69" i="9"/>
  <c r="N69" i="9" s="1"/>
  <c r="C80" i="9"/>
  <c r="E80" i="9" s="1"/>
  <c r="E81" i="9" s="1"/>
  <c r="N58" i="9" l="1"/>
  <c r="N59" i="9"/>
  <c r="N61"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<sst xmlns="http://schemas.openxmlformats.org/spreadsheetml/2006/main" count="7921" uniqueCount="3476">
  <si>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</si>
  <si>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</si>
  <si>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</si>
  <si>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</si>
  <si>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</si>
  <si>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</si>
  <si>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</si>
  <si>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</si>
  <si>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</si>
  <si>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</si>
  <si>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</si>
  <si>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</si>
  <si>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</si>
  <si>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</si>
  <si>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</si>
  <si>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</si>
  <si>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</si>
  <si>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</si>
  <si>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</si>
  <si>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</si>
  <si>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</si>
  <si>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</si>
  <si>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</si>
  <si>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</si>
  <si>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</si>
  <si>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</si>
  <si>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</si>
  <si>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</si>
  <si>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</si>
  <si>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</si>
  <si>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</si>
  <si>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</si>
  <si>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</si>
  <si>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</si>
  <si>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</si>
  <si>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</si>
  <si>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</si>
  <si>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</si>
  <si>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</si>
  <si>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</si>
  <si>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</si>
  <si>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</si>
  <si>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</si>
  <si>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</si>
  <si>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</si>
  <si>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</si>
  <si>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</si>
  <si>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</si>
  <si>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</si>
  <si>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</si>
  <si>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</si>
  <si>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</si>
  <si>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</si>
  <si>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</si>
  <si>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</si>
  <si>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</si>
  <si>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</si>
  <si>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</si>
  <si>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</si>
  <si>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</si>
  <si>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</si>
  <si>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</si>
  <si>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</si>
  <si>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</si>
  <si>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</si>
  <si>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</si>
  <si>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</si>
  <si>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</si>
  <si>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</si>
  <si>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</si>
  <si>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</si>
  <si>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</si>
  <si>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</si>
  <si>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</si>
  <si>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</si>
  <si>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</si>
  <si>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</si>
  <si>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</si>
  <si>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</si>
  <si>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</si>
  <si>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</si>
  <si>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</si>
  <si>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</si>
  <si>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</si>
  <si>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</si>
  <si>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</si>
  <si>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</si>
  <si>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</si>
  <si>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</si>
  <si>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</si>
  <si>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</si>
  <si>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</si>
  <si>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</si>
  <si>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</si>
  <si>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</si>
  <si>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</si>
  <si>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</si>
  <si>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</si>
  <si>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</si>
  <si>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</si>
  <si>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</si>
  <si>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</si>
  <si>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</si>
  <si>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</si>
  <si>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</si>
  <si>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</si>
  <si>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</si>
  <si>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</si>
  <si>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</si>
  <si>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</si>
  <si>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</si>
  <si>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</si>
  <si>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</si>
  <si>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</si>
  <si>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</si>
  <si>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</si>
  <si>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</si>
  <si>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</si>
  <si>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</si>
  <si>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</si>
  <si>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</si>
  <si>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</si>
  <si>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</si>
  <si>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</si>
  <si>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</si>
  <si>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</si>
  <si>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</si>
  <si>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</si>
  <si>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</si>
  <si>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</si>
  <si>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</si>
  <si>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</si>
  <si>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</si>
  <si>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</si>
  <si>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</si>
  <si>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</si>
  <si>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</si>
  <si>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</si>
  <si>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</si>
  <si>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</si>
  <si>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</si>
  <si>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</si>
  <si>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</si>
  <si>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</si>
  <si>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</si>
  <si>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</si>
  <si>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</si>
  <si>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</si>
  <si>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</si>
  <si>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</si>
  <si>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</si>
  <si>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</si>
  <si>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</si>
  <si>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</si>
  <si>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</si>
  <si>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</si>
  <si>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</si>
  <si>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</si>
  <si>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</si>
  <si>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</si>
  <si>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</si>
  <si>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</si>
  <si>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</si>
  <si>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</si>
  <si>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</si>
  <si>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</si>
  <si>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</si>
  <si>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</si>
  <si>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</si>
  <si>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</si>
  <si>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</si>
  <si>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</si>
  <si>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</si>
  <si>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</si>
  <si>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</si>
  <si>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</si>
  <si>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</si>
  <si>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</si>
  <si>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</si>
  <si>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</si>
  <si>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</si>
  <si>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</si>
  <si>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</si>
  <si>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</si>
  <si>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</si>
  <si>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</si>
  <si>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</si>
  <si>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</si>
  <si>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</si>
  <si>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</si>
  <si>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</si>
  <si>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</si>
  <si>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</si>
  <si>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</si>
  <si>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</si>
  <si>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</si>
  <si>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</si>
  <si>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</si>
  <si>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</si>
  <si>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</si>
  <si>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</si>
  <si>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</si>
  <si>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</si>
  <si>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</si>
  <si>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</si>
  <si>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</si>
  <si>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</si>
  <si>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</si>
  <si>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</si>
  <si>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</si>
  <si>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</si>
  <si>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</si>
  <si>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</si>
  <si>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</si>
  <si>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</si>
  <si>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</si>
  <si>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</si>
  <si>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</si>
  <si>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</si>
  <si>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</si>
  <si>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</si>
  <si>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</si>
  <si>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</si>
  <si>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</si>
  <si>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</si>
  <si>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</si>
  <si>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</si>
  <si>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</si>
  <si>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</si>
  <si>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</si>
  <si>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</si>
  <si>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</si>
  <si>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</si>
  <si>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</si>
  <si>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</si>
  <si>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</si>
  <si>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</si>
  <si>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</si>
  <si>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</si>
  <si>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</si>
  <si>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</si>
  <si>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</si>
  <si>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</si>
  <si>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</si>
  <si>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</si>
  <si>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</si>
  <si>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</si>
  <si>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</si>
  <si>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</si>
  <si>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</si>
  <si>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</si>
  <si>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</si>
  <si>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</si>
  <si>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</si>
  <si>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</si>
  <si>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</si>
  <si>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</si>
  <si>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</si>
  <si>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</si>
  <si>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</si>
  <si>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</si>
  <si>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</si>
  <si>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</si>
  <si>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</si>
  <si>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</si>
  <si>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</si>
  <si>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</si>
  <si>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</si>
  <si>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</si>
  <si>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</si>
  <si>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</si>
  <si>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</si>
  <si>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</si>
  <si>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</si>
  <si>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</si>
  <si>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</si>
  <si>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</si>
  <si>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</si>
  <si>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</si>
  <si>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</si>
  <si>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</si>
  <si>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</si>
  <si>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</si>
  <si>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</si>
  <si>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</si>
  <si>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</si>
  <si>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</si>
  <si>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</si>
  <si>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</si>
  <si>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</si>
  <si>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</si>
  <si>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</si>
  <si>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</si>
  <si>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</si>
  <si>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</si>
  <si>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</si>
  <si>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</si>
  <si>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</si>
  <si>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</si>
  <si>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</si>
  <si>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</si>
  <si>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</si>
  <si>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</si>
  <si>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</si>
  <si>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</si>
  <si>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</si>
  <si>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</si>
  <si>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</si>
  <si>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</si>
  <si>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</si>
  <si>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</si>
  <si>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</si>
  <si>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</si>
  <si>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</si>
  <si>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</si>
  <si>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</si>
  <si>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</si>
  <si>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</si>
  <si>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</si>
  <si>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</si>
  <si>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</si>
  <si>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</si>
  <si>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</si>
  <si>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</si>
  <si>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</si>
  <si>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</si>
  <si>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</si>
  <si>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</si>
  <si>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</si>
  <si>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</si>
  <si>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</si>
  <si>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</si>
  <si>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</si>
  <si>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</si>
  <si>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</si>
  <si>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</si>
  <si>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</si>
  <si>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</si>
  <si>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</si>
  <si>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</si>
  <si>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</si>
  <si>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</si>
  <si>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</si>
  <si>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</si>
  <si>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</si>
  <si>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</si>
  <si>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</si>
  <si>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</si>
  <si>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</si>
  <si>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</si>
  <si>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</si>
  <si>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</si>
  <si>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</si>
  <si>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</si>
  <si>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</si>
  <si>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</si>
  <si>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</si>
  <si>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</si>
  <si>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</si>
  <si>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</si>
  <si>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</si>
  <si>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</si>
  <si>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</si>
  <si>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</si>
  <si>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</si>
  <si>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</si>
  <si>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</si>
  <si>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</si>
  <si>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</si>
  <si>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</si>
  <si>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</si>
  <si>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</si>
  <si>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</si>
  <si>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</si>
  <si>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</si>
  <si>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</si>
  <si>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</si>
  <si>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</si>
  <si>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</si>
  <si>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</si>
  <si>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</si>
  <si>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</si>
  <si>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</si>
  <si>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</si>
  <si>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</si>
  <si>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</si>
  <si>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</si>
  <si>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</si>
  <si>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</si>
  <si>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</si>
  <si>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</si>
  <si>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</si>
  <si>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</si>
  <si>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</si>
  <si>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</si>
  <si>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</si>
  <si>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</si>
  <si>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</si>
  <si>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</si>
  <si>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</si>
  <si>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</si>
  <si>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</si>
  <si>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</si>
  <si>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</si>
  <si>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</si>
  <si>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</si>
  <si>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</si>
  <si>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</si>
  <si>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</si>
  <si>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</si>
  <si>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</si>
  <si>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</si>
  <si>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</si>
  <si>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</si>
  <si>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</si>
  <si>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</si>
  <si>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</si>
  <si>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</si>
  <si>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</si>
  <si>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</si>
  <si>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</si>
  <si>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</si>
  <si>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</si>
  <si>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</si>
  <si>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</si>
  <si>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</si>
  <si>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</si>
  <si>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</si>
  <si>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</si>
  <si>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</si>
  <si>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</si>
  <si>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</si>
  <si>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</si>
  <si>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</si>
  <si>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</si>
  <si>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</si>
  <si>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</si>
  <si>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</si>
  <si>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</si>
  <si>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</si>
  <si>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</si>
  <si>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</si>
  <si>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</si>
  <si>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</si>
  <si>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</si>
  <si>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</si>
  <si>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</si>
  <si>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</si>
  <si>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</si>
  <si>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</si>
  <si>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</si>
  <si>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</si>
  <si>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</si>
  <si>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</si>
  <si>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</si>
  <si>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</si>
  <si>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</si>
  <si>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</si>
  <si>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</si>
  <si>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</si>
  <si>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</si>
  <si>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</si>
  <si>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</si>
  <si>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</si>
  <si>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</si>
  <si>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</si>
  <si>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</si>
  <si>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</si>
  <si>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</si>
  <si>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</si>
  <si>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</si>
  <si>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</si>
  <si>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</si>
  <si>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</si>
  <si>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</si>
  <si>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</si>
  <si>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</si>
  <si>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</si>
  <si>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</si>
  <si>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</si>
  <si>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</si>
  <si>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</si>
  <si>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</si>
  <si>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</si>
  <si>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</si>
  <si>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</si>
  <si>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</si>
  <si>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</si>
  <si>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</si>
  <si>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</si>
  <si>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</si>
  <si>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</si>
  <si>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</si>
  <si>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</si>
  <si>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</si>
  <si>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</si>
  <si>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</si>
  <si>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</si>
  <si>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</si>
  <si>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</si>
  <si>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</si>
  <si>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</si>
  <si>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</si>
  <si>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</si>
  <si>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</si>
  <si>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</si>
  <si>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</si>
  <si>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</si>
  <si>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</si>
  <si>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</si>
  <si>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</si>
  <si>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</si>
  <si>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</si>
  <si>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</si>
  <si>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</si>
  <si>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</si>
  <si>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</si>
  <si>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</si>
  <si>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</si>
  <si>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</si>
  <si>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</si>
  <si>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</si>
  <si>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</si>
  <si>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</si>
  <si>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</si>
  <si>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</si>
  <si>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</si>
  <si>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</si>
  <si>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</si>
  <si>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</si>
  <si>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</si>
  <si>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</si>
  <si>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</si>
  <si>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</si>
  <si>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</si>
  <si>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</si>
  <si>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</si>
  <si>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</si>
  <si>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</si>
  <si>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</si>
  <si>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</si>
  <si>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</si>
  <si>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</si>
  <si>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</si>
  <si>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</si>
  <si>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</si>
  <si>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</si>
  <si>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</si>
  <si>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</si>
  <si>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</si>
  <si>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</si>
  <si>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</si>
  <si>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</si>
  <si>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</si>
  <si>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</si>
  <si>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</si>
  <si>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</si>
  <si>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</si>
  <si>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</si>
  <si>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</si>
  <si>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</si>
  <si>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</si>
  <si>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</si>
  <si>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</si>
  <si>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</si>
  <si>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</si>
  <si>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</si>
  <si>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</si>
  <si>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</si>
  <si>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</si>
  <si>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</si>
  <si>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</si>
  <si>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</si>
  <si>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</si>
  <si>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</si>
  <si>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</si>
  <si>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</si>
  <si>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</si>
  <si>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</si>
  <si>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</si>
  <si>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</si>
  <si>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</si>
  <si>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</si>
  <si>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</si>
  <si>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</si>
  <si>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</si>
  <si>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</si>
  <si>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</si>
  <si>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</si>
  <si>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</si>
  <si>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</si>
  <si>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</si>
  <si>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</si>
  <si>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</si>
  <si>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</si>
  <si>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</si>
  <si>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</si>
  <si>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</si>
  <si>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</si>
  <si>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</si>
  <si>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</si>
  <si>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</si>
  <si>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</si>
  <si>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</si>
  <si>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</si>
  <si>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</si>
  <si>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</si>
  <si>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</si>
  <si>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</si>
  <si>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</si>
  <si>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</si>
  <si>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</si>
  <si>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</si>
  <si>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</si>
  <si>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</si>
  <si>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</si>
  <si>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</si>
  <si>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</si>
  <si>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</si>
  <si>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</si>
  <si>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</si>
  <si>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</si>
  <si>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</si>
  <si>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</si>
  <si>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</si>
  <si>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</si>
  <si>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</si>
  <si>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</si>
  <si>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</si>
  <si>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</si>
  <si>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</si>
  <si>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</si>
  <si>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</si>
  <si>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</si>
  <si>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</si>
  <si>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</si>
  <si>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</si>
  <si>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</si>
  <si>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</si>
  <si>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</si>
  <si>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</si>
  <si>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</si>
  <si>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</si>
  <si>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</si>
  <si>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</si>
  <si>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</si>
  <si>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</si>
  <si>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</si>
  <si>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</si>
  <si>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</si>
  <si>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</si>
  <si>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</si>
  <si>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</si>
  <si>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</si>
  <si>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</si>
  <si>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</si>
  <si>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</si>
  <si>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</si>
  <si>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</si>
  <si>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</si>
  <si>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</si>
  <si>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</si>
  <si>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</si>
  <si>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</si>
  <si>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</si>
  <si>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</si>
  <si>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</si>
  <si>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</si>
  <si>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</si>
  <si>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</si>
  <si>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</si>
  <si>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</si>
  <si>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</si>
  <si>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</si>
  <si>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</si>
  <si>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</si>
  <si>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</si>
  <si>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</si>
  <si>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</si>
  <si>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</si>
  <si>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</si>
  <si>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</si>
  <si>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</si>
  <si>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</si>
  <si>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</si>
  <si>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</si>
  <si>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</si>
  <si>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</si>
  <si>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</si>
  <si>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</si>
  <si>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</si>
  <si>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</si>
  <si>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</si>
  <si>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</si>
  <si>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</si>
  <si>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</si>
  <si>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</si>
  <si>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</si>
  <si>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</si>
  <si>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</si>
  <si>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</si>
  <si>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</si>
  <si>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</si>
  <si>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</si>
  <si>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</si>
  <si>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</si>
  <si>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</si>
  <si>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</si>
  <si>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</si>
  <si>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</si>
  <si>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</si>
  <si>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</si>
  <si>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</si>
  <si>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</si>
  <si>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</si>
  <si>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</si>
  <si>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</si>
  <si>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</si>
  <si>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</si>
  <si>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</si>
  <si>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</si>
  <si>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</si>
  <si>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</si>
  <si>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</si>
  <si>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</si>
  <si>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</si>
  <si>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</si>
  <si>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</si>
  <si>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</si>
  <si>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</si>
  <si>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</si>
  <si>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</si>
  <si>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</si>
  <si>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</si>
  <si>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</si>
  <si>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</si>
  <si>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</si>
  <si>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</si>
  <si>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</si>
  <si>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</si>
  <si>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</si>
  <si>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</si>
  <si>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</si>
  <si>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</si>
  <si>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</si>
  <si>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</si>
  <si>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</si>
  <si>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</si>
  <si>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</si>
  <si>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</si>
  <si>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</si>
  <si>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</si>
  <si>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</si>
  <si>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</si>
  <si>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</si>
  <si>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</si>
  <si>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</si>
  <si>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</si>
  <si>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</si>
  <si>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</si>
  <si>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</si>
  <si>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</si>
  <si>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</si>
  <si>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</si>
  <si>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</si>
  <si>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</si>
  <si>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</si>
  <si>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</si>
  <si>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</si>
  <si>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</si>
  <si>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</si>
  <si>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</si>
  <si>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</si>
  <si>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</si>
  <si>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</si>
  <si>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</si>
  <si>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</si>
  <si>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</si>
  <si>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</si>
  <si>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</si>
  <si>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</si>
  <si>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</si>
  <si>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</si>
  <si>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</si>
  <si>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</si>
  <si>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</si>
  <si>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</si>
  <si>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</si>
  <si>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</si>
  <si>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</si>
  <si>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</si>
  <si>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</si>
  <si>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</si>
  <si>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</si>
  <si>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</si>
  <si>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</si>
  <si>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</si>
  <si>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</si>
  <si>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</si>
  <si>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</si>
  <si>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</si>
  <si>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</si>
  <si>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</si>
  <si>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</si>
  <si>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</si>
  <si>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</si>
  <si>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</si>
  <si>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</si>
  <si>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</si>
  <si>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</si>
  <si>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</si>
  <si>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</si>
  <si>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</si>
  <si>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</si>
  <si>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</si>
  <si>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</si>
  <si>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</si>
  <si>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</si>
  <si>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</si>
  <si>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</si>
  <si>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</si>
  <si>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</si>
  <si>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</si>
  <si>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</si>
  <si>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</si>
  <si>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</si>
  <si>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</si>
  <si>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</si>
  <si>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</si>
  <si>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</si>
  <si>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</si>
  <si>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</si>
  <si>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</si>
  <si>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</si>
  <si>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</si>
  <si>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</si>
  <si>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</si>
  <si>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</si>
  <si>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</si>
  <si>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</si>
  <si>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</si>
  <si>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</si>
  <si>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</si>
  <si>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</si>
  <si>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</si>
  <si>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</si>
  <si>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</si>
  <si>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</si>
  <si>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</si>
  <si>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</si>
  <si>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</si>
  <si>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</si>
  <si>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</si>
  <si>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</si>
  <si>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</si>
  <si>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</si>
  <si>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</si>
  <si>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</si>
  <si>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</si>
  <si>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</si>
  <si>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</si>
  <si>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</si>
  <si>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</si>
  <si>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</si>
  <si>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</si>
  <si>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</si>
  <si>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</si>
  <si>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</si>
  <si>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</si>
  <si>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</si>
  <si>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</si>
  <si>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</si>
  <si>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</si>
  <si>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</si>
  <si>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</si>
  <si>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</si>
  <si>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</si>
  <si>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</si>
  <si>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</si>
  <si>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</si>
  <si>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</si>
  <si>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</si>
  <si>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</si>
  <si>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</si>
  <si>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</si>
  <si>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</si>
  <si>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</si>
  <si>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</si>
  <si>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</si>
  <si>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</si>
  <si>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</si>
  <si>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</si>
  <si>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</si>
  <si>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</si>
  <si>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</si>
  <si>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</si>
  <si>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</si>
  <si>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</si>
  <si>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</si>
  <si>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</si>
  <si>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</si>
  <si>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</si>
  <si>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</si>
  <si>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</si>
  <si>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</si>
  <si>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</si>
  <si>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</si>
  <si>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</si>
  <si>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</si>
  <si>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</si>
  <si>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</si>
  <si>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</si>
  <si>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</si>
  <si>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</si>
  <si>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</si>
  <si>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</si>
  <si>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</si>
  <si>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</si>
  <si>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</si>
  <si>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</si>
  <si>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</si>
  <si>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</si>
  <si>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</si>
  <si>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</si>
  <si>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</si>
  <si>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</si>
  <si>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</si>
  <si>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</si>
  <si>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</si>
  <si>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</si>
  <si>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</si>
  <si>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</si>
  <si>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</si>
  <si>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</si>
  <si>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</si>
  <si>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</si>
  <si>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</si>
  <si>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</si>
  <si>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</si>
  <si>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</si>
  <si>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</si>
  <si>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</si>
  <si>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</si>
  <si>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</si>
  <si>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</si>
  <si>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</si>
  <si>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</si>
  <si>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</si>
  <si>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</si>
  <si>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</si>
  <si>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</si>
  <si>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</si>
  <si>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</si>
  <si>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</si>
  <si>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</si>
  <si>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</si>
  <si>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</si>
  <si>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</si>
  <si>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</si>
  <si>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</si>
  <si>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</si>
  <si>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</si>
  <si>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</si>
  <si>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</si>
  <si>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</si>
  <si>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</si>
  <si>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</si>
  <si>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</si>
  <si>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</si>
  <si>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</si>
  <si>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</si>
  <si>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</si>
  <si>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</si>
  <si>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</si>
  <si>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</si>
  <si>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</si>
  <si>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</si>
  <si>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</si>
  <si>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</si>
  <si>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</si>
  <si>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</si>
  <si>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</si>
  <si>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</si>
  <si>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</si>
  <si>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</si>
  <si>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</si>
  <si>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</si>
  <si>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</si>
  <si>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</si>
  <si>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</si>
  <si>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</si>
  <si>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</si>
  <si>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</si>
  <si>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</si>
  <si>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</si>
  <si>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</si>
  <si>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</si>
  <si>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</si>
  <si>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</si>
  <si>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</si>
  <si>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</si>
  <si>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</si>
  <si>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</si>
  <si>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</si>
  <si>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</si>
  <si>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</si>
  <si>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</si>
  <si>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</si>
  <si>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</si>
  <si>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</si>
  <si>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</si>
  <si>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</si>
  <si>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</si>
  <si>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</si>
  <si>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</si>
  <si>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</si>
  <si>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</si>
  <si>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</si>
  <si>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</si>
  <si>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</si>
  <si>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</si>
  <si>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</si>
  <si>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</si>
  <si>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</si>
  <si>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</si>
  <si>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</si>
  <si>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</si>
  <si>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</si>
  <si>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</si>
  <si>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</si>
  <si>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</si>
  <si>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</si>
  <si>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</si>
  <si>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</si>
  <si>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</si>
  <si>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</si>
  <si>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</si>
  <si>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</si>
  <si>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</si>
  <si>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</si>
  <si>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</si>
  <si>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</si>
  <si>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</si>
  <si>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</si>
  <si>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</si>
  <si>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</si>
  <si>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</si>
  <si>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</si>
  <si>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</si>
  <si>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</si>
  <si>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</si>
  <si>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</si>
  <si>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</si>
  <si>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</si>
  <si>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</si>
  <si>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</si>
  <si>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</si>
  <si>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</si>
  <si>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</si>
  <si>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</si>
  <si>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</si>
  <si>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</si>
  <si>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</si>
  <si>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</si>
  <si>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</si>
  <si>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</si>
  <si>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</si>
  <si>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</si>
  <si>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</si>
  <si>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</si>
  <si>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</si>
  <si>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</si>
  <si>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</si>
  <si>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</si>
  <si>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</si>
  <si>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</si>
  <si>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</si>
  <si>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</si>
  <si>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</si>
  <si>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</si>
  <si>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</si>
  <si>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</si>
  <si>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</si>
  <si>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</si>
  <si>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</si>
  <si>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</si>
  <si>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</si>
  <si>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</si>
  <si>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</si>
  <si>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</si>
  <si>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</si>
  <si>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</si>
  <si>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</si>
  <si>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</si>
  <si>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</si>
  <si>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</si>
  <si>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</si>
  <si>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</si>
  <si>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</si>
  <si>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</si>
  <si>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</si>
  <si>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</si>
  <si>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</si>
  <si>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</si>
  <si>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</si>
  <si>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</si>
  <si>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</si>
  <si>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</si>
  <si>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</si>
  <si>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</si>
  <si>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</si>
  <si>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</si>
  <si>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</si>
  <si>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</si>
  <si>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</si>
  <si>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</si>
  <si>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</si>
  <si>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</si>
  <si>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</si>
  <si>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</si>
  <si>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</si>
  <si>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</si>
  <si>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</si>
  <si>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</si>
  <si>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</si>
  <si>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</si>
  <si>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</si>
  <si>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</si>
  <si>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</si>
  <si>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</si>
  <si>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</si>
  <si>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</si>
  <si>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</si>
  <si>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</si>
  <si>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</si>
  <si>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</si>
  <si>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</si>
  <si>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</si>
  <si>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</si>
  <si>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</si>
  <si>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</si>
  <si>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</si>
  <si>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</si>
  <si>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</si>
  <si>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</si>
  <si>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</si>
  <si>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</si>
  <si>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</si>
  <si>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</si>
  <si>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</si>
  <si>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</si>
  <si>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</si>
  <si>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</si>
  <si>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</si>
  <si>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</si>
  <si>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</si>
  <si>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</si>
  <si>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</si>
  <si>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</si>
  <si>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</si>
  <si>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</si>
  <si>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</si>
  <si>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</si>
  <si>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</si>
  <si>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</si>
  <si>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</si>
  <si>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</si>
  <si>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</si>
  <si>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</si>
  <si>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</si>
  <si>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</si>
  <si>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</si>
  <si>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</si>
  <si>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</si>
  <si>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</si>
  <si>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</si>
  <si>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</si>
  <si>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</si>
  <si>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</si>
  <si>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</si>
  <si>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</si>
  <si>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</si>
  <si>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</si>
  <si>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</si>
  <si>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</si>
  <si>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</si>
  <si>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</si>
  <si>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</si>
  <si>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</si>
  <si>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</si>
  <si>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</si>
  <si>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</si>
  <si>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</si>
  <si>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</si>
  <si>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</si>
  <si>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</si>
  <si>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</si>
  <si>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</si>
  <si>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</si>
  <si>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</si>
  <si>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</si>
  <si>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</si>
  <si>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</si>
  <si>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</si>
  <si>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</si>
  <si>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</si>
  <si>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</si>
  <si>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</si>
  <si>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</si>
  <si>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</si>
  <si>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</si>
  <si>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</si>
  <si>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</si>
  <si>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</si>
  <si>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</si>
  <si>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</si>
  <si>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</si>
  <si>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</si>
  <si>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</si>
  <si>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</si>
  <si>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</si>
  <si>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</si>
  <si>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</si>
  <si>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</si>
  <si>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</si>
  <si>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</si>
  <si>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</si>
  <si>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</si>
  <si>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</si>
  <si>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</si>
  <si>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</si>
  <si>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</si>
  <si>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</si>
  <si>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</si>
  <si>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</si>
  <si>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</si>
  <si>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</si>
  <si>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</si>
  <si>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</si>
  <si>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</si>
  <si>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</si>
  <si>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</si>
  <si>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</si>
  <si>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</si>
  <si>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</si>
  <si>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</si>
  <si>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</si>
  <si>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</si>
  <si>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</si>
  <si>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</si>
  <si>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</si>
  <si>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</si>
  <si>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</si>
  <si>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</si>
  <si>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</si>
  <si>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</si>
  <si>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</si>
  <si>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</si>
  <si>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</si>
  <si>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</si>
  <si>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</si>
  <si>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</si>
  <si>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</si>
  <si>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</si>
  <si>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</si>
  <si>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</si>
  <si>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</si>
  <si>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</si>
  <si>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</si>
  <si>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</si>
  <si>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</si>
  <si>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</si>
  <si>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</si>
  <si>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</si>
  <si>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</si>
  <si>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</si>
  <si>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</si>
  <si>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</si>
  <si>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</si>
  <si>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</si>
  <si>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</si>
  <si>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</si>
  <si>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</si>
  <si>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</si>
  <si>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</si>
  <si>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</si>
  <si>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</si>
  <si>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</si>
  <si>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</si>
  <si>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</si>
  <si>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</si>
  <si>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</si>
  <si>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</si>
  <si>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</si>
  <si>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</si>
  <si>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</si>
  <si>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</si>
  <si>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</si>
  <si>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</si>
  <si>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</si>
  <si>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</si>
  <si>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</si>
  <si>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</si>
  <si>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</si>
  <si>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</si>
  <si>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</si>
  <si>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</si>
  <si>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</si>
  <si>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</si>
  <si>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</si>
  <si>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</si>
  <si>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</si>
  <si>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</si>
  <si>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</si>
  <si>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</si>
  <si>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</si>
  <si>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</si>
  <si>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</si>
  <si>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</si>
  <si>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</si>
  <si>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</si>
  <si>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</si>
  <si>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</si>
  <si>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</si>
  <si>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</si>
  <si>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</si>
  <si>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</si>
  <si>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</si>
  <si>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</si>
  <si>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</si>
  <si>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</si>
  <si>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</si>
  <si>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</si>
  <si>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</si>
  <si>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</si>
  <si>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</si>
  <si>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</si>
  <si>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</si>
  <si>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</si>
  <si>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</si>
  <si>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</si>
  <si>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</si>
  <si>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</si>
  <si>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</si>
  <si>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</si>
  <si>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</si>
  <si>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</si>
  <si>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</si>
  <si>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</si>
  <si>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</si>
  <si>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</si>
  <si>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</si>
  <si>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</si>
  <si>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</si>
  <si>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</si>
  <si>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</si>
  <si>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</si>
  <si>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</si>
  <si>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</si>
  <si>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</si>
  <si>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</si>
  <si>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</si>
  <si>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</si>
  <si>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</si>
  <si>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</si>
  <si>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</si>
  <si>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</si>
  <si>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</si>
  <si>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</si>
  <si>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</si>
  <si>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</si>
  <si>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</si>
  <si>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</si>
  <si>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</si>
  <si>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</si>
  <si>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</si>
  <si>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</si>
  <si>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</si>
  <si>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</si>
  <si>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</si>
  <si>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</si>
  <si>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</si>
  <si>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</si>
  <si>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</si>
  <si>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</si>
  <si>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</si>
  <si>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</si>
  <si>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</si>
  <si>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</si>
  <si>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</si>
  <si>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</si>
  <si>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</si>
  <si>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</si>
  <si>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</si>
  <si>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</si>
  <si>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</si>
  <si>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</si>
  <si>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</si>
  <si>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</si>
  <si>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</si>
  <si>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</si>
  <si>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</si>
  <si>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</si>
  <si>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</si>
  <si>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</si>
  <si>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</si>
  <si>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</si>
  <si>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</si>
  <si>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</si>
  <si>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</si>
  <si>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</si>
  <si>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</si>
  <si>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</si>
  <si>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</si>
  <si>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</si>
  <si>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</si>
  <si>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</si>
  <si>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</si>
  <si>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</si>
  <si>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</si>
  <si>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</si>
  <si>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</si>
  <si>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</si>
  <si>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</si>
  <si>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</si>
  <si>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</si>
  <si>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</si>
  <si>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</si>
  <si>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</si>
  <si>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</si>
  <si>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</si>
  <si>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</si>
  <si>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</si>
  <si>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</si>
  <si>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</si>
  <si>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</si>
  <si>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</si>
  <si>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</si>
  <si>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</si>
  <si>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</si>
  <si>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</si>
  <si>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</si>
  <si>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</si>
  <si>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</si>
  <si>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</si>
  <si>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</si>
  <si>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</si>
  <si>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</si>
  <si>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</si>
  <si>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</si>
  <si>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</si>
  <si>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</si>
  <si>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</si>
  <si>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</si>
  <si>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</si>
  <si>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</si>
  <si>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</si>
  <si>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</si>
  <si>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</si>
  <si>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</si>
  <si>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</si>
  <si>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</si>
  <si>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</si>
  <si>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</si>
  <si>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</si>
  <si>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</si>
  <si>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</si>
  <si>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</si>
  <si>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</si>
  <si>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</si>
  <si>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</si>
  <si>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</si>
  <si>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</si>
  <si>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</si>
  <si>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</si>
  <si>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</si>
  <si>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</si>
  <si>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</si>
  <si>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</si>
  <si>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</si>
  <si>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</si>
  <si>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</si>
  <si>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</si>
  <si>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</si>
  <si>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</si>
  <si>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</si>
  <si>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</si>
  <si>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</si>
  <si>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</si>
  <si>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</si>
  <si>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</si>
  <si>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</si>
  <si>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</si>
  <si>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</si>
  <si>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</si>
  <si>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</si>
  <si>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</si>
  <si>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</si>
  <si>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</si>
  <si>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</si>
  <si>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</si>
  <si>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</si>
  <si>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</si>
  <si>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</si>
  <si>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</si>
  <si>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</si>
  <si>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</si>
  <si>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</si>
  <si>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</si>
  <si>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</si>
  <si>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</si>
  <si>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</si>
  <si>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</si>
  <si>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</si>
  <si>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</si>
  <si>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</si>
  <si>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</si>
  <si>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</si>
  <si>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</si>
  <si>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</si>
  <si>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</si>
  <si>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</si>
  <si>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</si>
  <si>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</si>
  <si>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</si>
  <si>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</si>
  <si>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</si>
  <si>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</si>
  <si>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</si>
  <si>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</si>
  <si>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</si>
  <si>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</si>
  <si>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</si>
  <si>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</si>
  <si>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</si>
  <si>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</si>
  <si>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</si>
  <si>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</si>
  <si>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</si>
  <si>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</si>
  <si>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</si>
  <si>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</si>
  <si>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</si>
  <si>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</si>
  <si>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</si>
  <si>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</si>
  <si>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</si>
  <si>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</si>
  <si>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</si>
  <si>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</si>
  <si>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</si>
  <si>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</si>
  <si>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</si>
  <si>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</si>
  <si>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</si>
  <si>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</si>
  <si>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</si>
  <si>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</si>
  <si>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</si>
  <si>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</si>
  <si>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</si>
  <si>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</si>
  <si>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</si>
  <si>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</si>
  <si>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</si>
  <si>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</si>
  <si>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</si>
  <si>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</si>
  <si>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</si>
  <si>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</si>
  <si>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</si>
  <si>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</si>
  <si>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</si>
  <si>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</si>
  <si>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</si>
  <si>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</si>
  <si>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</si>
  <si>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</si>
  <si>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</si>
  <si>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</si>
  <si>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</si>
  <si>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</si>
  <si>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</si>
  <si>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</si>
  <si>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</si>
  <si>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</si>
  <si>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</si>
  <si>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</si>
  <si>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</si>
  <si>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</si>
  <si>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</si>
  <si>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</si>
  <si>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</si>
  <si>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</si>
  <si>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</si>
  <si>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</si>
  <si>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</si>
  <si>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</si>
  <si>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</si>
  <si>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</si>
  <si>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</si>
  <si>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</si>
  <si>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</si>
  <si>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</si>
  <si>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</si>
  <si>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</si>
  <si>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</si>
  <si>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</si>
  <si>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</si>
  <si>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</si>
  <si>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</si>
  <si>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</si>
  <si>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</si>
  <si>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</si>
  <si>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</si>
  <si>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</si>
  <si>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</si>
  <si>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</si>
  <si>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</si>
  <si>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</si>
  <si>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</si>
  <si>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</si>
  <si>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</si>
  <si>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</si>
  <si>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</si>
  <si>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</si>
  <si>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</si>
  <si>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</si>
  <si>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</si>
  <si>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</si>
  <si>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</si>
  <si>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</si>
  <si>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</si>
  <si>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</si>
  <si>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</si>
  <si>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</si>
  <si>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</si>
  <si>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</si>
  <si>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</si>
  <si>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</si>
  <si>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</si>
  <si>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</si>
  <si>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</si>
  <si>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</si>
  <si>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</si>
  <si>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</si>
  <si>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</si>
  <si>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</si>
  <si>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</si>
  <si>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</si>
  <si>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</si>
  <si>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</si>
  <si>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</si>
  <si>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</si>
  <si>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</si>
  <si>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</si>
  <si>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</si>
  <si>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</si>
  <si>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</si>
  <si>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</si>
  <si>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</si>
  <si>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</si>
  <si>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</si>
  <si>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</si>
  <si>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</si>
  <si>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</si>
  <si>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</si>
  <si>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</si>
  <si>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</si>
  <si>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</si>
  <si>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</si>
  <si>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</si>
  <si>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</si>
  <si>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</si>
  <si>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</si>
  <si>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</si>
  <si>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</si>
  <si>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</si>
  <si>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</si>
  <si>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</si>
  <si>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</si>
  <si>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</si>
  <si>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</si>
  <si>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</si>
  <si>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</si>
  <si>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</si>
  <si>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</si>
  <si>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</si>
  <si>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</si>
  <si>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</si>
  <si>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</si>
  <si>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</si>
  <si>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</si>
  <si>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</si>
  <si>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</si>
  <si>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</si>
  <si>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</si>
  <si>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</si>
  <si>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</si>
  <si>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</si>
  <si>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</si>
  <si>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</si>
  <si>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</si>
  <si>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</si>
  <si>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</si>
  <si>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</si>
  <si>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</si>
  <si>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</si>
  <si>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</si>
  <si>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</si>
  <si>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</si>
  <si>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</si>
  <si>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</si>
  <si>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</si>
  <si>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</si>
  <si>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</si>
  <si>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</si>
  <si>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</si>
  <si>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</si>
  <si>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</si>
  <si>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</si>
  <si>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</si>
  <si>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</si>
  <si>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</si>
  <si>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</si>
  <si>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</si>
  <si>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</si>
  <si>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</si>
  <si>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</si>
  <si>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</si>
  <si>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</si>
  <si>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</si>
  <si>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</si>
  <si>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</si>
  <si>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</si>
  <si>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</si>
  <si>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</si>
  <si>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</si>
  <si>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</si>
  <si>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</si>
  <si>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</si>
  <si>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</si>
  <si>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</si>
  <si>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</si>
  <si>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</si>
  <si>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</si>
  <si>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</si>
  <si>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</si>
  <si>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</si>
  <si>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</si>
  <si>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</si>
  <si>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</si>
  <si>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</si>
  <si>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</si>
  <si>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</si>
  <si>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</si>
  <si>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</si>
  <si>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</si>
  <si>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</si>
  <si>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</si>
  <si>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</si>
  <si>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</si>
  <si>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</si>
  <si>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</si>
  <si>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</si>
  <si>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</si>
  <si>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</si>
  <si>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</si>
  <si>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</si>
  <si>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</si>
  <si>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</si>
  <si>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</si>
  <si>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</si>
  <si>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</si>
  <si>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</si>
  <si>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</si>
  <si>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</si>
  <si>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</si>
  <si>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</si>
  <si>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</si>
  <si>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</si>
  <si>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</si>
  <si>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</si>
  <si>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</si>
  <si>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</si>
  <si>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</si>
  <si>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</si>
  <si>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</si>
  <si>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</si>
  <si>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</si>
  <si>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</si>
  <si>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</si>
  <si>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</si>
  <si>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</si>
  <si>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</si>
  <si>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</si>
  <si>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</si>
  <si>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</si>
  <si>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</si>
  <si>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</si>
  <si>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</si>
  <si>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</si>
  <si>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</si>
  <si>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</si>
  <si>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</si>
  <si>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</si>
  <si>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</si>
  <si>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</si>
  <si>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</si>
  <si>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</si>
  <si>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</si>
  <si>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</si>
  <si>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</si>
  <si>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</si>
  <si>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</si>
  <si>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</si>
  <si>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</si>
  <si>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</si>
  <si>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</si>
  <si>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</si>
  <si>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</si>
  <si>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</si>
  <si>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</si>
  <si>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</si>
  <si>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</si>
  <si>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</si>
  <si>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</si>
  <si>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</si>
  <si>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</si>
  <si>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</si>
  <si>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</si>
  <si>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</si>
  <si>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</si>
  <si>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</si>
  <si>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</si>
  <si>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</si>
  <si>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</si>
  <si>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</si>
  <si>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</si>
  <si>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</si>
  <si>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</si>
  <si>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</si>
  <si>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</si>
  <si>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</si>
  <si>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</si>
  <si>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</si>
  <si>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</si>
  <si>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</si>
  <si>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</si>
  <si>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</si>
  <si>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</si>
  <si>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</si>
  <si>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</si>
  <si>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</si>
  <si>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</si>
  <si>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</si>
  <si>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</si>
  <si>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</si>
  <si>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</si>
  <si>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</si>
  <si>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</si>
  <si>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</si>
  <si>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</si>
  <si>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</si>
  <si>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</si>
  <si>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</si>
  <si>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</si>
  <si>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</si>
  <si>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</si>
  <si>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</si>
  <si>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</si>
  <si>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</si>
  <si>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</si>
  <si>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</si>
  <si>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</si>
  <si>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</si>
  <si>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</si>
  <si>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</si>
  <si>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</si>
  <si>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</si>
  <si>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</si>
  <si>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</si>
  <si>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</si>
  <si>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</si>
  <si>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</si>
  <si>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</si>
  <si>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</si>
  <si>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</si>
  <si>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</si>
  <si>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</si>
  <si>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</si>
  <si>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</si>
  <si>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</si>
  <si>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</si>
  <si>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</si>
  <si>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</si>
  <si>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</si>
  <si>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</si>
  <si>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</si>
  <si>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</si>
  <si>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</si>
  <si>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</si>
  <si>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</si>
  <si>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</si>
  <si>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</si>
  <si>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</si>
  <si>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</si>
  <si>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</si>
  <si>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</si>
  <si>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</si>
  <si>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</si>
  <si>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</si>
  <si>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</si>
  <si>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</si>
  <si>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</si>
  <si>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</si>
  <si>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</si>
  <si>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</si>
  <si>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</si>
  <si>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</si>
  <si>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</si>
  <si>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</si>
  <si>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</si>
  <si>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</si>
  <si>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</si>
  <si>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</si>
  <si>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</si>
  <si>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</si>
  <si>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</si>
  <si>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</si>
  <si>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</si>
  <si>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</si>
  <si>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</si>
  <si>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</si>
  <si>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</si>
  <si>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</si>
  <si>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</si>
  <si>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</si>
  <si>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</si>
  <si>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</si>
  <si>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</si>
  <si>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</si>
  <si>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</si>
  <si>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</si>
  <si>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</si>
  <si>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</si>
  <si>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</si>
  <si>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</si>
  <si>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</si>
  <si>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</si>
  <si>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</si>
  <si>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</si>
  <si>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</si>
  <si>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</si>
  <si>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</si>
  <si>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</si>
  <si>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</si>
  <si>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</si>
  <si>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</si>
  <si>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</si>
  <si>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</si>
  <si>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</si>
  <si>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</si>
  <si>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</si>
  <si>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</si>
  <si>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</si>
  <si>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</si>
  <si>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</si>
  <si>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</si>
  <si>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</si>
  <si>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</si>
  <si>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</si>
  <si>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</si>
  <si>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</si>
  <si>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</si>
  <si>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</si>
  <si>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</si>
  <si>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</si>
  <si>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</si>
  <si>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</si>
  <si>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</si>
  <si>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</si>
  <si>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</si>
  <si>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</si>
  <si>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</si>
  <si>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</si>
  <si>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</si>
  <si>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</si>
  <si>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</si>
  <si>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</si>
  <si>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</si>
  <si>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</si>
  <si>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</si>
  <si>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</si>
  <si>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</si>
  <si>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</si>
  <si>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</si>
  <si>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</si>
  <si>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</si>
  <si>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</si>
  <si>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</si>
  <si>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</si>
  <si>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</si>
  <si>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</si>
  <si>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</si>
  <si>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</si>
  <si>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</si>
  <si>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</si>
  <si>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</si>
  <si>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</si>
  <si>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</si>
  <si>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</si>
  <si>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</si>
  <si>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</si>
  <si>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</si>
  <si>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</si>
  <si>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</si>
  <si>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</si>
  <si>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</si>
  <si>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</si>
  <si>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</si>
  <si>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</si>
  <si>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</si>
  <si>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</si>
  <si>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</si>
  <si>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</si>
  <si>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</si>
  <si>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</si>
  <si>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</si>
  <si>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</si>
  <si>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</si>
  <si>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</si>
  <si>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</si>
  <si>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</si>
  <si>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</si>
  <si>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</si>
  <si>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</si>
  <si>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</si>
  <si>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</si>
  <si>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</si>
  <si>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</si>
  <si>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</si>
  <si>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</si>
  <si>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</si>
  <si>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</si>
  <si>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</si>
  <si>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</si>
  <si>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</si>
  <si>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</si>
  <si>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</si>
  <si>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</si>
  <si>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</si>
  <si>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</si>
  <si>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</si>
  <si>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</si>
  <si>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</si>
  <si>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</si>
  <si>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</si>
  <si>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</si>
  <si>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</si>
  <si>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</si>
  <si>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</si>
  <si>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</si>
  <si>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</si>
  <si>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</si>
  <si>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</si>
  <si>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</si>
  <si>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</si>
  <si>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</si>
  <si>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</si>
  <si>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</si>
  <si>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</si>
  <si>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</si>
  <si>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</si>
  <si>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</si>
  <si>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</si>
  <si>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</si>
  <si>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</si>
  <si>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</si>
  <si>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</si>
  <si>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</si>
  <si>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</si>
  <si>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</si>
  <si>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</si>
  <si>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</si>
  <si>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</si>
  <si>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</si>
  <si>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</si>
  <si>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</si>
  <si>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</si>
  <si>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</si>
  <si>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</si>
  <si>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</si>
  <si>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</si>
  <si>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</si>
  <si>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</si>
  <si>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</si>
  <si>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</si>
  <si>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</si>
  <si>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</si>
  <si>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</si>
  <si>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</si>
  <si>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</si>
  <si>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</si>
  <si>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</si>
  <si>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</si>
  <si>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</si>
  <si>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</si>
  <si>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</si>
  <si>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</si>
  <si>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</si>
  <si>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</si>
  <si>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</si>
  <si>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</si>
  <si>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</si>
  <si>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</si>
  <si>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</si>
  <si>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</si>
  <si>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</si>
  <si>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</si>
  <si>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</si>
  <si>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</si>
  <si>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</si>
  <si>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</si>
  <si>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</si>
  <si>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</si>
  <si>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</si>
  <si>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</si>
  <si>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</si>
  <si>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</si>
  <si>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</si>
  <si>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</si>
  <si>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</si>
  <si>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</si>
  <si>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</si>
  <si>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</si>
  <si>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</si>
  <si>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</si>
  <si>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</si>
  <si>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</si>
  <si>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</si>
  <si>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</si>
  <si>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</si>
  <si>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</si>
  <si>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</si>
  <si>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</si>
  <si>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</si>
  <si>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</si>
  <si>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</si>
  <si>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</si>
  <si>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</si>
  <si>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</si>
  <si>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</si>
  <si>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</si>
  <si>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</si>
  <si>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</si>
  <si>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</si>
  <si>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</si>
  <si>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</si>
  <si>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</si>
  <si>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</si>
  <si>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</si>
  <si>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</si>
  <si>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</si>
  <si>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</si>
  <si>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</si>
  <si>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</si>
  <si>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</si>
  <si>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</si>
  <si>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</si>
  <si>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</si>
  <si>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</si>
  <si>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</si>
  <si>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</si>
  <si>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</si>
  <si>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</si>
  <si>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</si>
  <si>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</si>
  <si>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</si>
  <si>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</si>
  <si>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</si>
  <si>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</si>
  <si>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</si>
  <si>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</si>
  <si>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</si>
  <si>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</si>
  <si>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</si>
  <si>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</si>
  <si>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</si>
  <si>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</si>
  <si>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</si>
  <si>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</si>
  <si>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</si>
  <si>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</si>
  <si>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</si>
  <si>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</si>
  <si>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</si>
  <si>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</si>
  <si>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</si>
  <si>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</si>
  <si>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</si>
  <si>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</si>
  <si>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</si>
  <si>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</si>
  <si>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</si>
  <si>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</si>
  <si>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</si>
  <si>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</si>
  <si>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</si>
  <si>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</si>
  <si>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</si>
  <si>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</si>
  <si>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</si>
  <si>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</si>
  <si>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</si>
  <si>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</si>
  <si>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</si>
  <si>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</si>
  <si>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</si>
  <si>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</si>
  <si>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</si>
  <si>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</si>
  <si>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</si>
  <si>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</si>
  <si>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</si>
  <si>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</si>
  <si>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</si>
  <si>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</si>
  <si>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</si>
  <si>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</si>
  <si>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</si>
  <si>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</si>
  <si>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</si>
  <si>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</si>
  <si>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</si>
  <si>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</si>
  <si>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</si>
  <si>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</si>
  <si>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</si>
  <si>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</si>
  <si>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</si>
  <si>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</si>
  <si>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</si>
  <si>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</si>
  <si>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</si>
  <si>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</si>
  <si>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</si>
  <si>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</si>
  <si>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</si>
  <si>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</si>
  <si>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</si>
  <si>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</si>
  <si>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</si>
  <si>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</si>
  <si>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</si>
  <si>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</si>
  <si>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</si>
  <si>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</si>
  <si>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</si>
  <si>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</si>
  <si>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</si>
  <si>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</si>
  <si>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</si>
  <si>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</si>
  <si>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</si>
  <si>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</si>
  <si>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</si>
  <si>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</si>
  <si>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</si>
  <si>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</si>
  <si>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</si>
  <si>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</si>
  <si>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</si>
  <si>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</si>
  <si>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</si>
  <si>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</si>
  <si>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</si>
  <si>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</si>
  <si>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</si>
  <si>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</si>
  <si>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</si>
  <si>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</si>
  <si>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</si>
  <si>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</si>
  <si>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</si>
  <si>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</si>
  <si>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</si>
  <si>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</si>
  <si>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</si>
  <si>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</si>
  <si>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</si>
  <si>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</si>
  <si>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</si>
  <si>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</si>
  <si>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</si>
  <si>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</si>
  <si>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</si>
  <si>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</si>
  <si>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</si>
  <si>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</si>
  <si>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</si>
  <si>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</si>
  <si>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</si>
  <si>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</si>
  <si>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</si>
  <si>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</si>
  <si>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</si>
  <si>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</si>
  <si>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</si>
  <si>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</si>
  <si>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</si>
  <si>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</si>
  <si>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</si>
  <si>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</si>
  <si>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</si>
  <si>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</si>
  <si>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</si>
  <si>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</si>
  <si>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</si>
  <si>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</si>
  <si>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</si>
  <si>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</si>
  <si>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</si>
  <si>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</si>
  <si>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</si>
  <si>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</si>
  <si>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</si>
  <si>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</si>
  <si>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</si>
  <si>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</si>
  <si>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</si>
  <si>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</si>
  <si>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</si>
  <si>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</si>
  <si>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</si>
  <si>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</si>
  <si>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</si>
  <si>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</si>
  <si>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</si>
  <si>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</si>
  <si>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</si>
  <si>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</si>
  <si>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</si>
  <si>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</si>
  <si>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</si>
  <si>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</si>
  <si>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</si>
  <si>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</si>
  <si>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</si>
  <si>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</si>
  <si>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</si>
  <si>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</si>
  <si>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</si>
  <si>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</si>
  <si>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</si>
  <si>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</si>
  <si>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</si>
  <si>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</si>
  <si>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</si>
  <si>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</si>
  <si>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</si>
  <si>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</si>
  <si>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</si>
  <si>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</si>
  <si>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</si>
  <si>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</si>
  <si>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</si>
  <si>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</si>
  <si>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</si>
  <si>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</si>
  <si>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</si>
  <si>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</si>
  <si>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</si>
  <si>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</si>
  <si>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</si>
  <si>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</si>
  <si>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</si>
  <si>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</si>
  <si>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</si>
  <si>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</si>
  <si>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</si>
  <si>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</si>
  <si>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</si>
  <si>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</si>
  <si>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</si>
  <si>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</si>
  <si>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</si>
  <si>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</si>
  <si>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</si>
  <si>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</si>
  <si>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</si>
  <si>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</si>
  <si>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</si>
  <si>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</si>
  <si>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</si>
  <si>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</si>
  <si>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</si>
  <si>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</si>
  <si>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</si>
  <si>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</si>
  <si>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</si>
  <si>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</si>
  <si>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</si>
  <si>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</si>
  <si>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</si>
  <si>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</si>
  <si>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</si>
  <si>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</si>
  <si>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</si>
  <si>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</si>
  <si>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</si>
  <si>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</si>
  <si>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</si>
  <si>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</si>
  <si>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</si>
  <si>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</si>
  <si>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</si>
  <si>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</si>
  <si>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</si>
  <si>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</si>
  <si>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</si>
  <si>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</si>
  <si>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</si>
  <si>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</si>
  <si>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</si>
  <si>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</si>
  <si>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</si>
  <si>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</si>
  <si>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</si>
  <si>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</si>
  <si>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</si>
  <si>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</si>
  <si>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</si>
  <si>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</si>
  <si>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</si>
  <si>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</si>
  <si>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</si>
  <si>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</si>
  <si>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</si>
  <si>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</si>
  <si>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</si>
  <si>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</si>
  <si>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</si>
  <si>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</si>
  <si>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</si>
  <si>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</si>
  <si>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</si>
  <si>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</si>
  <si>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</si>
  <si>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</si>
  <si>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</si>
  <si>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</si>
  <si>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</si>
  <si>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</si>
  <si>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</si>
  <si>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</si>
  <si>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</si>
  <si>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</si>
  <si>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</si>
  <si>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</si>
  <si>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</si>
  <si>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</si>
  <si>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</si>
  <si>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</si>
  <si>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</si>
  <si>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</si>
  <si>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</si>
  <si>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</si>
  <si>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</si>
  <si>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</si>
  <si>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</si>
  <si>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</si>
  <si>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</si>
  <si>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</si>
  <si>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</si>
  <si>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</si>
  <si>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</si>
  <si>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</si>
  <si>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</si>
  <si>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</si>
  <si>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</si>
  <si>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</si>
  <si>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</si>
  <si>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</si>
  <si>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</si>
  <si>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</si>
  <si>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</si>
  <si>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</si>
  <si>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</si>
  <si>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</si>
  <si>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</si>
  <si>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</si>
  <si>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</si>
  <si>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</si>
  <si>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</si>
  <si>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</si>
  <si>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</si>
  <si>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</si>
  <si>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</si>
  <si>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</si>
  <si>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</si>
  <si>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</si>
  <si>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</si>
  <si>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</si>
  <si>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</si>
  <si>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</si>
  <si>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</si>
  <si>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</si>
  <si>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</si>
  <si>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</si>
  <si>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</si>
  <si>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</si>
  <si>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</si>
  <si>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</si>
  <si>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</si>
  <si>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</si>
  <si>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</si>
  <si>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</si>
  <si>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</si>
  <si>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</si>
  <si>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</si>
  <si>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</si>
  <si>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</si>
  <si>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</si>
  <si>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</si>
  <si>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</si>
  <si>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</si>
  <si>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</si>
  <si>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</si>
  <si>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</si>
  <si>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</si>
  <si>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</si>
  <si>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</si>
  <si>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</si>
  <si>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</si>
  <si>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</si>
  <si>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</si>
  <si>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</si>
  <si>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</si>
  <si>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</si>
  <si>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</si>
  <si>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</si>
  <si>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</si>
  <si>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</si>
  <si>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</si>
  <si>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</si>
  <si>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</si>
  <si>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</si>
  <si>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</si>
  <si>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</si>
  <si>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</si>
  <si>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</si>
  <si>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</si>
  <si>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</si>
  <si>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</si>
  <si>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</si>
  <si>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</si>
  <si>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</si>
  <si>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</si>
  <si>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</si>
  <si>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</si>
  <si>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</si>
  <si>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</si>
  <si>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</si>
  <si>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</si>
  <si>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</si>
  <si>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</si>
  <si>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</si>
  <si>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</si>
  <si>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</si>
  <si>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</si>
  <si>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</si>
  <si>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</si>
  <si>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</si>
  <si>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</si>
  <si>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</si>
  <si>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</si>
  <si>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</si>
  <si>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</si>
  <si>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</si>
  <si>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</si>
  <si>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</si>
  <si>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</si>
  <si>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</si>
  <si>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</si>
  <si>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</si>
  <si>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</si>
  <si>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</si>
  <si>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</si>
  <si>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</si>
  <si>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</si>
  <si>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</si>
  <si>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</si>
  <si>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</si>
  <si>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</si>
  <si>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</si>
  <si>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</si>
  <si>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</si>
  <si>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</si>
  <si>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</si>
  <si>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</si>
  <si>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</si>
  <si>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</si>
  <si>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</si>
  <si>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</si>
  <si>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</si>
  <si>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</si>
  <si>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</si>
  <si>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</si>
  <si>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</si>
  <si>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</si>
  <si>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</si>
  <si>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</si>
  <si>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</si>
  <si>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</si>
  <si>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</si>
  <si>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</si>
  <si>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</si>
  <si>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</si>
  <si>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</si>
  <si>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</si>
  <si>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</si>
  <si>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</si>
  <si>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</si>
  <si>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</si>
  <si>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</si>
  <si>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</si>
  <si>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</si>
  <si>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</si>
  <si>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</si>
  <si>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</si>
  <si>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</si>
  <si>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</si>
  <si>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</si>
  <si>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</si>
  <si>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</si>
  <si>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</si>
  <si>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</si>
  <si>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</si>
  <si>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</si>
  <si>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</si>
  <si>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</si>
  <si>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</si>
  <si>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</si>
  <si>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</si>
  <si>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</si>
  <si>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</si>
  <si>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</si>
  <si>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</si>
  <si>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</si>
  <si>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</si>
  <si>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</si>
  <si>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</si>
  <si>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</si>
  <si>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</si>
  <si>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</si>
  <si>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</si>
  <si>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</si>
  <si>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</si>
  <si>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</si>
  <si>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</si>
  <si>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</si>
  <si>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</si>
  <si>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</si>
  <si>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</si>
  <si>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</si>
  <si>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</si>
  <si>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</si>
  <si>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</si>
  <si>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</si>
  <si>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</si>
  <si>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</si>
  <si>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</si>
  <si>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</si>
  <si>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</si>
  <si>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</si>
  <si>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</si>
  <si>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</si>
  <si>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</si>
  <si>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</si>
  <si>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</si>
  <si>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</si>
  <si>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</si>
  <si>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</si>
  <si>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</si>
  <si>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</si>
  <si>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</si>
  <si>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</si>
  <si>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</si>
  <si>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</si>
  <si>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</si>
  <si>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</si>
  <si>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</si>
  <si>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</si>
  <si>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</si>
  <si>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</si>
  <si>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</si>
  <si>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</si>
  <si>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</si>
  <si>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</si>
  <si>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</si>
  <si>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</si>
  <si>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</si>
  <si>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</si>
  <si>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</si>
  <si>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</si>
  <si>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</si>
  <si>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</si>
  <si>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</si>
  <si>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</si>
  <si>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</si>
  <si>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</si>
  <si>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</si>
  <si>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</si>
  <si>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</si>
  <si>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</si>
  <si>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</si>
  <si>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</si>
  <si>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</si>
  <si>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</si>
  <si>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</si>
  <si>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</si>
  <si>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</si>
  <si>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</si>
  <si>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</si>
  <si>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</si>
  <si>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</si>
  <si>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</si>
  <si>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</si>
  <si>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</si>
  <si>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</si>
  <si>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</si>
  <si>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</si>
  <si>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</si>
  <si>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</si>
  <si>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</si>
  <si>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</si>
  <si>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</si>
  <si>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</si>
  <si>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</si>
  <si>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</si>
  <si>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</si>
  <si>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</si>
  <si>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</si>
  <si>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</si>
  <si>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</si>
  <si>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</si>
  <si>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</si>
  <si>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</si>
  <si>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</si>
  <si>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</si>
  <si>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</si>
  <si>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</si>
  <si>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</si>
  <si>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</si>
  <si>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</si>
  <si>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</si>
  <si>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</si>
  <si>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</si>
  <si>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</si>
  <si>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</si>
  <si>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</si>
  <si>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</si>
  <si>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</si>
  <si>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</si>
  <si>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</si>
  <si>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</si>
  <si>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</si>
  <si>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</si>
  <si>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</si>
  <si>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</si>
  <si>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</si>
  <si>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</si>
  <si>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</si>
  <si>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</si>
  <si>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</si>
  <si>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</si>
  <si>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</si>
  <si>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</si>
  <si>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</si>
  <si>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</si>
  <si>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</si>
  <si>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</si>
  <si>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</si>
  <si>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</si>
  <si>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</si>
  <si>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</si>
  <si>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</si>
  <si>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</si>
  <si>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</si>
  <si>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</si>
  <si>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</si>
  <si>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</si>
  <si>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</si>
  <si>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</si>
  <si>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</si>
  <si>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</si>
  <si>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</si>
  <si>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</si>
  <si>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</si>
  <si>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</si>
  <si>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</si>
  <si>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</si>
  <si>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</si>
  <si>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</si>
  <si>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</si>
  <si>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</si>
  <si>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</si>
  <si>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</si>
  <si>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</si>
  <si>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</si>
  <si>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</si>
  <si>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</si>
  <si>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</si>
  <si>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</si>
  <si>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</si>
  <si>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</si>
  <si>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</si>
  <si>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</si>
  <si>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</si>
  <si>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</si>
  <si>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</si>
  <si>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</si>
  <si>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</si>
  <si>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</si>
  <si>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</si>
  <si>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</si>
  <si>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</si>
  <si>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</si>
  <si>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</si>
  <si>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</si>
  <si>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</si>
  <si>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</si>
  <si>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</si>
  <si>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</si>
  <si>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</si>
  <si>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</si>
  <si>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</si>
  <si>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</si>
  <si>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</si>
  <si>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</si>
  <si>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</si>
  <si>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</si>
  <si>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</si>
  <si>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</si>
  <si>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</si>
  <si>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</si>
  <si>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</si>
  <si>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</si>
  <si>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</si>
  <si>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</si>
  <si>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</si>
  <si>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</si>
  <si>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</si>
  <si>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</si>
  <si>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</si>
  <si>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</si>
  <si>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</si>
  <si>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</si>
  <si>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</si>
  <si>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</si>
  <si>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</si>
  <si>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</si>
  <si>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</si>
  <si>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</si>
  <si>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</si>
  <si>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</si>
  <si>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</si>
  <si>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</si>
  <si>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</si>
  <si>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</si>
  <si>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</si>
  <si>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</si>
  <si>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</si>
  <si>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</si>
  <si>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</si>
  <si>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</si>
  <si>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</si>
  <si>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</si>
  <si>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</si>
  <si>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</si>
  <si>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</si>
  <si>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</si>
  <si>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</si>
  <si>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</si>
  <si>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</si>
  <si>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</si>
  <si>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</si>
  <si>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</si>
  <si>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</si>
  <si>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</si>
  <si>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</si>
  <si>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</si>
  <si>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</si>
  <si>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</si>
  <si>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</si>
  <si>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</si>
  <si>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</si>
  <si>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</si>
  <si>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</si>
  <si>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</si>
  <si>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</si>
  <si>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</si>
  <si>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</si>
  <si>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</si>
  <si>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</si>
  <si>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</si>
  <si>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</si>
  <si>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</si>
  <si>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</si>
  <si>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</si>
  <si>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</si>
  <si>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</si>
  <si>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</si>
  <si>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</si>
  <si>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</si>
  <si>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</si>
  <si>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</si>
  <si>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</si>
  <si>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</si>
  <si>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</si>
  <si>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</si>
  <si>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</si>
  <si>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</si>
  <si>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</si>
  <si>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</si>
  <si>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</si>
  <si>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</si>
  <si>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</si>
  <si>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</si>
  <si>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</si>
  <si>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</si>
  <si>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</si>
  <si>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</si>
  <si>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</si>
  <si>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</si>
  <si>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</si>
  <si>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</si>
  <si>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</si>
  <si>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</si>
  <si>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</si>
  <si>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</si>
  <si>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</si>
  <si>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</si>
  <si>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</si>
  <si>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</si>
  <si>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</si>
  <si>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</si>
  <si>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</si>
  <si>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</si>
  <si>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</si>
  <si>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</si>
  <si>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</si>
  <si>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</si>
  <si>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</si>
  <si>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</si>
  <si>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</si>
  <si>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</si>
  <si>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</si>
  <si>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</si>
  <si>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</si>
  <si>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</si>
  <si>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</si>
  <si>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</si>
  <si>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</si>
  <si>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</si>
  <si>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</si>
  <si>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</si>
  <si>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</si>
  <si>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</si>
  <si>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</si>
  <si>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</si>
  <si>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</si>
  <si>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</si>
  <si>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</si>
  <si>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</si>
  <si>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</si>
  <si>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</si>
  <si>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</si>
  <si>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</si>
  <si>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</si>
  <si>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</si>
  <si>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</si>
  <si>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</si>
  <si>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</si>
  <si>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</si>
  <si>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</si>
  <si>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</si>
  <si>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</si>
  <si>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</si>
  <si>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</si>
  <si>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</si>
  <si>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</si>
  <si>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</si>
  <si>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</si>
  <si>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</si>
  <si>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</si>
  <si>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</si>
  <si>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</si>
  <si>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</si>
  <si>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</si>
  <si>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</si>
  <si>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</si>
  <si>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</si>
  <si>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</si>
  <si>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</si>
  <si>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</si>
  <si>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</si>
  <si>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</si>
  <si>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</si>
  <si>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</si>
  <si>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</si>
  <si>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</si>
  <si>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</si>
  <si>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</si>
  <si>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</si>
  <si>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</si>
  <si>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</si>
  <si>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</si>
  <si>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</si>
  <si>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</si>
  <si>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</si>
  <si>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</si>
  <si>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</si>
  <si>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</si>
  <si>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</si>
  <si>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</si>
  <si>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</si>
  <si>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</si>
  <si>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</si>
  <si>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</si>
  <si>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</si>
  <si>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</si>
  <si>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</si>
  <si>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</si>
  <si>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</si>
  <si>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</si>
  <si>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</si>
  <si>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</si>
  <si>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</si>
  <si>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</si>
  <si>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</si>
  <si>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</si>
  <si>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</si>
  <si>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</si>
  <si>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</si>
  <si>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</si>
  <si>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</si>
  <si>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</si>
  <si>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</si>
  <si>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</si>
  <si>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</si>
  <si>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</si>
  <si>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</si>
  <si>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</si>
  <si>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</si>
  <si>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</si>
  <si>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</si>
  <si>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</si>
  <si>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</si>
  <si>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</si>
  <si>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</si>
  <si>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</si>
  <si>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</si>
  <si>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</si>
  <si>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</si>
  <si>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</si>
  <si>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</si>
  <si>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</si>
  <si>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</si>
  <si>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</si>
  <si>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</si>
  <si>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</si>
  <si>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</si>
  <si>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</si>
  <si>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</si>
  <si>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</si>
  <si>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</si>
  <si>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</si>
  <si>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</si>
  <si>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</si>
  <si>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</si>
  <si>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</si>
  <si>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</si>
  <si>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</si>
  <si>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</si>
  <si>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</si>
  <si>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</si>
  <si>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</si>
  <si>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</si>
  <si>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</si>
  <si>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</si>
  <si>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</si>
  <si>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</si>
  <si>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</si>
  <si>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</si>
  <si>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</si>
  <si>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</si>
  <si>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</si>
  <si>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</si>
  <si>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</si>
  <si>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</si>
  <si>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</si>
  <si>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</si>
  <si>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</si>
  <si>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</si>
  <si>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</si>
  <si>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</si>
  <si>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</si>
  <si>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</si>
  <si>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</si>
  <si>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</si>
  <si>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</si>
  <si>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</si>
  <si>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</si>
  <si>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</si>
  <si>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</si>
  <si>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</si>
  <si>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</si>
  <si>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</si>
  <si>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</si>
  <si>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</si>
  <si>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</si>
  <si>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</si>
  <si>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</si>
  <si>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</si>
  <si>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</si>
  <si>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</si>
  <si>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</si>
  <si>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</si>
  <si>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</si>
  <si>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</si>
  <si>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</si>
  <si>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</si>
  <si>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</si>
  <si>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</si>
  <si>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</si>
  <si>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</si>
  <si>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</si>
  <si>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</si>
  <si>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</si>
  <si>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</si>
  <si>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</si>
  <si>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</si>
  <si>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</si>
  <si>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</si>
  <si>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</si>
  <si>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</si>
  <si>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</si>
  <si>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</si>
  <si>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</si>
  <si>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</si>
  <si>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</si>
  <si>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</si>
  <si>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</si>
  <si>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</si>
  <si>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</si>
  <si>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</si>
  <si>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</si>
  <si>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</si>
  <si>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</si>
  <si>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</si>
  <si>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</si>
  <si>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</si>
  <si>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</si>
  <si>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</si>
  <si>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</si>
  <si>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</si>
  <si>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</si>
  <si>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</si>
  <si>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</si>
  <si>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</si>
  <si>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</si>
  <si>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</si>
  <si>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</si>
  <si>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</si>
  <si>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</si>
  <si>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</si>
  <si>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</si>
  <si>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</si>
  <si>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</si>
  <si>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</si>
  <si>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</si>
  <si>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</si>
  <si>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</si>
  <si>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</si>
  <si>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</si>
  <si>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</si>
  <si>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</si>
  <si>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</si>
  <si>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</si>
  <si>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</si>
  <si>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</si>
  <si>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</si>
  <si>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</si>
  <si>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</si>
  <si>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</si>
  <si>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</si>
  <si>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</si>
  <si>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</si>
  <si>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</si>
  <si>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</si>
  <si>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</si>
  <si>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</si>
  <si>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</si>
  <si>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</si>
  <si>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</si>
  <si>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</si>
  <si>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</si>
  <si>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</si>
  <si>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</si>
  <si>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</si>
  <si>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</si>
  <si>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</si>
  <si>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</si>
  <si>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</si>
  <si>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</si>
  <si>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</si>
  <si>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</si>
  <si>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</si>
  <si>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</si>
  <si>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</si>
  <si>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</si>
  <si>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</si>
  <si>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</si>
  <si>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</si>
  <si>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</si>
  <si>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</si>
  <si>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</si>
  <si>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</si>
  <si>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</si>
  <si>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</si>
  <si>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</si>
  <si>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</si>
  <si>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</si>
  <si>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</si>
  <si>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</si>
  <si>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</si>
  <si>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</si>
  <si>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</si>
  <si>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</si>
  <si>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</si>
  <si>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</si>
  <si>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</si>
  <si>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</si>
  <si>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</si>
  <si>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</si>
  <si>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</si>
  <si>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</si>
  <si>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</si>
  <si>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</si>
  <si>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</si>
  <si>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</si>
  <si>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</si>
  <si>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</si>
  <si>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</si>
  <si>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</si>
  <si>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</si>
  <si>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</si>
  <si>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</si>
  <si>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</si>
  <si>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</si>
  <si>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</si>
  <si>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</si>
  <si>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</si>
  <si>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</si>
  <si>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</si>
  <si>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</si>
  <si>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</si>
  <si>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</si>
  <si>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</si>
  <si>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</si>
  <si>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</si>
  <si>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</si>
  <si>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</si>
  <si>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</si>
  <si>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</si>
  <si>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</si>
  <si>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</si>
  <si>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</si>
  <si>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</si>
  <si>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</si>
  <si>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</si>
  <si>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</si>
  <si>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</si>
  <si>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</si>
  <si>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</si>
  <si>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</si>
  <si>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</si>
  <si>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</si>
  <si>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</si>
  <si>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</si>
  <si>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</si>
  <si>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</si>
  <si>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</si>
  <si>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</si>
  <si>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</si>
  <si>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</si>
  <si>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</si>
  <si>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</si>
  <si>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</si>
  <si>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</si>
  <si>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</si>
  <si>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</si>
  <si>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</si>
  <si>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</si>
  <si>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</si>
  <si>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</si>
  <si>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</si>
  <si>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</si>
  <si>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</si>
  <si>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</si>
  <si>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</si>
  <si>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</si>
  <si>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</si>
  <si>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</si>
  <si>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</si>
  <si>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</si>
  <si>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</si>
  <si>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</si>
  <si>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</si>
  <si>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</si>
  <si>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</si>
  <si>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</si>
  <si>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</si>
  <si>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</si>
  <si>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</si>
  <si>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</si>
  <si>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</si>
  <si>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</si>
  <si>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</si>
  <si>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</si>
  <si>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</si>
  <si>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</si>
  <si>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</si>
  <si>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</si>
  <si>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</si>
  <si>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</si>
  <si>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</si>
  <si>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</si>
  <si>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</si>
  <si>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</si>
  <si>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</si>
  <si>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</si>
  <si>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</si>
  <si>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</si>
  <si>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</si>
  <si>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</si>
  <si>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</si>
  <si>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</si>
  <si>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</si>
  <si>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</si>
  <si>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</si>
  <si>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</si>
  <si>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</si>
  <si>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</si>
  <si>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</si>
  <si>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</si>
  <si>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</si>
  <si>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</si>
  <si>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</si>
  <si>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</si>
  <si>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</si>
  <si>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</si>
  <si>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</si>
  <si>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</si>
  <si>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</si>
  <si>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</si>
  <si>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</si>
  <si>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</si>
  <si>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</si>
  <si>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</si>
  <si>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</si>
  <si>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</si>
  <si>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</si>
  <si>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</si>
  <si>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</si>
  <si>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</si>
  <si>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</si>
  <si>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</si>
  <si>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</si>
  <si>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</si>
  <si>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</si>
  <si>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</si>
  <si>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</si>
  <si>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</si>
  <si>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</si>
  <si>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</si>
  <si>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</si>
  <si>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</si>
  <si>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</si>
  <si>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朝阳区青年沟路</t>
    </r>
    <r>
      <rPr>
        <sz val="10"/>
        <color theme="9" tint="-0.249977111117893"/>
        <rFont val="Arial"/>
        <family val="2"/>
      </rPr>
      <t>8</t>
    </r>
    <r>
      <rPr>
        <sz val="10"/>
        <color theme="9" tint="-0.249977111117893"/>
        <rFont val="宋体"/>
        <family val="3"/>
        <charset val="134"/>
      </rPr>
      <t>号楼</t>
    </r>
    <phoneticPr fontId="6" type="noConversion"/>
  </si>
  <si>
    <t>商业</t>
    <phoneticPr fontId="6" type="noConversion"/>
  </si>
  <si>
    <t>是</t>
  </si>
  <si>
    <t>现房</t>
  </si>
  <si>
    <t>B106</t>
  </si>
  <si>
    <t>B106</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</si>
  <si>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</si>
  <si>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</si>
  <si>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B207</t>
    <phoneticPr fontId="3" type="noConversion"/>
  </si>
  <si>
    <t>B202</t>
    <phoneticPr fontId="3" type="noConversion"/>
  </si>
  <si>
    <t>地上</t>
  </si>
  <si>
    <t>成新度</t>
  </si>
  <si>
    <t>建成年代</t>
    <phoneticPr fontId="3" type="noConversion"/>
  </si>
  <si>
    <t>直线</t>
    <phoneticPr fontId="3" type="noConversion"/>
  </si>
  <si>
    <t>观察</t>
    <phoneticPr fontId="3" type="noConversion"/>
  </si>
  <si>
    <t>综合</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</si>
  <si>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</si>
  <si>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</si>
  <si>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</si>
  <si>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</si>
  <si>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</si>
  <si>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</si>
  <si>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</si>
  <si>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</si>
  <si>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</si>
  <si>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</si>
  <si>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</si>
  <si>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</si>
  <si>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</si>
  <si>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</si>
  <si>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</si>
  <si>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r>
      <t>3</t>
    </r>
    <r>
      <rPr>
        <sz val="11"/>
        <color theme="1"/>
        <rFont val="宋体"/>
        <family val="3"/>
        <charset val="134"/>
      </rPr>
      <t>、</t>
    </r>
    <r>
      <rPr>
        <sz val="11"/>
        <color theme="1"/>
        <rFont val="Arial"/>
        <family val="2"/>
      </rPr>
      <t>5</t>
    </r>
    <phoneticPr fontId="247"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</si>
  <si>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</si>
  <si>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</si>
  <si>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</si>
  <si>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</si>
  <si>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</si>
  <si>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</si>
  <si>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</si>
  <si>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</si>
  <si>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</si>
  <si>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</si>
  <si>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</si>
  <si>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钢混</t>
  </si>
  <si>
    <t>非生产用房</t>
  </si>
  <si>
    <t>否</t>
  </si>
  <si>
    <t>西坝河西里，小区里独立的配套商业，1-2层，建筑面积274平，建面单价7.2万，实际使用面积800多平，1层层高6米，可做两层，加建了3层，但是不在房本面积里</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</si>
  <si>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</si>
  <si>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</si>
  <si>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</si>
  <si>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单套模式</t>
  </si>
  <si>
    <t>售价</t>
  </si>
  <si>
    <r>
      <rPr>
        <sz val="11"/>
        <color theme="9" tint="-0.249977111117893"/>
        <rFont val="宋体"/>
        <family val="3"/>
        <charset val="134"/>
      </rPr>
      <t>青年沟路</t>
    </r>
    <r>
      <rPr>
        <sz val="11"/>
        <color theme="9" tint="-0.249977111117893"/>
        <rFont val="Arial"/>
        <family val="2"/>
      </rPr>
      <t>8</t>
    </r>
    <r>
      <rPr>
        <sz val="11"/>
        <color theme="9" tint="-0.249977111117893"/>
        <rFont val="宋体"/>
        <family val="3"/>
        <charset val="134"/>
      </rPr>
      <t>号楼</t>
    </r>
    <r>
      <rPr>
        <sz val="11"/>
        <color theme="9" tint="-0.249977111117893"/>
        <rFont val="Arial"/>
        <family val="2"/>
      </rPr>
      <t>1</t>
    </r>
    <r>
      <rPr>
        <sz val="11"/>
        <color theme="9" tint="-0.249977111117893"/>
        <rFont val="宋体"/>
        <family val="3"/>
        <charset val="134"/>
      </rPr>
      <t>层B106</t>
    </r>
    <phoneticPr fontId="30" type="noConversion"/>
  </si>
  <si>
    <t>青年沟路8号楼1层</t>
    <phoneticPr fontId="3" type="noConversion"/>
  </si>
  <si>
    <t>正常</t>
  </si>
  <si>
    <t>报价</t>
  </si>
  <si>
    <t>报价</t>
    <phoneticPr fontId="30" type="noConversion"/>
  </si>
  <si>
    <t>商业</t>
    <phoneticPr fontId="30" type="noConversion"/>
  </si>
  <si>
    <t>七通</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</si>
  <si>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</si>
  <si>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</si>
  <si>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</si>
  <si>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配套商业</t>
  </si>
  <si>
    <t>配套商业</t>
    <phoneticPr fontId="30" type="noConversion"/>
  </si>
  <si>
    <t>差</t>
  </si>
  <si>
    <t>多</t>
  </si>
  <si>
    <t>较多</t>
  </si>
  <si>
    <t>较少</t>
  </si>
  <si>
    <t>少</t>
  </si>
  <si>
    <t>阳光丽景</t>
    <phoneticPr fontId="3" type="noConversion"/>
  </si>
  <si>
    <t>西坝河西里</t>
    <phoneticPr fontId="3" type="noConversion"/>
  </si>
  <si>
    <t>1层</t>
  </si>
  <si>
    <t>比较法-商业</t>
  </si>
  <si>
    <t>1层底商临街</t>
    <phoneticPr fontId="134" type="noConversion"/>
  </si>
  <si>
    <t>报价</t>
    <phoneticPr fontId="134" type="noConversion"/>
  </si>
  <si>
    <t>元左右</t>
    <phoneticPr fontId="134" type="noConversion"/>
  </si>
  <si>
    <t>租金打包价4元/平方米，含地下700平，1层170平，2层2000多平</t>
    <phoneticPr fontId="134" type="noConversion"/>
  </si>
  <si>
    <t>楼层</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</si>
  <si>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</si>
  <si>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</si>
  <si>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</si>
  <si>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楼面单价</t>
  </si>
  <si>
    <t>自定义</t>
  </si>
  <si>
    <r>
      <rPr>
        <sz val="11"/>
        <rFont val="宋体"/>
        <family val="3"/>
        <charset val="134"/>
      </rPr>
      <t>修正为</t>
    </r>
    <r>
      <rPr>
        <sz val="11"/>
        <rFont val="Arial"/>
        <family val="2"/>
      </rPr>
      <t>1</t>
    </r>
    <r>
      <rPr>
        <sz val="11"/>
        <rFont val="宋体"/>
        <family val="3"/>
        <charset val="134"/>
      </rPr>
      <t>层单价</t>
    </r>
    <phoneticPr fontId="30" type="noConversion"/>
  </si>
  <si>
    <t>2层是亚朵酒店，2层全部出售，有10个房本，单价30000多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</si>
</sst>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i/>
      <sz val="9"/>
      <color theme="1"/>
      <name val="Arial"/>
      <family val="2"/>
    </font>
    <font>
      <sz val="11"/>
      <color theme="9" tint="-0.249977111117893"/>
      <name val="Arial"/>
      <family val="3"/>
      <charset val="134"/>
    </font>
    <font>
      <sz val="11"/>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71" fillId="27" borderId="0" xfId="0" applyFont="1" applyFill="1" applyAlignment="1" applyProtection="1">
      <alignment horizontal="righ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73"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272"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5" fillId="0" borderId="0" xfId="0" applyFont="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516143</xdr:colOff>
      <xdr:row>25</xdr:row>
      <xdr:rowOff>46671</xdr:rowOff>
    </xdr:to>
    <xdr:pic>
      <xdr:nvPicPr>
        <xdr:cNvPr id="2" name="图片 1">
          <a:extLst>
            <a:ext uri="{FF2B5EF4-FFF2-40B4-BE49-F238E27FC236}">
              <a16:creationId xmlns:a16="http://schemas.microsoft.com/office/drawing/2014/main" id="{090BF00C-C7B5-88E4-98B2-D85E0C2DDB9F}"/>
            </a:ext>
          </a:extLst>
        </xdr:cNvPr>
        <xdr:cNvPicPr>
          <a:picLocks noChangeAspect="1"/>
        </xdr:cNvPicPr>
      </xdr:nvPicPr>
      <xdr:blipFill>
        <a:blip xmlns:r="http://schemas.openxmlformats.org/officeDocument/2006/relationships" r:embed="rId1"/>
        <a:stretch>
          <a:fillRect/>
        </a:stretch>
      </xdr:blipFill>
      <xdr:spPr>
        <a:xfrm>
          <a:off x="0" y="0"/>
          <a:ext cx="6002543" cy="4618671"/>
        </a:xfrm>
        <a:prstGeom prst="rect">
          <a:avLst/>
        </a:prstGeom>
      </xdr:spPr>
    </xdr:pic>
    <xdr:clientData/>
  </xdr:twoCellAnchor>
  <xdr:twoCellAnchor editAs="oneCell">
    <xdr:from>
      <xdr:col>0</xdr:col>
      <xdr:colOff>0</xdr:colOff>
      <xdr:row>26</xdr:row>
      <xdr:rowOff>99060</xdr:rowOff>
    </xdr:from>
    <xdr:to>
      <xdr:col>11</xdr:col>
      <xdr:colOff>125066</xdr:colOff>
      <xdr:row>56</xdr:row>
      <xdr:rowOff>44763</xdr:rowOff>
    </xdr:to>
    <xdr:pic>
      <xdr:nvPicPr>
        <xdr:cNvPr id="3" name="图片 2">
          <a:extLst>
            <a:ext uri="{FF2B5EF4-FFF2-40B4-BE49-F238E27FC236}">
              <a16:creationId xmlns:a16="http://schemas.microsoft.com/office/drawing/2014/main" id="{A56CF4FB-A9D9-3743-A462-321D323B67A0}"/>
            </a:ext>
          </a:extLst>
        </xdr:cNvPr>
        <xdr:cNvPicPr>
          <a:picLocks noChangeAspect="1"/>
        </xdr:cNvPicPr>
      </xdr:nvPicPr>
      <xdr:blipFill>
        <a:blip xmlns:r="http://schemas.openxmlformats.org/officeDocument/2006/relationships" r:embed="rId2"/>
        <a:stretch>
          <a:fillRect/>
        </a:stretch>
      </xdr:blipFill>
      <xdr:spPr>
        <a:xfrm>
          <a:off x="0" y="4853940"/>
          <a:ext cx="6830666" cy="5432103"/>
        </a:xfrm>
        <a:prstGeom prst="rect">
          <a:avLst/>
        </a:prstGeom>
      </xdr:spPr>
    </xdr:pic>
    <xdr:clientData/>
  </xdr:twoCellAnchor>
  <xdr:twoCellAnchor editAs="oneCell">
    <xdr:from>
      <xdr:col>0</xdr:col>
      <xdr:colOff>15240</xdr:colOff>
      <xdr:row>58</xdr:row>
      <xdr:rowOff>91440</xdr:rowOff>
    </xdr:from>
    <xdr:to>
      <xdr:col>11</xdr:col>
      <xdr:colOff>14195</xdr:colOff>
      <xdr:row>83</xdr:row>
      <xdr:rowOff>37205</xdr:rowOff>
    </xdr:to>
    <xdr:pic>
      <xdr:nvPicPr>
        <xdr:cNvPr id="5" name="图片 4">
          <a:extLst>
            <a:ext uri="{FF2B5EF4-FFF2-40B4-BE49-F238E27FC236}">
              <a16:creationId xmlns:a16="http://schemas.microsoft.com/office/drawing/2014/main" id="{F873AB1E-3DA2-CC8E-32AC-D58AB1C3F0FE}"/>
            </a:ext>
          </a:extLst>
        </xdr:cNvPr>
        <xdr:cNvPicPr>
          <a:picLocks noChangeAspect="1"/>
        </xdr:cNvPicPr>
      </xdr:nvPicPr>
      <xdr:blipFill>
        <a:blip xmlns:r="http://schemas.openxmlformats.org/officeDocument/2006/relationships" r:embed="rId3"/>
        <a:stretch>
          <a:fillRect/>
        </a:stretch>
      </xdr:blipFill>
      <xdr:spPr>
        <a:xfrm>
          <a:off x="15240" y="10698480"/>
          <a:ext cx="6704555" cy="4517765"/>
        </a:xfrm>
        <a:prstGeom prst="rect">
          <a:avLst/>
        </a:prstGeom>
      </xdr:spPr>
    </xdr:pic>
    <xdr:clientData/>
  </xdr:twoCellAnchor>
  <xdr:twoCellAnchor editAs="oneCell">
    <xdr:from>
      <xdr:col>10</xdr:col>
      <xdr:colOff>570610</xdr:colOff>
      <xdr:row>10</xdr:row>
      <xdr:rowOff>0</xdr:rowOff>
    </xdr:from>
    <xdr:to>
      <xdr:col>20</xdr:col>
      <xdr:colOff>583611</xdr:colOff>
      <xdr:row>36</xdr:row>
      <xdr:rowOff>29551</xdr:rowOff>
    </xdr:to>
    <xdr:pic>
      <xdr:nvPicPr>
        <xdr:cNvPr id="4" name="图片 3">
          <a:extLst>
            <a:ext uri="{FF2B5EF4-FFF2-40B4-BE49-F238E27FC236}">
              <a16:creationId xmlns:a16="http://schemas.microsoft.com/office/drawing/2014/main" id="{220A722A-7CEC-85F2-BB1F-7E7023C298E7}"/>
            </a:ext>
          </a:extLst>
        </xdr:cNvPr>
        <xdr:cNvPicPr>
          <a:picLocks noChangeAspect="1"/>
        </xdr:cNvPicPr>
      </xdr:nvPicPr>
      <xdr:blipFill>
        <a:blip xmlns:r="http://schemas.openxmlformats.org/officeDocument/2006/relationships" r:embed="rId4"/>
        <a:stretch>
          <a:fillRect/>
        </a:stretch>
      </xdr:blipFill>
      <xdr:spPr>
        <a:xfrm>
          <a:off x="6666610" y="1828800"/>
          <a:ext cx="6299501" cy="4784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175260</xdr:colOff>
      <xdr:row>32</xdr:row>
      <xdr:rowOff>76200</xdr:rowOff>
    </xdr:from>
    <xdr:to>
      <xdr:col>21</xdr:col>
      <xdr:colOff>388620</xdr:colOff>
      <xdr:row>48</xdr:row>
      <xdr:rowOff>84781</xdr:rowOff>
    </xdr:to>
    <xdr:pic>
      <xdr:nvPicPr>
        <xdr:cNvPr id="2" name="图片 1">
          <a:extLst>
            <a:ext uri="{FF2B5EF4-FFF2-40B4-BE49-F238E27FC236}">
              <a16:creationId xmlns:a16="http://schemas.microsoft.com/office/drawing/2014/main" id="{9B763A1C-2C78-1AD3-2763-7A409C07D066}"/>
            </a:ext>
          </a:extLst>
        </xdr:cNvPr>
        <xdr:cNvPicPr>
          <a:picLocks noChangeAspect="1"/>
        </xdr:cNvPicPr>
      </xdr:nvPicPr>
      <xdr:blipFill>
        <a:blip xmlns:r="http://schemas.openxmlformats.org/officeDocument/2006/relationships" r:embed="rId1"/>
        <a:stretch>
          <a:fillRect/>
        </a:stretch>
      </xdr:blipFill>
      <xdr:spPr>
        <a:xfrm>
          <a:off x="9928860" y="5928360"/>
          <a:ext cx="3261360" cy="2934661"/>
        </a:xfrm>
        <a:prstGeom prst="rect">
          <a:avLst/>
        </a:prstGeom>
      </xdr:spPr>
    </xdr:pic>
    <xdr:clientData/>
  </xdr:twoCellAnchor>
  <xdr:twoCellAnchor editAs="oneCell">
    <xdr:from>
      <xdr:col>0</xdr:col>
      <xdr:colOff>0</xdr:colOff>
      <xdr:row>0</xdr:row>
      <xdr:rowOff>106680</xdr:rowOff>
    </xdr:from>
    <xdr:to>
      <xdr:col>10</xdr:col>
      <xdr:colOff>56700</xdr:colOff>
      <xdr:row>26</xdr:row>
      <xdr:rowOff>82853</xdr:rowOff>
    </xdr:to>
    <xdr:pic>
      <xdr:nvPicPr>
        <xdr:cNvPr id="3" name="图片 2">
          <a:extLst>
            <a:ext uri="{FF2B5EF4-FFF2-40B4-BE49-F238E27FC236}">
              <a16:creationId xmlns:a16="http://schemas.microsoft.com/office/drawing/2014/main" id="{38EA536B-9F7F-5040-C732-D971D166961B}"/>
            </a:ext>
          </a:extLst>
        </xdr:cNvPr>
        <xdr:cNvPicPr>
          <a:picLocks noChangeAspect="1"/>
        </xdr:cNvPicPr>
      </xdr:nvPicPr>
      <xdr:blipFill>
        <a:blip xmlns:r="http://schemas.openxmlformats.org/officeDocument/2006/relationships" r:embed="rId2"/>
        <a:stretch>
          <a:fillRect/>
        </a:stretch>
      </xdr:blipFill>
      <xdr:spPr>
        <a:xfrm>
          <a:off x="0" y="106680"/>
          <a:ext cx="6152700" cy="4731053"/>
        </a:xfrm>
        <a:prstGeom prst="rect">
          <a:avLst/>
        </a:prstGeom>
      </xdr:spPr>
    </xdr:pic>
    <xdr:clientData/>
  </xdr:twoCellAnchor>
  <xdr:twoCellAnchor editAs="oneCell">
    <xdr:from>
      <xdr:col>0</xdr:col>
      <xdr:colOff>0</xdr:colOff>
      <xdr:row>27</xdr:row>
      <xdr:rowOff>129540</xdr:rowOff>
    </xdr:from>
    <xdr:to>
      <xdr:col>10</xdr:col>
      <xdr:colOff>59257</xdr:colOff>
      <xdr:row>55</xdr:row>
      <xdr:rowOff>98031</xdr:rowOff>
    </xdr:to>
    <xdr:pic>
      <xdr:nvPicPr>
        <xdr:cNvPr id="4" name="图片 3">
          <a:extLst>
            <a:ext uri="{FF2B5EF4-FFF2-40B4-BE49-F238E27FC236}">
              <a16:creationId xmlns:a16="http://schemas.microsoft.com/office/drawing/2014/main" id="{3A35E0A3-CF2A-F523-4914-C23215E64F99}"/>
            </a:ext>
          </a:extLst>
        </xdr:cNvPr>
        <xdr:cNvPicPr>
          <a:picLocks noChangeAspect="1"/>
        </xdr:cNvPicPr>
      </xdr:nvPicPr>
      <xdr:blipFill>
        <a:blip xmlns:r="http://schemas.openxmlformats.org/officeDocument/2006/relationships" r:embed="rId3"/>
        <a:stretch>
          <a:fillRect/>
        </a:stretch>
      </xdr:blipFill>
      <xdr:spPr>
        <a:xfrm>
          <a:off x="0" y="5067300"/>
          <a:ext cx="6155257" cy="5089131"/>
        </a:xfrm>
        <a:prstGeom prst="rect">
          <a:avLst/>
        </a:prstGeom>
      </xdr:spPr>
    </xdr:pic>
    <xdr:clientData/>
  </xdr:twoCellAnchor>
  <xdr:twoCellAnchor editAs="oneCell">
    <xdr:from>
      <xdr:col>0</xdr:col>
      <xdr:colOff>25246</xdr:colOff>
      <xdr:row>57</xdr:row>
      <xdr:rowOff>83820</xdr:rowOff>
    </xdr:from>
    <xdr:to>
      <xdr:col>9</xdr:col>
      <xdr:colOff>608667</xdr:colOff>
      <xdr:row>89</xdr:row>
      <xdr:rowOff>92444</xdr:rowOff>
    </xdr:to>
    <xdr:pic>
      <xdr:nvPicPr>
        <xdr:cNvPr id="5" name="图片 4">
          <a:extLst>
            <a:ext uri="{FF2B5EF4-FFF2-40B4-BE49-F238E27FC236}">
              <a16:creationId xmlns:a16="http://schemas.microsoft.com/office/drawing/2014/main" id="{4DC91CA4-59C5-532D-2760-8A83367A7F16}"/>
            </a:ext>
          </a:extLst>
        </xdr:cNvPr>
        <xdr:cNvPicPr>
          <a:picLocks noChangeAspect="1"/>
        </xdr:cNvPicPr>
      </xdr:nvPicPr>
      <xdr:blipFill>
        <a:blip xmlns:r="http://schemas.openxmlformats.org/officeDocument/2006/relationships" r:embed="rId4"/>
        <a:stretch>
          <a:fillRect/>
        </a:stretch>
      </xdr:blipFill>
      <xdr:spPr>
        <a:xfrm>
          <a:off x="25246" y="10507980"/>
          <a:ext cx="6069821" cy="5860784"/>
        </a:xfrm>
        <a:prstGeom prst="rect">
          <a:avLst/>
        </a:prstGeom>
      </xdr:spPr>
    </xdr:pic>
    <xdr:clientData/>
  </xdr:twoCellAnchor>
  <xdr:twoCellAnchor editAs="oneCell">
    <xdr:from>
      <xdr:col>0</xdr:col>
      <xdr:colOff>251460</xdr:colOff>
      <xdr:row>91</xdr:row>
      <xdr:rowOff>30480</xdr:rowOff>
    </xdr:from>
    <xdr:to>
      <xdr:col>9</xdr:col>
      <xdr:colOff>173267</xdr:colOff>
      <xdr:row>114</xdr:row>
      <xdr:rowOff>178082</xdr:rowOff>
    </xdr:to>
    <xdr:pic>
      <xdr:nvPicPr>
        <xdr:cNvPr id="6" name="图片 5">
          <a:extLst>
            <a:ext uri="{FF2B5EF4-FFF2-40B4-BE49-F238E27FC236}">
              <a16:creationId xmlns:a16="http://schemas.microsoft.com/office/drawing/2014/main" id="{75911787-66F8-0F86-4851-9871B6A19C13}"/>
            </a:ext>
          </a:extLst>
        </xdr:cNvPr>
        <xdr:cNvPicPr>
          <a:picLocks noChangeAspect="1"/>
        </xdr:cNvPicPr>
      </xdr:nvPicPr>
      <xdr:blipFill>
        <a:blip xmlns:r="http://schemas.openxmlformats.org/officeDocument/2006/relationships" r:embed="rId5"/>
        <a:stretch>
          <a:fillRect/>
        </a:stretch>
      </xdr:blipFill>
      <xdr:spPr>
        <a:xfrm>
          <a:off x="251460" y="16672560"/>
          <a:ext cx="5408207" cy="4353842"/>
        </a:xfrm>
        <a:prstGeom prst="rect">
          <a:avLst/>
        </a:prstGeom>
      </xdr:spPr>
    </xdr:pic>
    <xdr:clientData/>
  </xdr:twoCellAnchor>
  <xdr:twoCellAnchor editAs="oneCell">
    <xdr:from>
      <xdr:col>0</xdr:col>
      <xdr:colOff>152400</xdr:colOff>
      <xdr:row>115</xdr:row>
      <xdr:rowOff>152400</xdr:rowOff>
    </xdr:from>
    <xdr:to>
      <xdr:col>9</xdr:col>
      <xdr:colOff>455997</xdr:colOff>
      <xdr:row>142</xdr:row>
      <xdr:rowOff>115175</xdr:rowOff>
    </xdr:to>
    <xdr:pic>
      <xdr:nvPicPr>
        <xdr:cNvPr id="7" name="图片 6">
          <a:extLst>
            <a:ext uri="{FF2B5EF4-FFF2-40B4-BE49-F238E27FC236}">
              <a16:creationId xmlns:a16="http://schemas.microsoft.com/office/drawing/2014/main" id="{44A9F9FA-523C-2EEA-5310-EB1EC536B7E9}"/>
            </a:ext>
          </a:extLst>
        </xdr:cNvPr>
        <xdr:cNvPicPr>
          <a:picLocks noChangeAspect="1"/>
        </xdr:cNvPicPr>
      </xdr:nvPicPr>
      <xdr:blipFill>
        <a:blip xmlns:r="http://schemas.openxmlformats.org/officeDocument/2006/relationships" r:embed="rId6"/>
        <a:stretch>
          <a:fillRect/>
        </a:stretch>
      </xdr:blipFill>
      <xdr:spPr>
        <a:xfrm>
          <a:off x="152400" y="21183600"/>
          <a:ext cx="5789997" cy="4900535"/>
        </a:xfrm>
        <a:prstGeom prst="rect">
          <a:avLst/>
        </a:prstGeom>
      </xdr:spPr>
    </xdr:pic>
    <xdr:clientData/>
  </xdr:twoCellAnchor>
  <xdr:twoCellAnchor editAs="oneCell">
    <xdr:from>
      <xdr:col>0</xdr:col>
      <xdr:colOff>236220</xdr:colOff>
      <xdr:row>143</xdr:row>
      <xdr:rowOff>137160</xdr:rowOff>
    </xdr:from>
    <xdr:to>
      <xdr:col>9</xdr:col>
      <xdr:colOff>347899</xdr:colOff>
      <xdr:row>169</xdr:row>
      <xdr:rowOff>25691</xdr:rowOff>
    </xdr:to>
    <xdr:pic>
      <xdr:nvPicPr>
        <xdr:cNvPr id="8" name="图片 7">
          <a:extLst>
            <a:ext uri="{FF2B5EF4-FFF2-40B4-BE49-F238E27FC236}">
              <a16:creationId xmlns:a16="http://schemas.microsoft.com/office/drawing/2014/main" id="{72DBBEB1-1E13-4C7A-ADC3-F17FAF8FA3AE}"/>
            </a:ext>
          </a:extLst>
        </xdr:cNvPr>
        <xdr:cNvPicPr>
          <a:picLocks noChangeAspect="1"/>
        </xdr:cNvPicPr>
      </xdr:nvPicPr>
      <xdr:blipFill>
        <a:blip xmlns:r="http://schemas.openxmlformats.org/officeDocument/2006/relationships" r:embed="rId7"/>
        <a:stretch>
          <a:fillRect/>
        </a:stretch>
      </xdr:blipFill>
      <xdr:spPr>
        <a:xfrm>
          <a:off x="236220" y="26289000"/>
          <a:ext cx="5598079" cy="4643411"/>
        </a:xfrm>
        <a:prstGeom prst="rect">
          <a:avLst/>
        </a:prstGeom>
      </xdr:spPr>
    </xdr:pic>
    <xdr:clientData/>
  </xdr:twoCellAnchor>
  <xdr:twoCellAnchor editAs="oneCell">
    <xdr:from>
      <xdr:col>11</xdr:col>
      <xdr:colOff>0</xdr:colOff>
      <xdr:row>1</xdr:row>
      <xdr:rowOff>0</xdr:rowOff>
    </xdr:from>
    <xdr:to>
      <xdr:col>16</xdr:col>
      <xdr:colOff>532952</xdr:colOff>
      <xdr:row>31</xdr:row>
      <xdr:rowOff>37409</xdr:rowOff>
    </xdr:to>
    <xdr:pic>
      <xdr:nvPicPr>
        <xdr:cNvPr id="9" name="图片 8">
          <a:extLst>
            <a:ext uri="{FF2B5EF4-FFF2-40B4-BE49-F238E27FC236}">
              <a16:creationId xmlns:a16="http://schemas.microsoft.com/office/drawing/2014/main" id="{772272DC-A241-1DA7-B4D3-6259A3C1C1C3}"/>
            </a:ext>
          </a:extLst>
        </xdr:cNvPr>
        <xdr:cNvPicPr>
          <a:picLocks noChangeAspect="1"/>
        </xdr:cNvPicPr>
      </xdr:nvPicPr>
      <xdr:blipFill>
        <a:blip xmlns:r="http://schemas.openxmlformats.org/officeDocument/2006/relationships" r:embed="rId8"/>
        <a:stretch>
          <a:fillRect/>
        </a:stretch>
      </xdr:blipFill>
      <xdr:spPr>
        <a:xfrm>
          <a:off x="6705600" y="182880"/>
          <a:ext cx="3580952" cy="5523809"/>
        </a:xfrm>
        <a:prstGeom prst="rect">
          <a:avLst/>
        </a:prstGeom>
      </xdr:spPr>
    </xdr:pic>
    <xdr:clientData/>
  </xdr:twoCellAnchor>
  <xdr:twoCellAnchor editAs="oneCell">
    <xdr:from>
      <xdr:col>11</xdr:col>
      <xdr:colOff>0</xdr:colOff>
      <xdr:row>31</xdr:row>
      <xdr:rowOff>0</xdr:rowOff>
    </xdr:from>
    <xdr:to>
      <xdr:col>17</xdr:col>
      <xdr:colOff>28114</xdr:colOff>
      <xdr:row>53</xdr:row>
      <xdr:rowOff>90926</xdr:rowOff>
    </xdr:to>
    <xdr:pic>
      <xdr:nvPicPr>
        <xdr:cNvPr id="10" name="图片 9">
          <a:extLst>
            <a:ext uri="{FF2B5EF4-FFF2-40B4-BE49-F238E27FC236}">
              <a16:creationId xmlns:a16="http://schemas.microsoft.com/office/drawing/2014/main" id="{471AF743-361C-62C5-1B77-D0F7D0758BD2}"/>
            </a:ext>
          </a:extLst>
        </xdr:cNvPr>
        <xdr:cNvPicPr>
          <a:picLocks noChangeAspect="1"/>
        </xdr:cNvPicPr>
      </xdr:nvPicPr>
      <xdr:blipFill>
        <a:blip xmlns:r="http://schemas.openxmlformats.org/officeDocument/2006/relationships" r:embed="rId9"/>
        <a:stretch>
          <a:fillRect/>
        </a:stretch>
      </xdr:blipFill>
      <xdr:spPr>
        <a:xfrm>
          <a:off x="6705600" y="5669280"/>
          <a:ext cx="3685714" cy="4114286"/>
        </a:xfrm>
        <a:prstGeom prst="rect">
          <a:avLst/>
        </a:prstGeom>
      </xdr:spPr>
    </xdr:pic>
    <xdr:clientData/>
  </xdr:twoCellAnchor>
  <xdr:twoCellAnchor editAs="oneCell">
    <xdr:from>
      <xdr:col>11</xdr:col>
      <xdr:colOff>0</xdr:colOff>
      <xdr:row>54</xdr:row>
      <xdr:rowOff>0</xdr:rowOff>
    </xdr:from>
    <xdr:to>
      <xdr:col>17</xdr:col>
      <xdr:colOff>104305</xdr:colOff>
      <xdr:row>76</xdr:row>
      <xdr:rowOff>33783</xdr:rowOff>
    </xdr:to>
    <xdr:pic>
      <xdr:nvPicPr>
        <xdr:cNvPr id="11" name="图片 10">
          <a:extLst>
            <a:ext uri="{FF2B5EF4-FFF2-40B4-BE49-F238E27FC236}">
              <a16:creationId xmlns:a16="http://schemas.microsoft.com/office/drawing/2014/main" id="{CBD6A947-36B4-7149-B635-45593A7D583C}"/>
            </a:ext>
          </a:extLst>
        </xdr:cNvPr>
        <xdr:cNvPicPr>
          <a:picLocks noChangeAspect="1"/>
        </xdr:cNvPicPr>
      </xdr:nvPicPr>
      <xdr:blipFill>
        <a:blip xmlns:r="http://schemas.openxmlformats.org/officeDocument/2006/relationships" r:embed="rId10"/>
        <a:stretch>
          <a:fillRect/>
        </a:stretch>
      </xdr:blipFill>
      <xdr:spPr>
        <a:xfrm>
          <a:off x="6705600" y="9875520"/>
          <a:ext cx="3761905"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北京市朝阳区青年沟路8号楼房地产抵押价值预评估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受贵公司委托，我公司对北京市朝阳区青年沟路8号楼房地产抵押价值进行了预评估。</v>
      </c>
    </row>
    <row r="7" spans="1:2">
      <c r="A7" s="1118" t="s">
        <v>566</v>
      </c>
      <c r="B7" s="1119" t="str">
        <f>'预评函-1'!A7</f>
        <v>估价对象为北京市朝阳区青年沟路8号楼房地产，为所有。根据《国有土地使用证》[]，估价对象（分摊）出让国有建设用地使用权面积为0平方米，建筑面积为119.31平方米。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估价对象为北京市朝阳区青年沟路8号楼房地产,属开发建设的，该项目尚在开发建设中。根据《国有土地使用证》[]，估价对象（分摊）出让国有建设用地使用权面积为0平方米，规划建筑面积为119.31平方米。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青年沟路8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2024年11月15日</v>
      </c>
    </row>
    <row r="13" spans="1:2">
      <c r="A13" s="1118" t="s">
        <v>529</v>
      </c>
      <c r="B13" s="1119" t="str">
        <f>'预评函-1'!A18</f>
        <v>本次估价的“房地产价值”是指在正常市场情况下，在价值时点2024年11月15日，估价对象规划用途为商业，土地取得方式为出让，出让国有建设用地使用权剩余土地使用年限为15.7，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15.7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558</v>
      </c>
    </row>
    <row r="21" spans="1:2">
      <c r="A21" s="1118" t="s">
        <v>537</v>
      </c>
      <c r="B21" s="1119">
        <f ca="1">'预评函-2'!D7</f>
        <v>46767</v>
      </c>
    </row>
    <row r="22" spans="1:2">
      <c r="A22" s="1118" t="s">
        <v>538</v>
      </c>
      <c r="B22" s="1119" t="str">
        <f ca="1">'预评函-2'!D6</f>
        <v>伍佰伍拾捌万元整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558</v>
      </c>
    </row>
    <row r="31" spans="1:2">
      <c r="A31" s="1118" t="s">
        <v>576</v>
      </c>
      <c r="B31" s="1119">
        <f ca="1">'预评函-2'!D15</f>
        <v>46767</v>
      </c>
    </row>
    <row r="32" spans="1:2">
      <c r="A32" s="1118" t="s">
        <v>543</v>
      </c>
      <c r="B32" s="1119" t="str">
        <f ca="1">'预评函-2'!D14</f>
        <v>伍佰伍拾捌万元整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北京市朝阳区青年沟路8号楼房地产</v>
      </c>
    </row>
    <row r="42" spans="1:2">
      <c r="A42" s="1118" t="s">
        <v>590</v>
      </c>
      <c r="B42" s="1119" t="str">
        <f>'预评函-3'!B2</f>
        <v>建筑面积</v>
      </c>
    </row>
    <row r="43" spans="1:2">
      <c r="A43" s="1118" t="s">
        <v>591</v>
      </c>
      <c r="B43" s="1119">
        <f>'预评函-3'!B4</f>
        <v>119.31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青年沟路8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4"/>
      <c r="B54" s="1446" t="s">
        <v>385</v>
      </c>
      <c r="C54" s="1444" t="s">
        <v>583</v>
      </c>
    </row>
    <row r="55" spans="1:4">
      <c r="A55" s="3204"/>
      <c r="B55" s="1446" t="s">
        <v>386</v>
      </c>
      <c r="C55" s="1444" t="s">
        <v>584</v>
      </c>
    </row>
    <row r="56" spans="1:4">
      <c r="A56" s="3204"/>
      <c r="B56" s="1446" t="s">
        <v>387</v>
      </c>
      <c r="C56" s="1444" t="s">
        <v>588</v>
      </c>
    </row>
    <row r="57" spans="1:4">
      <c r="A57" s="320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45611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2.09</v>
      </c>
      <c r="D5" s="2766">
        <f>IF(ISERROR(ROUND(POWER(1+E5,A5-C5)*(POWER(1+E5,C5)-1)/(POWER(1+E5,A5)-1),3)),0,ROUND(POWER(1+E5,A5-C5)*(POWER(1+E5,C5)-1)/(POWER(1+E5,A5)-1),4))</f>
        <v>9.9400000000000002E-2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v>
      </c>
      <c r="D6" s="2766">
        <f>IF(ISERROR(ROUND(POWER(1+E6,A6-C6)*(POWER(1+E6,C6)-1)/(POWER(1+E6,A6)-1),3)),0,ROUND(POWER(1+E6,A6-C6)*(POWER(1+E6,C6)-1)/(POWER(1+E6,A6)-1),4))</f>
        <v>0.43969999999999998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32.11</v>
      </c>
      <c r="D7" s="2766">
        <f>IF(ISERROR(ROUND(POWER(1+E7,A7-C7)*(POWER(1+E7,C7)-1)/(POWER(1+E7,A7)-1),3)),0,ROUND(POWER(1+E7,A7-C7)*(POWER(1+E7,C7)-1)/(POWER(1+E7,A7)-1),4))</f>
        <v>0.76529999999999998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06" t="str">
        <f>IF(B10="北京市","北京市",C10)&amp;F10&amp;IF(结果表!G1="在建","出让国有建设用地使用权及在建建筑物",IF(结果表!G1="土地","出让国有建设用地使用权",))&amp;B9&amp;"预评估"</f>
        <v>北京市朝阳区青年沟路8号楼房地产抵押价值预评估</v>
      </c>
      <c r="C1" s="3207"/>
      <c r="D1" s="3207"/>
      <c r="E1" s="3207"/>
      <c r="F1" s="3207"/>
      <c r="G1" s="3207"/>
      <c r="H1" s="3207"/>
      <c r="I1" s="320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北京市朝阳区青年沟路8号楼房地产抵押价值</v>
      </c>
      <c r="T1" s="1617"/>
      <c r="U1" s="1617"/>
      <c r="V1" s="1617"/>
      <c r="W1" s="1617"/>
      <c r="X1" s="1617"/>
      <c r="Y1" s="1617"/>
      <c r="Z1" s="1617"/>
      <c r="AA1" s="1617"/>
      <c r="AB1" s="1617"/>
    </row>
    <row r="2" spans="1:30">
      <c r="A2" s="2181" t="s">
        <v>2167</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北京市朝阳区青年沟路8号楼房地产</v>
      </c>
      <c r="T2" s="1617"/>
      <c r="U2" s="1617"/>
      <c r="V2" s="1617"/>
      <c r="W2" s="1617"/>
      <c r="X2" s="1617"/>
      <c r="Y2" s="1617"/>
      <c r="Z2" s="1617"/>
      <c r="AA2" s="1617"/>
      <c r="AB2" s="1617"/>
    </row>
    <row r="3" spans="1:30">
      <c r="A3" s="294" t="s">
        <v>2168</v>
      </c>
      <c r="B3" s="2184"/>
      <c r="C3" s="2185" t="s">
        <v>2169</v>
      </c>
      <c r="D3" s="2184">
        <v>45611</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3387</v>
      </c>
      <c r="C8" s="2200"/>
      <c r="D8" s="3209" t="s">
        <v>2175</v>
      </c>
      <c r="E8" s="2201" t="s">
        <v>3388</v>
      </c>
      <c r="F8" s="2202"/>
      <c r="G8" s="2441"/>
      <c r="H8" s="2441"/>
      <c r="I8" s="2441"/>
      <c r="J8" s="2244"/>
      <c r="K8" s="2399"/>
      <c r="L8" s="2398"/>
      <c r="M8" s="2398"/>
      <c r="N8" s="2244"/>
      <c r="O8" s="1669"/>
      <c r="P8" s="2244"/>
      <c r="Q8" s="2244"/>
      <c r="R8" s="2244"/>
    </row>
    <row r="9" spans="1:30" ht="13.5" thickBot="1">
      <c r="A9" s="2203" t="s">
        <v>2176</v>
      </c>
      <c r="B9" s="2204" t="s">
        <v>3388</v>
      </c>
      <c r="C9" s="2205"/>
      <c r="D9" s="3210"/>
      <c r="E9" s="2204"/>
      <c r="F9" s="2206"/>
      <c r="G9" s="2442"/>
      <c r="H9" s="2442"/>
      <c r="I9" s="2442"/>
      <c r="J9" s="2244"/>
      <c r="K9" s="2401"/>
      <c r="L9" s="2398"/>
      <c r="M9" s="2398"/>
      <c r="N9" s="2244"/>
      <c r="O9" s="1669"/>
      <c r="P9" s="2244"/>
      <c r="Q9" s="2244"/>
      <c r="R9" s="2244"/>
    </row>
    <row r="10" spans="1:30" ht="13.5" thickTop="1">
      <c r="A10" s="2207" t="s">
        <v>2177</v>
      </c>
      <c r="B10" s="2208" t="s">
        <v>3389</v>
      </c>
      <c r="C10" s="2209"/>
      <c r="D10" s="2192"/>
      <c r="E10" s="2210" t="s">
        <v>2178</v>
      </c>
      <c r="F10" s="3143" t="s">
        <v>3391</v>
      </c>
      <c r="G10" s="2443"/>
      <c r="H10" s="2444"/>
      <c r="I10" s="2445"/>
      <c r="J10" s="2244"/>
      <c r="K10" s="2401"/>
      <c r="L10" s="2398"/>
      <c r="M10" s="2398"/>
      <c r="N10" s="2244"/>
      <c r="O10" s="1669"/>
      <c r="P10" s="2244"/>
      <c r="Q10" s="2244"/>
      <c r="R10" s="2244"/>
    </row>
    <row r="11" spans="1:30">
      <c r="A11" s="2211" t="s">
        <v>2179</v>
      </c>
      <c r="B11" s="2212" t="s">
        <v>3390</v>
      </c>
      <c r="C11" s="2213"/>
      <c r="D11" s="2214"/>
      <c r="E11" s="2181"/>
      <c r="F11" s="2181"/>
      <c r="G11" s="2181"/>
      <c r="H11" s="2181"/>
      <c r="I11" s="2181"/>
      <c r="J11" s="2800"/>
      <c r="K11" s="2398"/>
      <c r="L11" s="2398"/>
      <c r="M11" s="2398"/>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2576</v>
      </c>
      <c r="J12" s="2801"/>
      <c r="K12" s="2398"/>
      <c r="L12" s="2398"/>
      <c r="M12" s="2244"/>
      <c r="N12" s="1669"/>
      <c r="O12" s="2244"/>
      <c r="P12" s="2244"/>
      <c r="Q12" s="2244"/>
      <c r="AD12" s="1617"/>
    </row>
    <row r="13" spans="1:30">
      <c r="A13" s="3120" t="s">
        <v>3332</v>
      </c>
      <c r="B13" s="2217" t="s">
        <v>2188</v>
      </c>
      <c r="C13" s="802"/>
      <c r="D13" s="802">
        <v>51344</v>
      </c>
      <c r="E13" s="802"/>
      <c r="F13" s="802"/>
      <c r="G13" s="802"/>
      <c r="H13" s="802"/>
      <c r="I13" s="802"/>
      <c r="J13" s="2801"/>
      <c r="K13" s="2398"/>
      <c r="L13" s="2398"/>
      <c r="M13" s="2244"/>
      <c r="N13" s="1669"/>
      <c r="O13" s="2244"/>
      <c r="P13" s="2244"/>
      <c r="Q13" s="2244"/>
      <c r="AD13" s="1617"/>
    </row>
    <row r="14" spans="1:30">
      <c r="A14" s="1017"/>
      <c r="B14" s="2217" t="s">
        <v>2189</v>
      </c>
      <c r="C14" s="2218"/>
      <c r="D14" s="2218">
        <v>40</v>
      </c>
      <c r="E14" s="2218"/>
      <c r="F14" s="2218"/>
      <c r="G14" s="2218"/>
      <c r="H14" s="2218"/>
      <c r="I14" s="2218"/>
      <c r="J14" s="2802"/>
      <c r="K14" s="2398"/>
      <c r="L14" s="2398"/>
      <c r="M14" s="2244"/>
      <c r="N14" s="1669"/>
      <c r="O14" s="2244"/>
      <c r="P14" s="2244"/>
      <c r="Q14" s="2244"/>
      <c r="AD14" s="1617"/>
    </row>
    <row r="15" spans="1:30">
      <c r="A15" s="312"/>
      <c r="B15" s="2219" t="s">
        <v>2190</v>
      </c>
      <c r="C15" s="2220" t="str">
        <f>IF(A13="出让",IF(C13="","",ROUNDDOWN(MIN((C13-$D$3)/365,C14),2)),C14)</f>
        <v/>
      </c>
      <c r="D15" s="2220">
        <f>IF(A13="出让",IF(D13="","",ROUNDDOWN(MIN((D13-$D$3)/365,D14),2)),D14)</f>
        <v>15.7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16" t="s">
        <v>3392</v>
      </c>
      <c r="C16" s="3217"/>
      <c r="D16" s="3218"/>
      <c r="E16" s="2221" t="s">
        <v>2192</v>
      </c>
      <c r="F16" s="3219">
        <f>D15</f>
        <v>15.7</v>
      </c>
      <c r="G16" s="3220"/>
      <c r="H16" s="3220"/>
      <c r="I16" s="3221"/>
      <c r="J16" s="2244"/>
      <c r="K16" s="2402"/>
      <c r="L16" s="1669"/>
      <c r="M16" s="1669"/>
      <c r="N16" s="2244"/>
      <c r="O16" s="1669"/>
      <c r="P16" s="2244"/>
      <c r="Q16" s="2244"/>
      <c r="R16" s="2244"/>
    </row>
    <row r="17" spans="1:28">
      <c r="A17" s="305" t="s">
        <v>2193</v>
      </c>
      <c r="B17" s="294" t="s">
        <v>2194</v>
      </c>
      <c r="C17" s="8">
        <f>'数据-汇总表'!E3</f>
        <v>119.31</v>
      </c>
      <c r="D17" s="1255" t="s">
        <v>2195</v>
      </c>
      <c r="E17" s="3222" t="s">
        <v>2196</v>
      </c>
      <c r="F17" s="3223"/>
      <c r="G17" s="3223"/>
      <c r="H17" s="3223"/>
      <c r="I17" s="3224"/>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25" t="s">
        <v>2200</v>
      </c>
      <c r="F18" s="3226"/>
      <c r="G18" s="3226"/>
      <c r="H18" s="3226"/>
      <c r="I18" s="3227"/>
      <c r="J18" s="2244"/>
      <c r="K18" s="2403"/>
      <c r="L18" s="1669"/>
      <c r="M18" s="1669"/>
      <c r="N18" s="2244"/>
      <c r="O18" s="1669"/>
      <c r="P18" s="2244"/>
      <c r="Q18" s="2244"/>
      <c r="R18" s="2244"/>
      <c r="S18" s="2244"/>
      <c r="T18" s="2244"/>
      <c r="U18" s="2244"/>
      <c r="V18" s="2244"/>
    </row>
    <row r="19" spans="1:28" ht="37.5" thickTop="1" thickBot="1">
      <c r="A19" s="319" t="s">
        <v>1055</v>
      </c>
      <c r="B19" s="299" t="s">
        <v>2201</v>
      </c>
      <c r="C19" s="1454" t="s">
        <v>3393</v>
      </c>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12" t="s">
        <v>2204</v>
      </c>
      <c r="C20" s="3213"/>
      <c r="D20" s="3214" t="s">
        <v>2205</v>
      </c>
      <c r="E20" s="3215"/>
      <c r="F20" s="2429" t="s">
        <v>1056</v>
      </c>
      <c r="G20" s="2441"/>
      <c r="H20" s="2441"/>
      <c r="I20" s="2441"/>
      <c r="J20" s="2244"/>
      <c r="K20" s="321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9" t="s">
        <v>2212</v>
      </c>
      <c r="B27" s="312"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9"/>
      <c r="B28" s="294"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9"/>
      <c r="B29" s="294"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0"/>
      <c r="B30" s="294" t="s">
        <v>2216</v>
      </c>
      <c r="C30" s="3231"/>
      <c r="D30" s="3232"/>
      <c r="E30" s="2441"/>
      <c r="F30" s="2441"/>
      <c r="G30" s="2441"/>
      <c r="H30" s="2441"/>
      <c r="I30" s="2441"/>
      <c r="J30" s="2244"/>
      <c r="K30" s="2401"/>
      <c r="L30" s="2398"/>
      <c r="M30" s="2398"/>
      <c r="N30" s="2244"/>
      <c r="O30" s="1669"/>
      <c r="P30" s="2244"/>
      <c r="Q30" s="2244"/>
      <c r="R30" s="2244"/>
      <c r="S30" s="2244"/>
      <c r="T30" s="2244"/>
      <c r="U30" s="2244"/>
      <c r="V30" s="2244"/>
    </row>
    <row r="31" spans="1:28">
      <c r="A31" s="3233" t="s">
        <v>2217</v>
      </c>
      <c r="B31" s="2230" t="s">
        <v>3394</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2218</v>
      </c>
      <c r="B34" s="1869"/>
      <c r="C34" s="1869"/>
      <c r="D34" s="1869"/>
      <c r="E34" s="1869"/>
      <c r="F34" s="1869"/>
      <c r="G34" s="1869"/>
      <c r="H34" s="1869"/>
      <c r="I34" s="2441"/>
      <c r="J34" s="2244"/>
      <c r="K34" s="8">
        <f>COUNTIF(B34:H34,"——")</f>
        <v>0</v>
      </c>
      <c r="L34" s="315" t="s">
        <v>2219</v>
      </c>
      <c r="M34" s="315" t="s">
        <v>2220</v>
      </c>
      <c r="N34" s="315" t="s">
        <v>2221</v>
      </c>
      <c r="O34" s="315" t="s">
        <v>2222</v>
      </c>
      <c r="P34" s="315" t="s">
        <v>2223</v>
      </c>
      <c r="Q34" s="315" t="s">
        <v>2224</v>
      </c>
      <c r="R34" s="315" t="s">
        <v>2225</v>
      </c>
      <c r="S34" s="3228" t="s">
        <v>2226</v>
      </c>
      <c r="T34" s="315" t="str">
        <f>NUMBERSTRING(7-K34,1)&amp;"通"</f>
        <v>七通</v>
      </c>
      <c r="U34" s="2244"/>
      <c r="V34" s="2244"/>
    </row>
    <row r="35" spans="1:30">
      <c r="A35" s="2235"/>
      <c r="B35" s="3228" t="s">
        <v>2227</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2"/>
      <c r="B36" s="8" t="s">
        <v>2183</v>
      </c>
      <c r="C36" s="8" t="s">
        <v>2184</v>
      </c>
      <c r="D36" s="8" t="s">
        <v>2182</v>
      </c>
      <c r="E36" s="8" t="s">
        <v>2187</v>
      </c>
      <c r="F36" s="2799" t="s">
        <v>2579</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706.37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706.37</v>
      </c>
      <c r="H5" s="13">
        <f t="shared" ref="H5:AT5" si="0">SUM(H13:H656)</f>
        <v>706.37</v>
      </c>
      <c r="I5" s="13">
        <f t="shared" si="0"/>
        <v>706.37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119.31</v>
      </c>
      <c r="BA5" s="15">
        <f t="shared" si="1"/>
        <v>119.31</v>
      </c>
      <c r="BB5" s="15">
        <f t="shared" si="1"/>
        <v>119.31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t="s">
        <v>3397</v>
      </c>
      <c r="C13" s="627" t="s">
        <v>3396</v>
      </c>
      <c r="D13" s="1512" t="s">
        <v>3393</v>
      </c>
      <c r="E13" s="13">
        <f>IF($C$3="是",ROUND($A$3*G13/$B$3,2),ROUND($A$3*(G13-AT13)/$B$3,2))</f>
        <v>0</v>
      </c>
      <c r="F13" s="29"/>
      <c r="G13" s="30">
        <f>H13+AC13+AT13</f>
        <v>119.31</v>
      </c>
      <c r="H13" s="17">
        <f>SUMIF(I$12:AB$12,"总值",I13:AB13)</f>
        <v>119.31</v>
      </c>
      <c r="I13" s="1513">
        <v>119.31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t="str">
        <f t="shared" si="6"/>
        <v>1层</v>
      </c>
      <c r="AX13" s="8" t="str">
        <f t="shared" si="6"/>
        <v>B106</v>
      </c>
      <c r="AY13" s="1259">
        <f>ROUND($AY$6*AZ13/$AZ$5,2)</f>
        <v>0</v>
      </c>
      <c r="AZ13" s="13">
        <f>BA13+BL13</f>
        <v>119.31</v>
      </c>
      <c r="BA13" s="13">
        <f>SUM(BB13:BK13)</f>
        <v>119.31</v>
      </c>
      <c r="BB13" s="13">
        <f>IF($D13="是",I13-J13,0)</f>
        <v>119.31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t="s">
        <v>3398</v>
      </c>
      <c r="C14" s="1461" t="s">
        <v>3399</v>
      </c>
      <c r="D14" s="1512"/>
      <c r="E14" s="13">
        <f>IF($C$3="是",ROUND($A$3*G14/$B$3,2),ROUND($A$3*(G14-AT14)/$B$3,2))</f>
        <v>0</v>
      </c>
      <c r="F14" s="29"/>
      <c r="G14" s="30">
        <f>H14+AC14+AT14</f>
        <v>367.16</v>
      </c>
      <c r="H14" s="17">
        <f>SUMIF(I$12:AB$12,"总值",I14:AB14)</f>
        <v>367.16</v>
      </c>
      <c r="I14" s="1513">
        <v>367.16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2层</v>
      </c>
      <c r="AX14" s="8" t="str">
        <f t="shared" si="6"/>
        <v>B207</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t="s">
        <v>3398</v>
      </c>
      <c r="C15" s="1461" t="s">
        <v>3400</v>
      </c>
      <c r="D15" s="1512"/>
      <c r="E15" s="13">
        <f>IF($C$3="是",ROUND($A$3*G15/$B$3,2),ROUND($A$3*(G15-AT15)/$B$3,2))</f>
        <v>0</v>
      </c>
      <c r="F15" s="29"/>
      <c r="G15" s="30">
        <f>H15+AC15+AT15</f>
        <v>219.9</v>
      </c>
      <c r="H15" s="17">
        <f>SUMIF(I$12:AB$12,"总值",I15:AB15)</f>
        <v>219.9</v>
      </c>
      <c r="I15" s="1513">
        <v>219.9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t="str">
        <f t="shared" si="6"/>
        <v>2层</v>
      </c>
      <c r="AX15" s="8" t="str">
        <f t="shared" si="6"/>
        <v>B202</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4" t="s">
        <v>1131</v>
      </c>
      <c r="B2" s="3244"/>
      <c r="C2" s="3244"/>
      <c r="D2" s="747" t="s">
        <v>1107</v>
      </c>
      <c r="E2" s="1522" t="s">
        <v>1108</v>
      </c>
      <c r="F2" s="2438"/>
      <c r="G2" s="2431"/>
      <c r="H2" s="2432"/>
      <c r="I2" s="2145" t="s">
        <v>1132</v>
      </c>
      <c r="J2" s="2438"/>
      <c r="K2" s="2438"/>
      <c r="L2" s="2438"/>
      <c r="M2" s="2438"/>
      <c r="N2" s="2439"/>
      <c r="O2" s="2438"/>
      <c r="P2" s="2438"/>
    </row>
    <row r="3" spans="1:16" ht="15.75" thickBot="1">
      <c r="A3" s="3245" t="s">
        <v>1105</v>
      </c>
      <c r="B3" s="3245"/>
      <c r="C3" s="3245"/>
      <c r="D3" s="41">
        <f>'数据-基础表'!AY6</f>
        <v>0</v>
      </c>
      <c r="E3" s="41">
        <f>'数据-基础表'!AZ5</f>
        <v>119.31</v>
      </c>
      <c r="F3" s="2438"/>
      <c r="G3" s="42"/>
      <c r="H3" s="43" t="s">
        <v>1106</v>
      </c>
      <c r="I3" s="801" t="e">
        <f>ROUND('数据-基础表'!B3/'数据-基础表'!A3,2)</f>
        <v>#DIV/0!</v>
      </c>
      <c r="J3" s="2438"/>
      <c r="K3" s="2438"/>
      <c r="L3" s="2438"/>
      <c r="M3" s="2438"/>
      <c r="N3" s="2439"/>
      <c r="O3" s="2438"/>
      <c r="P3" s="2438"/>
    </row>
    <row r="4" spans="1:16" ht="15">
      <c r="A4" s="3246"/>
      <c r="B4" s="3247"/>
      <c r="C4" s="3248"/>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9" t="s">
        <v>1110</v>
      </c>
      <c r="C5" s="3249"/>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9" t="s">
        <v>1111</v>
      </c>
      <c r="C6" s="3249"/>
      <c r="D6" s="43">
        <f>ROUND($D$3*E6/$E$3,2)</f>
        <v>0</v>
      </c>
      <c r="E6" s="44">
        <f>E3-E5</f>
        <v>119.31</v>
      </c>
      <c r="F6" s="2438"/>
      <c r="G6" s="1528" t="s">
        <v>1112</v>
      </c>
      <c r="H6" s="45" t="s">
        <v>1113</v>
      </c>
      <c r="I6" s="2434" t="e">
        <f>ROUND(F31/D31,2)</f>
        <v>#DIV/0!</v>
      </c>
      <c r="J6" s="2438"/>
      <c r="K6" s="2438"/>
      <c r="L6" s="2438"/>
      <c r="M6" s="2438"/>
      <c r="N6" s="2438"/>
      <c r="O6" s="2438"/>
      <c r="P6" s="2438"/>
    </row>
    <row r="7" spans="1:16" ht="15.75" thickBot="1">
      <c r="A7" s="3241"/>
      <c r="B7" s="3242"/>
      <c r="C7" s="3243"/>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119.31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119.31</v>
      </c>
      <c r="F16" s="2438"/>
      <c r="G16" s="2438"/>
      <c r="H16" s="1530" t="s">
        <v>1135</v>
      </c>
      <c r="I16" s="1531"/>
      <c r="J16" s="1070"/>
      <c r="K16" s="3238" t="s">
        <v>1135</v>
      </c>
      <c r="L16" s="3239"/>
      <c r="M16" s="3239"/>
      <c r="N16" s="3239"/>
      <c r="O16" s="3239"/>
      <c r="P16" s="3240"/>
    </row>
    <row r="17" spans="1:19" ht="15">
      <c r="A17" s="1532" t="s">
        <v>1136</v>
      </c>
      <c r="B17" s="1533" t="s">
        <v>1137</v>
      </c>
      <c r="C17" s="1534" t="s">
        <v>1138</v>
      </c>
      <c r="D17" s="1535" t="s">
        <v>1126</v>
      </c>
      <c r="E17" s="1536" t="s">
        <v>1127</v>
      </c>
      <c r="F17" s="1537"/>
      <c r="G17" s="1538"/>
      <c r="H17" s="1539" t="s">
        <v>1139</v>
      </c>
      <c r="I17" s="1540" t="s">
        <v>1124</v>
      </c>
      <c r="J17" s="1070"/>
      <c r="K17" s="3235" t="s">
        <v>1140</v>
      </c>
      <c r="L17" s="3236"/>
      <c r="M17" s="3237"/>
      <c r="N17" s="3235" t="s">
        <v>1141</v>
      </c>
      <c r="O17" s="3236"/>
      <c r="P17" s="3237"/>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tr">
        <f>'数据-基础表'!C13</f>
        <v>B106</v>
      </c>
      <c r="D19" s="43">
        <f>ROUND($D$3*E19/$E$3,2)</f>
        <v>0</v>
      </c>
      <c r="E19" s="51">
        <f t="shared" ref="E19:E26" si="1">SUM(F19:G19)</f>
        <v>119.31</v>
      </c>
      <c r="F19" s="2556">
        <f>'数据-基础表'!G13</f>
        <v>119.31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119.31</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119.31</v>
      </c>
      <c r="F27" s="1071">
        <f>IF(SUM(F19:F26)=E8,SUM(F19:F26),"地上面积有误")</f>
        <v>119.31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119.31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119.31</v>
      </c>
      <c r="F31" s="643">
        <f>F27+F30</f>
        <v>119.31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45611</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3402</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B106</v>
      </c>
      <c r="B6" s="1586" t="str">
        <f>IF(A6=0,"","经营性")</f>
        <v>经营性</v>
      </c>
      <c r="C6" s="1587" t="s">
        <v>673</v>
      </c>
      <c r="D6" s="804">
        <f>SUMIF(项目基本情况!C$12:I$12,C6,项目基本情况!C$14:I$14)</f>
        <v>40</v>
      </c>
      <c r="E6" s="803">
        <f>IF(B6="","",SUMIF(项目基本情况!C$12:I$12,C6,项目基本情况!C$13:I$13))</f>
        <v>51344</v>
      </c>
      <c r="F6" s="61">
        <f>SUMIF(项目基本情况!C$12:I$12,C6,项目基本情况!C$15:I$15)</f>
        <v>15.7</v>
      </c>
      <c r="G6" s="62">
        <f>IF(ISERROR(ROUND(POWER(1+H6,D6-F6)*(POWER(1+H6,F6)-1)/(POWER(1+H6,D6)-1),3)),0,ROUND(POWER(1+H6,D6-F6)*(POWER(1+H6,F6)-1)/(POWER(1+H6,D6)-1),3))</f>
        <v>0.624</v>
      </c>
      <c r="H6" s="690">
        <v>0.05</v>
      </c>
      <c r="I6" s="690">
        <v>5.5E-2</v>
      </c>
      <c r="J6" s="63">
        <v>7.0000000000000007E-2</v>
      </c>
      <c r="K6" s="969">
        <f>SUMIF('数据-汇总表'!C$19:C$33,A6,'数据-汇总表'!E$19:E$33)</f>
        <v>119.31</v>
      </c>
      <c r="L6" s="691">
        <v>5000</v>
      </c>
      <c r="M6" s="64">
        <f t="shared" ref="M6:M14" si="0">ROUND(K6*L6/10000,0)</f>
        <v>60</v>
      </c>
      <c r="N6" s="689">
        <f>N21</f>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5">
        <v>8</v>
      </c>
      <c r="V6" s="67">
        <v>0.02</v>
      </c>
      <c r="W6" s="67">
        <v>0.1</v>
      </c>
      <c r="X6" s="978"/>
      <c r="Y6" s="68">
        <f>N6</f>
        <v>0.75</v>
      </c>
      <c r="Z6" s="69"/>
      <c r="AA6" s="63"/>
      <c r="AB6" s="63"/>
      <c r="AC6" s="978"/>
      <c r="AD6" s="70"/>
      <c r="AE6" s="979">
        <f ca="1">IF(AN6="",0,SUMIF(INDIRECT("'"&amp;AN6&amp;"'"&amp;"!E:E"),$AE$5,INDIRECT("'"&amp;AN6&amp;"'"&amp;"!F:F")))</f>
        <v>15.7</v>
      </c>
      <c r="AF6" s="74"/>
      <c r="AG6" s="130">
        <f>IF(AF6="",0,AE6-AF6)</f>
        <v>0</v>
      </c>
      <c r="AH6" s="71"/>
      <c r="AI6" s="73">
        <v>365</v>
      </c>
      <c r="AJ6" s="74"/>
      <c r="AK6" s="75">
        <v>5.0000000000000001E-3</v>
      </c>
      <c r="AL6" s="76">
        <v>1E-3</v>
      </c>
      <c r="AM6" s="77">
        <v>5.0000000000000001E-3</v>
      </c>
      <c r="AN6" s="1588" t="s">
        <v>3423</v>
      </c>
      <c r="AO6" s="50">
        <f ca="1">SUMIF(INDIRECT("'"&amp;AN6&amp;"'"&amp;"!A:A"),"总价",INDIRECT("'"&amp;AN6&amp;"'"&amp;"!B:B"))</f>
        <v>311.72930000000002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0.624</v>
      </c>
      <c r="H16" s="84">
        <f>ROUND(SUMPRODUCT(H6:H13,K6:K13)/SUMPRODUCT((H6:H13&gt;0)*(K6:K13)),3)</f>
        <v>0.05</v>
      </c>
      <c r="I16" s="85"/>
      <c r="J16" s="85"/>
      <c r="K16" s="86">
        <f>SUM(K6:K15)</f>
        <v>119.31</v>
      </c>
      <c r="L16" s="87">
        <f>ROUND(M16*10000/SUM(K6:K14),0)</f>
        <v>5029</v>
      </c>
      <c r="M16" s="87">
        <f>SUM(M6:M14)</f>
        <v>60</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44" t="s">
        <v>3403</v>
      </c>
      <c r="N18" s="2447">
        <v>2006</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2301</v>
      </c>
      <c r="D19" s="2450"/>
      <c r="E19" s="2438"/>
      <c r="F19" s="2438"/>
      <c r="G19" s="2438"/>
      <c r="H19" s="2438"/>
      <c r="I19" s="2438"/>
      <c r="J19" s="2438"/>
      <c r="K19" s="2448"/>
      <c r="L19" s="2448"/>
      <c r="M19" s="3144" t="s">
        <v>3404</v>
      </c>
      <c r="N19" s="2447">
        <f>ROUND(1-(1-0)*(2024-N18)/60,2)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2299</v>
      </c>
      <c r="D20" s="2450"/>
      <c r="E20" s="2438"/>
      <c r="F20" s="2438"/>
      <c r="G20" s="2438"/>
      <c r="H20" s="2438"/>
      <c r="I20" s="2438"/>
      <c r="J20" s="2438"/>
      <c r="K20" s="2448"/>
      <c r="L20" s="2448"/>
      <c r="M20" s="3144" t="s">
        <v>3405</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44" t="s">
        <v>3406</v>
      </c>
      <c r="N21" s="2447">
        <f>ROUND((N19+N20)/2,2)</f>
        <v>0.75</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3250" t="s">
        <v>3407</v>
      </c>
      <c r="L23" s="3251"/>
      <c r="M23" s="3251"/>
      <c r="N23" s="3252" t="s">
        <v>3415</v>
      </c>
      <c r="O23" s="3253"/>
      <c r="P23" s="3253"/>
      <c r="Q23" s="3253"/>
      <c r="R23" s="3253"/>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28.5" thickBot="1">
      <c r="A24" s="1598" t="s">
        <v>1216</v>
      </c>
      <c r="B24" s="100">
        <f>B20-B21</f>
        <v>0</v>
      </c>
      <c r="C24" s="2438"/>
      <c r="D24" s="2450"/>
      <c r="E24" s="2438"/>
      <c r="F24" s="2438"/>
      <c r="G24" s="2438"/>
      <c r="H24" s="2438"/>
      <c r="I24" s="2438"/>
      <c r="J24" s="2438"/>
      <c r="K24" s="3145" t="s">
        <v>3408</v>
      </c>
      <c r="L24" s="3145" t="s">
        <v>3409</v>
      </c>
      <c r="M24" s="3145" t="s">
        <v>3410</v>
      </c>
      <c r="N24" s="3154" t="s">
        <v>3416</v>
      </c>
      <c r="O24" s="3154" t="s">
        <v>3417</v>
      </c>
      <c r="P24" s="3155" t="s">
        <v>3418</v>
      </c>
      <c r="Q24" s="3154" t="s">
        <v>3419</v>
      </c>
      <c r="R24" s="3154" t="s">
        <v>3420</v>
      </c>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3145" t="s">
        <v>3411</v>
      </c>
      <c r="L25" s="3145" t="s">
        <v>3412</v>
      </c>
      <c r="M25" s="3145" t="s">
        <v>3413</v>
      </c>
      <c r="N25" s="3154" t="s">
        <v>3421</v>
      </c>
      <c r="O25" s="3154" t="s">
        <v>3411</v>
      </c>
      <c r="P25" s="3154" t="s">
        <v>3411</v>
      </c>
      <c r="Q25" s="3154" t="s">
        <v>3412</v>
      </c>
      <c r="R25" s="3154" t="s">
        <v>3412</v>
      </c>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3146">
        <v>10</v>
      </c>
      <c r="L26" s="3146">
        <v>6</v>
      </c>
      <c r="M26" s="3146">
        <v>3</v>
      </c>
      <c r="N26" s="3155">
        <v>45</v>
      </c>
      <c r="O26" s="3155">
        <v>24</v>
      </c>
      <c r="P26" s="3155">
        <v>20</v>
      </c>
      <c r="Q26" s="3155">
        <v>5</v>
      </c>
      <c r="R26" s="3155" t="s">
        <v>3422</v>
      </c>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2303</v>
      </c>
      <c r="D27" s="2453"/>
      <c r="E27" s="2439"/>
      <c r="F27" s="2439"/>
      <c r="G27" s="2438"/>
      <c r="H27" s="2438"/>
      <c r="I27" s="2438"/>
      <c r="J27" s="2438"/>
      <c r="K27" s="3146">
        <v>2</v>
      </c>
      <c r="L27" s="3146">
        <v>2</v>
      </c>
      <c r="M27" s="3146">
        <v>0</v>
      </c>
      <c r="N27" s="3155">
        <v>3</v>
      </c>
      <c r="O27" s="3155">
        <v>3</v>
      </c>
      <c r="P27" s="3155">
        <v>2</v>
      </c>
      <c r="Q27" s="3155">
        <v>0</v>
      </c>
      <c r="R27" s="3155">
        <v>0</v>
      </c>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3146">
        <v>67000</v>
      </c>
      <c r="L28" s="3146">
        <v>100000</v>
      </c>
      <c r="M28" s="3146">
        <v>21000</v>
      </c>
      <c r="N28" s="3155">
        <v>124000</v>
      </c>
      <c r="O28" s="3155">
        <v>57000</v>
      </c>
      <c r="P28" s="3155">
        <v>32000</v>
      </c>
      <c r="Q28" s="3155">
        <v>22000</v>
      </c>
      <c r="R28" s="3155">
        <v>6400</v>
      </c>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2292</v>
      </c>
      <c r="D29" s="2453"/>
      <c r="E29" s="2439"/>
      <c r="F29" s="2439"/>
      <c r="G29" s="2438"/>
      <c r="H29" s="2438"/>
      <c r="I29" s="2438"/>
      <c r="J29" s="2438"/>
      <c r="K29" s="3147">
        <v>52000</v>
      </c>
      <c r="L29" s="3147">
        <v>72000</v>
      </c>
      <c r="M29" s="3147">
        <v>21000</v>
      </c>
      <c r="N29" s="3156">
        <v>100000</v>
      </c>
      <c r="O29" s="3156">
        <v>45000</v>
      </c>
      <c r="P29" s="3156">
        <v>26000</v>
      </c>
      <c r="Q29" s="3156">
        <v>22000</v>
      </c>
      <c r="R29" s="3156">
        <v>6400</v>
      </c>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9"/>
      <c r="F30" s="2439"/>
      <c r="G30" s="2438"/>
      <c r="H30" s="2438"/>
      <c r="I30" s="2438"/>
      <c r="J30" s="2438"/>
      <c r="K30" s="3147">
        <v>15000</v>
      </c>
      <c r="L30" s="3147">
        <v>28000</v>
      </c>
      <c r="M30" s="3147">
        <v>0</v>
      </c>
      <c r="N30" s="3156">
        <v>24000</v>
      </c>
      <c r="O30" s="3156">
        <v>12000</v>
      </c>
      <c r="P30" s="3156">
        <v>6000</v>
      </c>
      <c r="Q30" s="3156" t="s">
        <v>3414</v>
      </c>
      <c r="R30" s="3156" t="s">
        <v>3414</v>
      </c>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3148">
        <f t="shared" ref="K31:R31" si="12">K32+K36+K35</f>
        <v>6002</v>
      </c>
      <c r="L31" s="3148">
        <f t="shared" si="12"/>
        <v>4964</v>
      </c>
      <c r="M31" s="3148">
        <f t="shared" si="12"/>
        <v>3045</v>
      </c>
      <c r="N31" s="3148">
        <f t="shared" si="12"/>
        <v>8084</v>
      </c>
      <c r="O31" s="3148">
        <f t="shared" si="12"/>
        <v>5893</v>
      </c>
      <c r="P31" s="3148">
        <f t="shared" si="12"/>
        <v>4402</v>
      </c>
      <c r="Q31" s="3148">
        <f t="shared" si="12"/>
        <v>5920</v>
      </c>
      <c r="R31" s="3148">
        <f t="shared" si="12"/>
        <v>3380</v>
      </c>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8"/>
      <c r="F32" s="2438"/>
      <c r="G32" s="2438"/>
      <c r="H32" s="2438"/>
      <c r="I32" s="2438"/>
      <c r="J32" s="2438"/>
      <c r="K32" s="3149">
        <v>2924</v>
      </c>
      <c r="L32" s="3149">
        <v>2788</v>
      </c>
      <c r="M32" s="3149">
        <v>1470</v>
      </c>
      <c r="N32" s="3149">
        <v>3802</v>
      </c>
      <c r="O32" s="3149">
        <v>3061</v>
      </c>
      <c r="P32" s="3149">
        <v>2273</v>
      </c>
      <c r="Q32" s="3149">
        <v>1795</v>
      </c>
      <c r="R32" s="3149">
        <v>1595</v>
      </c>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0.03</v>
      </c>
      <c r="C33" s="2563" t="s">
        <v>3375</v>
      </c>
      <c r="D33" s="2450"/>
      <c r="E33" s="2438"/>
      <c r="F33" s="2438"/>
      <c r="G33" s="2438"/>
      <c r="H33" s="2438"/>
      <c r="I33" s="2438"/>
      <c r="J33" s="2438"/>
      <c r="K33" s="3147">
        <v>2105</v>
      </c>
      <c r="L33" s="3147">
        <v>2008</v>
      </c>
      <c r="M33" s="3147">
        <v>1470</v>
      </c>
      <c r="N33" s="3156">
        <v>3375</v>
      </c>
      <c r="O33" s="3156">
        <v>2440</v>
      </c>
      <c r="P33" s="3156">
        <v>1670</v>
      </c>
      <c r="Q33" s="3156">
        <v>1795</v>
      </c>
      <c r="R33" s="3156">
        <v>1595</v>
      </c>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2293</v>
      </c>
      <c r="D34" s="2458" t="s">
        <v>2300</v>
      </c>
      <c r="E34" s="2456"/>
      <c r="F34" s="2438"/>
      <c r="G34" s="2438"/>
      <c r="H34" s="2438"/>
      <c r="I34" s="2438"/>
      <c r="J34" s="2438"/>
      <c r="K34" s="3147">
        <v>5763</v>
      </c>
      <c r="L34" s="3147">
        <v>4793</v>
      </c>
      <c r="M34" s="3147" t="s">
        <v>3414</v>
      </c>
      <c r="N34" s="3156">
        <v>5582</v>
      </c>
      <c r="O34" s="3156">
        <v>5390</v>
      </c>
      <c r="P34" s="3156">
        <v>4887</v>
      </c>
      <c r="Q34" s="3156" t="s">
        <v>3414</v>
      </c>
      <c r="R34" s="3156" t="s">
        <v>3414</v>
      </c>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9"/>
      <c r="F35" s="2439"/>
      <c r="G35" s="2438"/>
      <c r="H35" s="2438"/>
      <c r="I35" s="2438"/>
      <c r="J35" s="2438"/>
      <c r="K35" s="3150">
        <v>1397</v>
      </c>
      <c r="L35" s="3150">
        <v>700</v>
      </c>
      <c r="M35" s="3150">
        <v>350</v>
      </c>
      <c r="N35" s="3150">
        <v>1613</v>
      </c>
      <c r="O35" s="3150">
        <v>474</v>
      </c>
      <c r="P35" s="3150">
        <v>569</v>
      </c>
      <c r="Q35" s="3150">
        <v>700</v>
      </c>
      <c r="R35" s="3150">
        <v>700</v>
      </c>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3376</v>
      </c>
      <c r="D36" s="2450"/>
      <c r="E36" s="2438"/>
      <c r="F36" s="2438"/>
      <c r="G36" s="2438"/>
      <c r="H36" s="2438"/>
      <c r="I36" s="2438"/>
      <c r="J36" s="2438"/>
      <c r="K36" s="3151">
        <v>1681</v>
      </c>
      <c r="L36" s="3151">
        <v>1476</v>
      </c>
      <c r="M36" s="3151">
        <v>1225</v>
      </c>
      <c r="N36" s="3151">
        <v>2669</v>
      </c>
      <c r="O36" s="3151">
        <v>2358</v>
      </c>
      <c r="P36" s="3151">
        <v>1560</v>
      </c>
      <c r="Q36" s="3151">
        <v>3425</v>
      </c>
      <c r="R36" s="3151">
        <v>1085</v>
      </c>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2295</v>
      </c>
      <c r="D37" s="2450"/>
      <c r="E37" s="2438"/>
      <c r="F37" s="2438"/>
      <c r="G37" s="2438"/>
      <c r="H37" s="2438"/>
      <c r="I37" s="2438"/>
      <c r="J37" s="2438"/>
      <c r="K37" s="3152"/>
      <c r="L37" s="3152"/>
      <c r="M37" s="3152"/>
      <c r="N37" s="3152"/>
      <c r="O37" s="3152"/>
      <c r="P37" s="3152"/>
      <c r="Q37" s="3152"/>
      <c r="R37" s="3152"/>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2295</v>
      </c>
      <c r="D38" s="2450"/>
      <c r="E38" s="2438"/>
      <c r="F38" s="2438"/>
      <c r="G38" s="2438"/>
      <c r="H38" s="2438"/>
      <c r="I38" s="2438"/>
      <c r="J38" s="2438"/>
      <c r="K38" s="3152"/>
      <c r="L38" s="3152"/>
      <c r="M38" s="3152"/>
      <c r="N38" s="3152"/>
      <c r="O38" s="3152"/>
      <c r="P38" s="3152"/>
      <c r="Q38" s="3152"/>
      <c r="R38" s="3152"/>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3152"/>
      <c r="L39" s="3152"/>
      <c r="M39" s="3152"/>
      <c r="N39" s="3152"/>
      <c r="O39" s="3152"/>
      <c r="P39" s="3152"/>
      <c r="Q39" s="3152"/>
      <c r="R39" s="3152"/>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3.1E-2</v>
      </c>
      <c r="C40" s="2571">
        <v>5.0000000000000001E-3</v>
      </c>
      <c r="D40" s="2447"/>
      <c r="E40" s="2450"/>
      <c r="F40" s="2438"/>
      <c r="G40" s="2438"/>
      <c r="H40" s="2438"/>
      <c r="I40" s="2438"/>
      <c r="J40" s="2438"/>
      <c r="K40" s="3152"/>
      <c r="L40" s="3152"/>
      <c r="M40" s="3152"/>
      <c r="N40" s="3152"/>
      <c r="O40" s="3152"/>
      <c r="P40" s="3152"/>
      <c r="Q40" s="3152"/>
      <c r="R40" s="3152"/>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8"/>
      <c r="G41" s="2438"/>
      <c r="H41" s="2438"/>
      <c r="I41" s="2438"/>
      <c r="J41" s="2438"/>
      <c r="K41" s="3153">
        <f t="shared" ref="K41:R41" si="13">K32/K31</f>
        <v>0.48717094301899366</v>
      </c>
      <c r="L41" s="3153">
        <f t="shared" si="13"/>
        <v>0.56164383561643838</v>
      </c>
      <c r="M41" s="3153">
        <f t="shared" si="13"/>
        <v>0.48275862068965519</v>
      </c>
      <c r="N41" s="3153">
        <f t="shared" si="13"/>
        <v>0.47031172686788719</v>
      </c>
      <c r="O41" s="3153">
        <f t="shared" si="13"/>
        <v>0.51942983200407267</v>
      </c>
      <c r="P41" s="3153">
        <f t="shared" si="13"/>
        <v>0.516356201726488</v>
      </c>
      <c r="Q41" s="3153">
        <f t="shared" si="13"/>
        <v>0.30320945945945948</v>
      </c>
      <c r="R41" s="3153">
        <f t="shared" si="13"/>
        <v>0.47189349112426038</v>
      </c>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3153">
        <f t="shared" ref="K42:R42" si="14">K35/K31</f>
        <v>0.23275574808397201</v>
      </c>
      <c r="L42" s="3153">
        <f t="shared" si="14"/>
        <v>0.14101531023368252</v>
      </c>
      <c r="M42" s="3153">
        <f t="shared" si="14"/>
        <v>0.11494252873563218</v>
      </c>
      <c r="N42" s="3153">
        <f t="shared" si="14"/>
        <v>0.19952993567540822</v>
      </c>
      <c r="O42" s="3153">
        <f t="shared" si="14"/>
        <v>8.0434413711182762E-2</v>
      </c>
      <c r="P42" s="3153">
        <f t="shared" si="14"/>
        <v>0.12925942753293956</v>
      </c>
      <c r="Q42" s="3153">
        <f t="shared" si="14"/>
        <v>0.11824324324324324</v>
      </c>
      <c r="R42" s="3153">
        <f t="shared" si="14"/>
        <v>0.20710059171597633</v>
      </c>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8"/>
      <c r="F43" s="2438"/>
      <c r="G43" s="2438"/>
      <c r="H43" s="2438"/>
      <c r="I43" s="2438"/>
      <c r="J43" s="2438"/>
      <c r="K43" s="3153">
        <f t="shared" ref="K43:R43" si="15">K36/K31</f>
        <v>0.2800733088970343</v>
      </c>
      <c r="L43" s="3153">
        <f t="shared" si="15"/>
        <v>0.29734085414987915</v>
      </c>
      <c r="M43" s="3153">
        <f t="shared" si="15"/>
        <v>0.40229885057471265</v>
      </c>
      <c r="N43" s="3153">
        <f t="shared" si="15"/>
        <v>0.33015833745670459</v>
      </c>
      <c r="O43" s="3153">
        <f t="shared" si="15"/>
        <v>0.40013575428474463</v>
      </c>
      <c r="P43" s="3153">
        <f t="shared" si="15"/>
        <v>0.35438437074057244</v>
      </c>
      <c r="Q43" s="3153">
        <f t="shared" si="15"/>
        <v>0.57854729729729726</v>
      </c>
      <c r="R43" s="3153">
        <f t="shared" si="15"/>
        <v>0.32100591715976329</v>
      </c>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296</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mergeCells count="2">
    <mergeCell ref="K23:M23"/>
    <mergeCell ref="N23:R23"/>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54" t="s">
        <v>2284</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2279</v>
      </c>
      <c r="D2" s="1594"/>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6.75">
      <c r="A4" s="2247"/>
      <c r="B4" s="315" t="s">
        <v>2252</v>
      </c>
      <c r="C4" s="2268" t="s">
        <v>2253</v>
      </c>
      <c r="D4" s="2265"/>
      <c r="E4" s="2269"/>
      <c r="F4" s="1280" t="s">
        <v>2254</v>
      </c>
      <c r="G4" s="2270" t="s">
        <v>2255</v>
      </c>
      <c r="H4" s="750"/>
      <c r="I4" s="750"/>
      <c r="J4" s="750"/>
      <c r="K4" s="750"/>
      <c r="L4" s="750"/>
      <c r="M4" s="750"/>
      <c r="N4" s="750"/>
      <c r="O4" s="750"/>
      <c r="P4" s="750"/>
      <c r="Q4" s="750"/>
    </row>
    <row r="5" spans="1:29" ht="36.75">
      <c r="A5" s="2247"/>
      <c r="B5" s="315" t="s">
        <v>2256</v>
      </c>
      <c r="C5" s="2268" t="s">
        <v>2257</v>
      </c>
      <c r="D5" s="2265"/>
      <c r="E5" s="2269"/>
      <c r="F5" s="315" t="s">
        <v>2258</v>
      </c>
      <c r="G5" s="2270" t="s">
        <v>2259</v>
      </c>
      <c r="H5" s="750"/>
      <c r="I5" s="750"/>
      <c r="J5" s="750"/>
      <c r="K5" s="750"/>
      <c r="L5" s="750"/>
      <c r="M5" s="750"/>
      <c r="N5" s="750"/>
      <c r="O5" s="750"/>
      <c r="P5" s="750"/>
      <c r="Q5" s="750"/>
    </row>
    <row r="6" spans="1:29" ht="36">
      <c r="A6" s="2247"/>
      <c r="B6" s="315" t="s">
        <v>2260</v>
      </c>
      <c r="C6" s="2270" t="s">
        <v>2255</v>
      </c>
      <c r="D6" s="2265"/>
      <c r="E6" s="2269"/>
      <c r="F6" s="315" t="s">
        <v>2261</v>
      </c>
      <c r="G6" s="2270" t="s">
        <v>2262</v>
      </c>
      <c r="H6" s="750"/>
      <c r="I6" s="750"/>
      <c r="J6" s="750"/>
      <c r="K6" s="750"/>
      <c r="L6" s="750"/>
      <c r="M6" s="750"/>
      <c r="N6" s="750"/>
      <c r="O6" s="750"/>
      <c r="P6" s="750"/>
      <c r="Q6" s="750"/>
    </row>
    <row r="7" spans="1:29" ht="24.75" thickBot="1">
      <c r="A7" s="2247"/>
      <c r="B7" s="315" t="s">
        <v>2258</v>
      </c>
      <c r="C7" s="2270" t="s">
        <v>2259</v>
      </c>
      <c r="D7" s="2244"/>
      <c r="E7" s="2271"/>
      <c r="F7" s="2272" t="s">
        <v>2263</v>
      </c>
      <c r="G7" s="2273" t="s">
        <v>2264</v>
      </c>
      <c r="H7" s="750"/>
      <c r="I7" s="750"/>
      <c r="J7" s="750"/>
      <c r="K7" s="750"/>
      <c r="L7" s="750"/>
      <c r="M7" s="750"/>
      <c r="N7" s="750"/>
      <c r="O7" s="750"/>
      <c r="P7" s="750"/>
      <c r="Q7" s="750"/>
    </row>
    <row r="8" spans="1:29">
      <c r="A8" s="2247"/>
      <c r="B8" s="315" t="s">
        <v>2261</v>
      </c>
      <c r="C8" s="2270" t="s">
        <v>2262</v>
      </c>
      <c r="D8" s="2244"/>
      <c r="E8" s="2244"/>
      <c r="F8" s="121"/>
      <c r="G8" s="121"/>
      <c r="H8" s="750"/>
      <c r="I8" s="750"/>
      <c r="J8" s="750"/>
      <c r="K8" s="750"/>
      <c r="L8" s="750"/>
      <c r="M8" s="750"/>
      <c r="N8" s="750"/>
      <c r="O8" s="750"/>
      <c r="P8" s="750"/>
      <c r="Q8" s="750"/>
    </row>
    <row r="9" spans="1:29" ht="24">
      <c r="A9" s="2247"/>
      <c r="B9" s="315" t="s">
        <v>2265</v>
      </c>
      <c r="C9" s="2268" t="s">
        <v>2266</v>
      </c>
      <c r="D9" s="2265"/>
      <c r="E9" s="2244"/>
      <c r="F9" s="121"/>
      <c r="G9" s="121"/>
      <c r="H9" s="750"/>
      <c r="I9" s="750"/>
      <c r="J9" s="750"/>
      <c r="K9" s="750"/>
      <c r="L9" s="750"/>
      <c r="M9" s="750"/>
      <c r="N9" s="750"/>
      <c r="O9" s="750"/>
      <c r="P9" s="750"/>
      <c r="Q9" s="750"/>
    </row>
    <row r="10" spans="1:29" ht="1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2268</v>
      </c>
      <c r="D14" s="2265"/>
      <c r="E14" s="2286"/>
      <c r="F14" s="2286"/>
      <c r="G14" s="2261" t="s">
        <v>2269</v>
      </c>
    </row>
    <row r="15" spans="1:29" ht="51">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8.2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2273</v>
      </c>
      <c r="G17" s="2294"/>
    </row>
    <row r="18" spans="1:17" ht="38.2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5">
      <c r="A19" s="2251"/>
      <c r="B19" s="2292" t="s">
        <v>2274</v>
      </c>
      <c r="C19" s="2294"/>
      <c r="D19" s="2265"/>
      <c r="E19" s="2252"/>
      <c r="F19" s="315" t="s">
        <v>2258</v>
      </c>
      <c r="G19" s="2293" t="str">
        <f>G5</f>
        <v>估价对象所在区域公共配套设施齐备情况</v>
      </c>
    </row>
    <row r="20" spans="1:17" ht="25.5">
      <c r="A20" s="2251"/>
      <c r="B20" s="2292" t="s">
        <v>2275</v>
      </c>
      <c r="C20" s="2291" t="str">
        <f>C9</f>
        <v>区域自然环境：；人文环境；综合评价环境状况一般</v>
      </c>
      <c r="D20" s="2244"/>
      <c r="E20" s="2252"/>
      <c r="F20" s="315" t="s">
        <v>2261</v>
      </c>
      <c r="G20" s="2293" t="str">
        <f>G6</f>
        <v>估价对象所在区域基础设施水平</v>
      </c>
    </row>
    <row r="21" spans="1:17" ht="25.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0" customFormat="1" ht="15"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0" customFormat="1" ht="15"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706.37</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45611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2262</v>
      </c>
      <c r="C5" s="2299">
        <f ca="1">IF(B5=D14,结果表!H102,ROUND(B5*10000/$B$1,0))</f>
        <v>46767</v>
      </c>
      <c r="D5" s="2299" t="e">
        <f ca="1">ROUND(B5*10000/$B$2,0)</f>
        <v>#DIV/0!</v>
      </c>
      <c r="E5" s="2460"/>
      <c r="F5" s="2461"/>
      <c r="G5" s="2461"/>
      <c r="H5" s="2461"/>
      <c r="I5" s="2461"/>
      <c r="J5" s="2461"/>
      <c r="K5" s="2461"/>
    </row>
    <row r="6" spans="1:11" ht="16.5">
      <c r="A6" s="2299" t="s">
        <v>656</v>
      </c>
      <c r="B6" s="2299">
        <f>SUM(G14:G23)</f>
        <v>0</v>
      </c>
      <c r="C6" s="2299">
        <f ca="1">IF(B6=G14,结果表!H108,ROUND(B6*10000/$B$1,0))</f>
        <v>46767</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3355</v>
      </c>
      <c r="D10" s="2299" t="s">
        <v>3356</v>
      </c>
      <c r="E10" s="3135"/>
      <c r="F10" s="3139" t="s">
        <v>3357</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典型户型修正!B22</f>
        <v>706.37</v>
      </c>
      <c r="C14" s="2305"/>
      <c r="D14" s="2305">
        <f ca="1">典型户型修正!S22</f>
        <v>2262</v>
      </c>
      <c r="E14" s="2305">
        <f ca="1">ROUND(D14*10000/B14,0)</f>
        <v>32023</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3395</v>
      </c>
      <c r="D1" s="645"/>
      <c r="E1" s="645"/>
      <c r="F1" s="1620" t="s">
        <v>1263</v>
      </c>
      <c r="G1" s="1452" t="s">
        <v>3394</v>
      </c>
      <c r="H1" s="1620" t="str">
        <f>IF(G1="现房","——","估价对象范围")</f>
        <v>——</v>
      </c>
      <c r="I1" s="1621"/>
    </row>
    <row r="2" spans="1:12" ht="21.75" customHeight="1" thickBot="1">
      <c r="A2" s="3323" t="str">
        <f>项目基本情况!S2</f>
        <v>北京市朝阳区青年沟路8号楼房地产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3" t="s">
        <v>1265</v>
      </c>
      <c r="B4" s="1624" t="s">
        <v>1266</v>
      </c>
      <c r="C4" s="1625" t="s">
        <v>3463</v>
      </c>
      <c r="D4" s="1625" t="s">
        <v>3423</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326">
        <v>25</v>
      </c>
      <c r="C5" s="3329"/>
      <c r="D5" s="3317"/>
      <c r="E5" s="123" t="s">
        <v>1269</v>
      </c>
      <c r="F5" s="1626"/>
      <c r="G5" s="1626"/>
      <c r="H5" s="1626"/>
      <c r="I5" s="1280"/>
    </row>
    <row r="6" spans="1:12" ht="12.75">
      <c r="A6" s="3271"/>
      <c r="B6" s="3326"/>
      <c r="C6" s="3331"/>
      <c r="D6" s="3317"/>
      <c r="E6" s="123" t="s">
        <v>1270</v>
      </c>
      <c r="F6" s="1626"/>
      <c r="G6" s="1626"/>
      <c r="H6" s="1626"/>
      <c r="I6" s="1280"/>
    </row>
    <row r="7" spans="1:12" ht="12.75">
      <c r="A7" s="3271"/>
      <c r="B7" s="3326"/>
      <c r="C7" s="3330"/>
      <c r="D7" s="3317"/>
      <c r="E7" s="123" t="s">
        <v>1271</v>
      </c>
      <c r="F7" s="1626"/>
      <c r="G7" s="1626"/>
      <c r="H7" s="1626"/>
      <c r="I7" s="1280"/>
    </row>
    <row r="8" spans="1:12" ht="12.75">
      <c r="A8" s="3271" t="s">
        <v>1272</v>
      </c>
      <c r="B8" s="3326">
        <v>15</v>
      </c>
      <c r="C8" s="3329"/>
      <c r="D8" s="3317"/>
      <c r="E8" s="123" t="s">
        <v>1273</v>
      </c>
      <c r="F8" s="1626"/>
      <c r="G8" s="1626"/>
      <c r="H8" s="1626"/>
      <c r="I8" s="1280"/>
    </row>
    <row r="9" spans="1:12" ht="12.75">
      <c r="A9" s="3271"/>
      <c r="B9" s="3326"/>
      <c r="C9" s="3330"/>
      <c r="D9" s="3317"/>
      <c r="E9" s="123" t="s">
        <v>1274</v>
      </c>
      <c r="F9" s="1626"/>
      <c r="G9" s="1626"/>
      <c r="H9" s="1626"/>
      <c r="I9" s="1280"/>
    </row>
    <row r="10" spans="1:12" ht="12.75">
      <c r="A10" s="3271" t="s">
        <v>1275</v>
      </c>
      <c r="B10" s="3326">
        <v>15</v>
      </c>
      <c r="C10" s="3329"/>
      <c r="D10" s="3317"/>
      <c r="E10" s="123" t="s">
        <v>1276</v>
      </c>
      <c r="F10" s="1626"/>
      <c r="G10" s="1626"/>
      <c r="H10" s="1626"/>
      <c r="I10" s="1280"/>
    </row>
    <row r="11" spans="1:12" ht="12.75">
      <c r="A11" s="3271"/>
      <c r="B11" s="3326"/>
      <c r="C11" s="3330"/>
      <c r="D11" s="3317"/>
      <c r="E11" s="123" t="s">
        <v>1277</v>
      </c>
      <c r="F11" s="1626"/>
      <c r="G11" s="1626"/>
      <c r="H11" s="1626"/>
      <c r="I11" s="1280"/>
    </row>
    <row r="12" spans="1:12" ht="12.75">
      <c r="A12" s="3271" t="s">
        <v>1278</v>
      </c>
      <c r="B12" s="3326">
        <v>15</v>
      </c>
      <c r="C12" s="3329"/>
      <c r="D12" s="3317"/>
      <c r="E12" s="123" t="s">
        <v>1279</v>
      </c>
      <c r="F12" s="1626"/>
      <c r="G12" s="1626"/>
      <c r="H12" s="1626"/>
      <c r="I12" s="1280"/>
    </row>
    <row r="13" spans="1:12" ht="12.75">
      <c r="A13" s="3271"/>
      <c r="B13" s="3326"/>
      <c r="C13" s="3330"/>
      <c r="D13" s="3317"/>
      <c r="E13" s="123" t="s">
        <v>1280</v>
      </c>
      <c r="F13" s="1626"/>
      <c r="G13" s="1626"/>
      <c r="H13" s="1626"/>
      <c r="I13" s="1280"/>
    </row>
    <row r="14" spans="1:12" ht="12.75">
      <c r="A14" s="3271" t="s">
        <v>1281</v>
      </c>
      <c r="B14" s="3326">
        <v>30</v>
      </c>
      <c r="C14" s="3329">
        <v>6</v>
      </c>
      <c r="D14" s="3317">
        <v>4</v>
      </c>
      <c r="E14" s="123" t="s">
        <v>1282</v>
      </c>
      <c r="F14" s="1626"/>
      <c r="G14" s="1626"/>
      <c r="H14" s="1626"/>
      <c r="I14" s="1280"/>
    </row>
    <row r="15" spans="1:12" ht="12.75">
      <c r="A15" s="3271"/>
      <c r="B15" s="3326"/>
      <c r="C15" s="3331"/>
      <c r="D15" s="3317"/>
      <c r="E15" s="123" t="s">
        <v>1283</v>
      </c>
      <c r="F15" s="1626"/>
      <c r="G15" s="1626"/>
      <c r="H15" s="1626"/>
      <c r="I15" s="1280"/>
    </row>
    <row r="16" spans="1:12" ht="12.75">
      <c r="A16" s="3271"/>
      <c r="B16" s="3326"/>
      <c r="C16" s="3330"/>
      <c r="D16" s="3317"/>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348" t="s">
        <v>2129</v>
      </c>
      <c r="F18" s="3349"/>
      <c r="G18" s="3349"/>
      <c r="H18" s="3349"/>
      <c r="I18" s="3349"/>
      <c r="K18" s="294" t="s">
        <v>1289</v>
      </c>
      <c r="L18" s="294">
        <f>IF(C1="",'数据-汇总表'!E3,SUMIF(项目类型,C1,'数据-汇总表'!E17:E26)+SUMIF(项目类型,C1,'数据-汇总表'!I17:I26))</f>
        <v>119.31</v>
      </c>
      <c r="M18" s="294">
        <f>IF(C1="",'数据-汇总表'!E3,SUMIF(项目类型,C1,'数据-汇总表'!E17:E26))</f>
        <v>119.31</v>
      </c>
    </row>
    <row r="19" spans="1:36" ht="15">
      <c r="A19" s="1629" t="s">
        <v>1290</v>
      </c>
      <c r="B19" s="1630" t="s">
        <v>1291</v>
      </c>
      <c r="C19" s="126">
        <f ca="1">SUMIF(INDIRECT("'"&amp;C4&amp;"'"&amp;"!A:A"),结果表!B19,INDIRECT("'"&amp;C4&amp;"'"&amp;"!B:B"))</f>
        <v>722.14760000000001</v>
      </c>
      <c r="D19" s="127">
        <f ca="1">SUMIF(INDIRECT("'"&amp;D4&amp;"'"&amp;"!A:A"),结果表!B19,INDIRECT("'"&amp;D4&amp;"'"&amp;"!B:B"))</f>
        <v>311.72930000000002</v>
      </c>
      <c r="E19" s="1629" t="s">
        <v>1292</v>
      </c>
      <c r="F19" s="1630" t="s">
        <v>1291</v>
      </c>
      <c r="G19" s="128">
        <f ca="1">ROUND(C19*$C$18+D19*$D$18,0)</f>
        <v>558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60527</v>
      </c>
      <c r="D20" s="130">
        <f ca="1">SUMIF(INDIRECT("'"&amp;D4&amp;"'"&amp;"!A:A"),结果表!B20,INDIRECT("'"&amp;D4&amp;"'"&amp;"!B:B"))</f>
        <v>26128</v>
      </c>
      <c r="E20" s="1632"/>
      <c r="F20" s="43" t="s">
        <v>1295</v>
      </c>
      <c r="G20" s="131">
        <f ca="1">ROUND(C20*$C$18+D20*$D$18,0)</f>
        <v>46767</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1.316585576010981</v>
      </c>
      <c r="E22" s="121"/>
      <c r="F22" s="121"/>
      <c r="G22" s="121"/>
      <c r="H22" s="121"/>
      <c r="I22" s="121"/>
    </row>
    <row r="23" spans="1:36" ht="13.5" thickBot="1">
      <c r="A23" s="645"/>
      <c r="B23" s="645"/>
      <c r="C23" s="645"/>
      <c r="D23" s="645"/>
      <c r="E23" s="121"/>
      <c r="F23" s="121"/>
      <c r="G23" s="121"/>
      <c r="H23" s="121"/>
      <c r="I23" s="121"/>
    </row>
    <row r="24" spans="1:36" ht="14.25">
      <c r="A24" s="3341" t="s">
        <v>1299</v>
      </c>
      <c r="B24" s="1630" t="s">
        <v>1291</v>
      </c>
      <c r="C24" s="128">
        <f>IF(B30=0,0,D30)</f>
        <v>0</v>
      </c>
      <c r="D24" s="1636"/>
      <c r="E24" s="121"/>
      <c r="F24" s="121"/>
      <c r="G24" s="121"/>
      <c r="H24" s="121"/>
      <c r="I24" s="121"/>
    </row>
    <row r="25" spans="1:36" ht="14.25">
      <c r="A25" s="334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5" customHeight="1" thickTop="1" thickBot="1">
      <c r="A31" s="2127"/>
      <c r="B31" s="2128"/>
      <c r="C31" s="2128"/>
      <c r="D31" s="2128"/>
      <c r="E31" s="2128"/>
      <c r="F31" s="2128"/>
      <c r="G31" s="2128"/>
      <c r="H31" s="2128"/>
      <c r="I31" s="2129" t="s">
        <v>2131</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46767</v>
      </c>
      <c r="D32" s="1640" t="s">
        <v>3472</v>
      </c>
      <c r="E32" s="121"/>
      <c r="F32" s="121"/>
      <c r="G32" s="121"/>
      <c r="H32" s="121"/>
      <c r="I32" s="121"/>
    </row>
    <row r="33" spans="1:15" ht="15">
      <c r="A33" s="739" t="s">
        <v>1306</v>
      </c>
      <c r="B33" s="123"/>
      <c r="C33" s="1641" t="s">
        <v>3473</v>
      </c>
      <c r="D33" s="1642"/>
      <c r="E33" s="1643" t="s">
        <v>1307</v>
      </c>
      <c r="F33" s="1644" t="str">
        <f>IF(D32="楼面单价","取值（单价）","取值（总价）")</f>
        <v>取值（单价）</v>
      </c>
      <c r="G33" s="121"/>
      <c r="H33" s="121"/>
      <c r="I33" s="121"/>
    </row>
    <row r="34" spans="1:15" ht="15">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318" t="s">
        <v>1312</v>
      </c>
      <c r="B36" s="1651" t="s">
        <v>1313</v>
      </c>
      <c r="C36" s="137"/>
      <c r="D36" s="1652"/>
      <c r="E36" s="1566"/>
      <c r="F36" s="1653"/>
      <c r="G36" s="121"/>
      <c r="H36" s="121"/>
      <c r="I36" s="121"/>
    </row>
    <row r="37" spans="1:15" ht="15.75" thickBot="1">
      <c r="A37" s="3319"/>
      <c r="B37" s="1554" t="s">
        <v>1314</v>
      </c>
      <c r="C37" s="139"/>
      <c r="D37" s="1070"/>
      <c r="E37" s="1070"/>
      <c r="F37" s="1653"/>
      <c r="G37" s="121"/>
      <c r="H37" s="121"/>
      <c r="I37" s="121"/>
    </row>
    <row r="38" spans="1:15" ht="15.75" thickBot="1">
      <c r="A38" s="3320"/>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8" t="s">
        <v>1326</v>
      </c>
      <c r="B45" s="3339"/>
      <c r="C45" s="3340"/>
      <c r="D45" s="147">
        <f ca="1">ROUND(H101*F45,0)</f>
        <v>558</v>
      </c>
      <c r="E45" s="148" t="s">
        <v>1327</v>
      </c>
      <c r="F45" s="149">
        <v>1</v>
      </c>
      <c r="G45" s="150" t="s">
        <v>1328</v>
      </c>
      <c r="H45" s="121"/>
      <c r="I45" s="121"/>
      <c r="J45" s="3258" t="s">
        <v>1329</v>
      </c>
      <c r="K45" s="3258"/>
      <c r="L45" s="3258"/>
      <c r="M45" s="3258"/>
      <c r="N45" s="3258"/>
      <c r="O45" s="3258"/>
    </row>
    <row r="46" spans="1:15" ht="14.25" customHeight="1">
      <c r="A46" s="3335" t="s">
        <v>1330</v>
      </c>
      <c r="B46" s="3336"/>
      <c r="C46" s="3336"/>
      <c r="D46" s="3336"/>
      <c r="E46" s="3336"/>
      <c r="F46" s="3336"/>
      <c r="G46" s="3337"/>
      <c r="H46" s="1667"/>
      <c r="I46" s="151"/>
      <c r="J46" s="2309">
        <v>1</v>
      </c>
      <c r="K46" s="3259" t="s">
        <v>1331</v>
      </c>
      <c r="L46" s="3259"/>
      <c r="M46" s="3260"/>
      <c r="N46" s="3260"/>
      <c r="O46" s="3260"/>
    </row>
    <row r="47" spans="1:15" ht="12" customHeight="1">
      <c r="A47" s="152" t="s">
        <v>1332</v>
      </c>
      <c r="B47" s="153"/>
      <c r="C47" s="154"/>
      <c r="D47" s="1023" t="s">
        <v>1333</v>
      </c>
      <c r="E47" s="294" t="s">
        <v>1334</v>
      </c>
      <c r="F47" s="155" t="s">
        <v>1335</v>
      </c>
      <c r="G47" s="2332" t="s">
        <v>1336</v>
      </c>
      <c r="H47" s="2333"/>
      <c r="I47" s="151"/>
      <c r="J47" s="2309">
        <v>2</v>
      </c>
      <c r="K47" s="3259" t="s">
        <v>1337</v>
      </c>
      <c r="L47" s="3259"/>
      <c r="M47" s="3261">
        <f>'数据-取费表'!B2</f>
        <v>45611</v>
      </c>
      <c r="N47" s="3261"/>
      <c r="O47" s="3261"/>
    </row>
    <row r="48" spans="1:15" ht="25.5">
      <c r="A48" s="3321" t="s">
        <v>1338</v>
      </c>
      <c r="B48" s="3322"/>
      <c r="C48" s="332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59" t="s">
        <v>1340</v>
      </c>
      <c r="L48" s="3259"/>
      <c r="M48" s="3262">
        <f ca="1">H101</f>
        <v>558</v>
      </c>
      <c r="N48" s="3262"/>
      <c r="O48" s="3262"/>
    </row>
    <row r="49" spans="1:35" ht="25.5" customHeight="1">
      <c r="A49" s="2151" t="s">
        <v>1341</v>
      </c>
      <c r="B49" s="3307" t="s">
        <v>1342</v>
      </c>
      <c r="C49" s="3307"/>
      <c r="D49" s="1477">
        <v>0</v>
      </c>
      <c r="E49" s="316" t="s">
        <v>1343</v>
      </c>
      <c r="F49" s="2232" t="s">
        <v>28</v>
      </c>
      <c r="G49" s="3290"/>
      <c r="H49" s="2133" t="s">
        <v>2132</v>
      </c>
      <c r="I49" s="2134"/>
      <c r="J49" s="2309">
        <v>4</v>
      </c>
      <c r="K49" s="3259" t="str">
        <f>IF(项目基本情况!E8="房地产抵押价值","房地产抵押价值","抵押担保权已注销时的房地产抵押价值")</f>
        <v>房地产抵押价值</v>
      </c>
      <c r="L49" s="3259"/>
      <c r="M49" s="3262">
        <f ca="1">IF(项目基本情况!E8="房地产抵押价值",H107,H109)</f>
        <v>558</v>
      </c>
      <c r="N49" s="3262"/>
      <c r="O49" s="3262"/>
    </row>
    <row r="50" spans="1:35" ht="25.5" customHeight="1">
      <c r="A50" s="2337"/>
      <c r="B50" s="3307" t="s">
        <v>1344</v>
      </c>
      <c r="C50" s="3307"/>
      <c r="D50" s="2188"/>
      <c r="E50" s="323"/>
      <c r="F50" s="2232"/>
      <c r="G50" s="3291"/>
      <c r="H50" s="2135" t="s">
        <v>2133</v>
      </c>
      <c r="I50" s="2134"/>
      <c r="J50" s="3258" t="s">
        <v>1345</v>
      </c>
      <c r="K50" s="3258"/>
      <c r="L50" s="3258"/>
      <c r="M50" s="3258"/>
      <c r="N50" s="3258"/>
      <c r="O50" s="3258"/>
    </row>
    <row r="51" spans="1:35" ht="20.45" customHeight="1">
      <c r="A51" s="2338"/>
      <c r="B51" s="3307" t="s">
        <v>1346</v>
      </c>
      <c r="C51" s="3307"/>
      <c r="D51" s="1023"/>
      <c r="E51" s="319"/>
      <c r="F51" s="2232"/>
      <c r="G51" s="3292"/>
      <c r="H51" s="2135" t="s">
        <v>2134</v>
      </c>
      <c r="I51" s="2134"/>
      <c r="J51" s="2310" t="s">
        <v>1347</v>
      </c>
      <c r="K51" s="3259" t="s">
        <v>1348</v>
      </c>
      <c r="L51" s="3259"/>
      <c r="M51" s="2310" t="s">
        <v>1349</v>
      </c>
      <c r="N51" s="2310" t="s">
        <v>1350</v>
      </c>
      <c r="O51" s="2310" t="s">
        <v>1351</v>
      </c>
    </row>
    <row r="52" spans="1:35" ht="24" customHeight="1">
      <c r="A52" s="2152" t="s">
        <v>1352</v>
      </c>
      <c r="B52" s="3307" t="s">
        <v>1353</v>
      </c>
      <c r="C52" s="3307"/>
      <c r="D52" s="1023">
        <f ca="1">ROUND(D45*'数据-取费表'!B41/(1+'数据-取费表'!C42),0)</f>
        <v>30</v>
      </c>
      <c r="E52" s="1255" t="s">
        <v>1354</v>
      </c>
      <c r="F52" s="2339">
        <f>'数据-取费表'!B41</f>
        <v>5.6000000000000001E-2</v>
      </c>
      <c r="G52" s="2340"/>
      <c r="H52" s="2330"/>
      <c r="I52" s="1668"/>
      <c r="J52" s="2309">
        <v>1</v>
      </c>
      <c r="K52" s="3284" t="s">
        <v>1355</v>
      </c>
      <c r="L52" s="3284"/>
      <c r="M52" s="2311" t="b">
        <f>D48</f>
        <v>0</v>
      </c>
      <c r="N52" s="2309" t="str">
        <f>E48</f>
        <v>销售额×税（费）率</v>
      </c>
      <c r="O52" s="2312">
        <f>F48</f>
        <v>5.6000000000000001E-2</v>
      </c>
    </row>
    <row r="53" spans="1:35" ht="12" customHeight="1">
      <c r="A53" s="2152" t="s">
        <v>1356</v>
      </c>
      <c r="B53" s="3308" t="s">
        <v>2289</v>
      </c>
      <c r="C53" s="3309"/>
      <c r="D53" s="1023">
        <f ca="1">ROUND(D45*'数据-取费表'!B41/(1+'数据-取费表'!C42),0)</f>
        <v>30</v>
      </c>
      <c r="E53" s="1255" t="s">
        <v>1354</v>
      </c>
      <c r="F53" s="2339">
        <f>'数据-取费表'!B41</f>
        <v>5.6000000000000001E-2</v>
      </c>
      <c r="G53" s="2340"/>
      <c r="H53" s="2330"/>
      <c r="I53" s="1668"/>
      <c r="J53" s="2309">
        <v>2</v>
      </c>
      <c r="K53" s="3284" t="s">
        <v>1357</v>
      </c>
      <c r="L53" s="3284"/>
      <c r="M53" s="2311">
        <f t="shared" ref="M53:O54" ca="1" si="0">D55</f>
        <v>0</v>
      </c>
      <c r="N53" s="2309" t="str">
        <f t="shared" si="0"/>
        <v>销售额×税（费）率</v>
      </c>
      <c r="O53" s="2312" t="str">
        <f t="shared" si="0"/>
        <v>免征</v>
      </c>
    </row>
    <row r="54" spans="1:35" ht="12" customHeight="1">
      <c r="A54" s="2152" t="s">
        <v>1358</v>
      </c>
      <c r="B54" s="3308" t="s">
        <v>2290</v>
      </c>
      <c r="C54" s="3309"/>
      <c r="D54" s="1023">
        <f ca="1">C68</f>
        <v>30</v>
      </c>
      <c r="E54" s="319" t="s">
        <v>1359</v>
      </c>
      <c r="F54" s="2339">
        <f>'数据-取费表'!B41</f>
        <v>5.6000000000000001E-2</v>
      </c>
      <c r="G54" s="2340"/>
      <c r="H54" s="2341"/>
      <c r="I54" s="1668"/>
      <c r="J54" s="2309">
        <v>3</v>
      </c>
      <c r="K54" s="3284" t="s">
        <v>1360</v>
      </c>
      <c r="L54" s="3284"/>
      <c r="M54" s="2311">
        <f t="shared" ca="1" si="0"/>
        <v>316</v>
      </c>
      <c r="N54" s="2309" t="str">
        <f t="shared" si="0"/>
        <v>增值额×税（费）率</v>
      </c>
      <c r="O54" s="2313" t="str">
        <f t="shared" si="0"/>
        <v>免征</v>
      </c>
    </row>
    <row r="55" spans="1:35" ht="24" customHeight="1">
      <c r="A55" s="3344" t="s">
        <v>1361</v>
      </c>
      <c r="B55" s="3322"/>
      <c r="C55" s="3322"/>
      <c r="D55" s="12">
        <f ca="1">IF(H55="个人住宅",0,ROUND(D45*I55,0))</f>
        <v>0</v>
      </c>
      <c r="E55" s="1255" t="s">
        <v>1362</v>
      </c>
      <c r="F55" s="2339" t="str">
        <f>IF(H55="正常",I55,"免征")</f>
        <v>免征</v>
      </c>
      <c r="G55" s="2340"/>
      <c r="H55" s="2336"/>
      <c r="I55" s="157">
        <f>'数据-取费表'!B49</f>
        <v>5.0000000000000001E-4</v>
      </c>
      <c r="J55" s="2309">
        <f>IF(H59="非个人房产","",4)</f>
        <v>4</v>
      </c>
      <c r="K55" s="3284" t="str">
        <f>IF(H59="非个人房产","——","个人所得税")</f>
        <v>个人所得税</v>
      </c>
      <c r="L55" s="3284"/>
      <c r="M55" s="2314">
        <f ca="1">D59</f>
        <v>5</v>
      </c>
      <c r="N55" s="1882" t="str">
        <f>E59</f>
        <v>差额计税</v>
      </c>
      <c r="O55" s="2315">
        <f>F59</f>
        <v>0.01</v>
      </c>
    </row>
    <row r="56" spans="1:35" ht="24.75">
      <c r="A56" s="3344" t="s">
        <v>1363</v>
      </c>
      <c r="B56" s="3322"/>
      <c r="C56" s="3322"/>
      <c r="D56" s="12">
        <f ca="1">IF(H56="个人住宅",D57,D58)</f>
        <v>316</v>
      </c>
      <c r="E56" s="1255" t="s">
        <v>1364</v>
      </c>
      <c r="F56" s="2339" t="str">
        <f>IF(H56="正常",F58,"免征")</f>
        <v>免征</v>
      </c>
      <c r="G56" s="2342" t="s">
        <v>1365</v>
      </c>
      <c r="H56" s="2343"/>
      <c r="I56" s="1669"/>
      <c r="J56" s="2309" t="str">
        <f>IF(项目基本情况!K6="上海银行",IF(J55="",4,J55+1),"")</f>
        <v/>
      </c>
      <c r="K56" s="3265" t="str">
        <f>IF(项目基本情况!K6="上海银行","其他处置费用","")</f>
        <v/>
      </c>
      <c r="L56" s="3266"/>
      <c r="M56" s="2311" t="str">
        <f>IF(项目基本情况!K6="上海银行",M69,"")</f>
        <v/>
      </c>
      <c r="N56" s="3265" t="str">
        <f>IF(项目基本情况!K6="上海银行","包含处置中涉及的律师、诉讼、拍卖、评估等费用","")</f>
        <v/>
      </c>
      <c r="O56" s="3268"/>
    </row>
    <row r="57" spans="1:35" ht="12.75">
      <c r="A57" s="2152" t="s">
        <v>1341</v>
      </c>
      <c r="B57" s="3308" t="s">
        <v>1366</v>
      </c>
      <c r="C57" s="3309"/>
      <c r="D57" s="1477">
        <v>0</v>
      </c>
      <c r="E57" s="316" t="s">
        <v>1343</v>
      </c>
      <c r="F57" s="294"/>
      <c r="G57" s="2340"/>
      <c r="H57" s="2344"/>
      <c r="I57" s="1669"/>
      <c r="J57" s="3284">
        <f>IF(AND(J55="",J56=""),4,IF(项目基本情况!K6="上海银行",结果表!J56+1,结果表!J55+1))</f>
        <v>5</v>
      </c>
      <c r="K57" s="3284" t="s">
        <v>1367</v>
      </c>
      <c r="L57" s="2316" t="s">
        <v>1368</v>
      </c>
      <c r="M57" s="2317"/>
      <c r="N57" s="2318">
        <f ca="1">SUMIF(M52:M56,"&lt;9e307")</f>
        <v>321</v>
      </c>
      <c r="O57" s="2319"/>
      <c r="P57" s="2463">
        <f ca="1">N57/M49</f>
        <v>0.57526881720430112</v>
      </c>
    </row>
    <row r="58" spans="1:35" ht="24.75">
      <c r="A58" s="2152" t="s">
        <v>1352</v>
      </c>
      <c r="B58" s="3308" t="s">
        <v>1369</v>
      </c>
      <c r="C58" s="3307"/>
      <c r="D58" s="12">
        <f ca="1">IF(H58="转让取得",C81,C97)</f>
        <v>316</v>
      </c>
      <c r="E58" s="1255" t="s">
        <v>1364</v>
      </c>
      <c r="F58" s="294" t="s">
        <v>28</v>
      </c>
      <c r="G58" s="2340"/>
      <c r="H58" s="2343"/>
      <c r="I58" s="1669"/>
      <c r="J58" s="3284"/>
      <c r="K58" s="3284"/>
      <c r="L58" s="2316" t="s">
        <v>1370</v>
      </c>
      <c r="M58" s="2320"/>
      <c r="N58" s="2321" t="str">
        <f ca="1">NUMBERSTRING(INT(N57*10000),2)&amp;"元整"</f>
        <v>叁佰贰拾壹万元整</v>
      </c>
      <c r="O58" s="2322"/>
    </row>
    <row r="59" spans="1:35" ht="24.75" thickBot="1">
      <c r="A59" s="3288" t="s">
        <v>1371</v>
      </c>
      <c r="B59" s="3289"/>
      <c r="C59" s="3289"/>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2135</v>
      </c>
      <c r="J59" s="3286">
        <f>J57+1</f>
        <v>6</v>
      </c>
      <c r="K59" s="3284" t="s">
        <v>1372</v>
      </c>
      <c r="L59" s="2309" t="s">
        <v>1368</v>
      </c>
      <c r="M59" s="2323"/>
      <c r="N59" s="2324">
        <f ca="1">M49-N57</f>
        <v>237</v>
      </c>
      <c r="O59" s="2325"/>
    </row>
    <row r="60" spans="1:35" ht="12" customHeight="1">
      <c r="A60" s="1670"/>
      <c r="B60" s="645"/>
      <c r="C60" s="645"/>
      <c r="D60" s="645"/>
      <c r="E60" s="1465"/>
      <c r="F60" s="1669"/>
      <c r="G60" s="1669"/>
      <c r="H60" s="151"/>
      <c r="I60" s="121"/>
      <c r="J60" s="3287"/>
      <c r="K60" s="3284"/>
      <c r="L60" s="2316" t="s">
        <v>1370</v>
      </c>
      <c r="M60" s="2320"/>
      <c r="N60" s="2321" t="str">
        <f ca="1">NUMBERSTRING(INT(N59*10000),2)&amp;"元整"</f>
        <v>贰佰叁拾柒万元整</v>
      </c>
      <c r="O60" s="2322"/>
    </row>
    <row r="61" spans="1:35" ht="13.5" thickBot="1">
      <c r="A61" s="3343" t="s">
        <v>1373</v>
      </c>
      <c r="B61" s="3343"/>
      <c r="C61" s="3343"/>
      <c r="D61" s="3343"/>
      <c r="E61" s="3343"/>
      <c r="F61" s="1669"/>
      <c r="G61" s="1669"/>
      <c r="H61" s="151"/>
      <c r="I61" s="121"/>
      <c r="J61" s="2309">
        <f>J59+1</f>
        <v>7</v>
      </c>
      <c r="K61" s="3284" t="s">
        <v>1374</v>
      </c>
      <c r="L61" s="3284"/>
      <c r="M61" s="2326"/>
      <c r="N61" s="2327">
        <f ca="1">ROUND(N59*10000/'数据-汇总表'!E3,0)</f>
        <v>19864</v>
      </c>
      <c r="O61" s="2328"/>
    </row>
    <row r="62" spans="1:35" ht="12.75">
      <c r="A62" s="3303" t="s">
        <v>1375</v>
      </c>
      <c r="B62" s="3304"/>
      <c r="C62" s="1864"/>
      <c r="D62" s="1864" t="s">
        <v>1376</v>
      </c>
      <c r="E62" s="158" t="s">
        <v>1377</v>
      </c>
      <c r="F62" s="1669"/>
      <c r="G62" s="1669"/>
      <c r="H62" s="151"/>
      <c r="I62" s="121"/>
    </row>
    <row r="63" spans="1:35" ht="12.75">
      <c r="A63" s="165" t="s">
        <v>330</v>
      </c>
      <c r="B63" s="159" t="s">
        <v>1378</v>
      </c>
      <c r="C63" s="2349">
        <f ca="1">ROUND((C64+C65)/(1+'数据-取费表'!C42),0)</f>
        <v>531</v>
      </c>
      <c r="D63" s="159"/>
      <c r="E63" s="160"/>
      <c r="F63" s="1669"/>
      <c r="G63" s="1669"/>
      <c r="H63" s="151"/>
      <c r="I63" s="121"/>
      <c r="J63" s="3267" t="s">
        <v>1379</v>
      </c>
      <c r="K63" s="1244" t="s">
        <v>1380</v>
      </c>
      <c r="L63" s="1244">
        <f ca="1">IF(M49&gt;10000,M49*0.5%,IF(AND(M49&gt;1000,M49&lt;=10000),M49*1%,IF(AND(M49&gt;100,M49&lt;=1000),M49*3%,IF(AND(M49&gt;10,M49&lt;=100),M49*5%,M49*8%))))</f>
        <v>16.739999999999998</v>
      </c>
      <c r="M63" s="294">
        <f ca="1">ROUND(L63,1)</f>
        <v>16.7</v>
      </c>
      <c r="N63" s="2329"/>
      <c r="Z63" s="1622"/>
      <c r="AI63" s="1560"/>
    </row>
    <row r="64" spans="1:35" ht="14.25" customHeight="1">
      <c r="A64" s="161" t="s">
        <v>325</v>
      </c>
      <c r="B64" s="162" t="s">
        <v>1381</v>
      </c>
      <c r="C64" s="2350">
        <f ca="1">D45</f>
        <v>558</v>
      </c>
      <c r="D64" s="162" t="s">
        <v>26</v>
      </c>
      <c r="E64" s="164"/>
      <c r="F64" s="1669"/>
      <c r="G64" s="1669"/>
      <c r="H64" s="151"/>
      <c r="I64" s="121"/>
      <c r="J64" s="3267"/>
      <c r="K64" s="1244" t="s">
        <v>1382</v>
      </c>
      <c r="L64" s="1244">
        <f ca="1">IF(M49&gt;2000,M49*0.5%,IF(AND(M49&gt;1000,M49&lt;=2000),M49*0.6%,IF(AND(M49&gt;500,M49&lt;=1000),M49*0.7%,IF(AND(M49&gt;200,M49&lt;=500),M49*0.8%,IF(AND(M49&gt;100,M49&lt;=200),M49*0.9%,IF(AND(M49&gt;50,M49&lt;=100),M49*1%,IF(AND(M49&gt;20,M49&lt;=50),M49*1.5%,IF(AND(M49&gt;10,M49&lt;=20),M49*2%,IF(AND(M49&gt;1,M49&lt;=10),M49*2.5%)))))))))</f>
        <v>3.9059999999999997</v>
      </c>
      <c r="M64" s="294">
        <f t="shared" ref="M64:M65" ca="1" si="1">ROUND(L64,1)</f>
        <v>3.9</v>
      </c>
      <c r="N64" s="2330" t="s">
        <v>1383</v>
      </c>
      <c r="Z64" s="1622"/>
      <c r="AI64" s="1560"/>
    </row>
    <row r="65" spans="1:35" ht="14.25" customHeight="1">
      <c r="A65" s="161" t="s">
        <v>326</v>
      </c>
      <c r="B65" s="162" t="s">
        <v>1384</v>
      </c>
      <c r="C65" s="2351"/>
      <c r="D65" s="162"/>
      <c r="E65" s="164"/>
      <c r="F65" s="1669"/>
      <c r="G65" s="1669"/>
      <c r="H65" s="151"/>
      <c r="I65" s="121"/>
      <c r="J65" s="3267"/>
      <c r="K65" s="1244" t="s">
        <v>1385</v>
      </c>
      <c r="L65" s="1244">
        <f ca="1">IF(M49&gt;1000,M49*0.1%,IF(AND(M49&gt;500,M49&lt;=1000),M49*0.5%,IF(AND(M49&gt;50,M49&lt;=500),M49*1%,IF(AND(M49&gt;1,M49&lt;=50),M49*1.5%))))</f>
        <v>2.79</v>
      </c>
      <c r="M65" s="294">
        <f t="shared" ca="1" si="1"/>
        <v>2.8</v>
      </c>
      <c r="N65" s="2330" t="s">
        <v>1383</v>
      </c>
      <c r="Z65" s="1622"/>
      <c r="AI65" s="1560"/>
    </row>
    <row r="66" spans="1:35" ht="14.25" customHeight="1">
      <c r="A66" s="165" t="s">
        <v>327</v>
      </c>
      <c r="B66" s="166" t="s">
        <v>1386</v>
      </c>
      <c r="C66" s="2352"/>
      <c r="D66" s="166" t="s">
        <v>26</v>
      </c>
      <c r="E66" s="1250" t="s">
        <v>671</v>
      </c>
      <c r="F66" s="1669"/>
      <c r="G66" s="1669"/>
      <c r="H66" s="151"/>
      <c r="I66" s="121"/>
      <c r="J66" s="3267"/>
      <c r="K66" s="1244" t="s">
        <v>1387</v>
      </c>
      <c r="L66" s="1244">
        <f ca="1">M49*0.5%</f>
        <v>2.79</v>
      </c>
      <c r="M66" s="294">
        <f ca="1">IF(L66&gt;0.5,0.5,ROUND(L66,0))</f>
        <v>0.5</v>
      </c>
      <c r="N66" s="2330" t="s">
        <v>1388</v>
      </c>
      <c r="Z66" s="1622"/>
      <c r="AI66" s="1560"/>
    </row>
    <row r="67" spans="1:35" ht="14.25" customHeight="1">
      <c r="A67" s="165" t="s">
        <v>328</v>
      </c>
      <c r="B67" s="166" t="s">
        <v>1389</v>
      </c>
      <c r="C67" s="2353">
        <f ca="1">C63-C66</f>
        <v>531</v>
      </c>
      <c r="D67" s="162" t="s">
        <v>26</v>
      </c>
      <c r="E67" s="164"/>
      <c r="F67" s="1669"/>
      <c r="G67" s="1669"/>
      <c r="H67" s="151"/>
      <c r="I67" s="121"/>
      <c r="J67" s="3267"/>
      <c r="K67" s="1244" t="s">
        <v>1390</v>
      </c>
      <c r="L67" s="1244">
        <f ca="1">IF(M49&gt;=10000,(8.25+(M49-10000)*0.01%),IF(AND(M49&gt;=8000,M49&lt;10000),(7.85+(M49-8000)*0.02%),IF(AND(M49&gt;=5000,M49&lt;8000),(6.65+(M49-5000)*0.04%),IF(AND(M49&gt;=2000,M49&lt;5000),(4.25+(PM49-2000)*0.08%),IF(AND(M49&gt;=1000,M49&lt;2000),(2.75+(M49-1000)*0.15%),IF(AND(M49&gt;=100,M49&lt;1000),(0.5+(M49-100)*0.25%),IF(AND(M49&gt;0,M49&lt;100),M49*0.5%)))))))</f>
        <v>1.645</v>
      </c>
      <c r="M67" s="294">
        <f ca="1">ROUND(L67*0.9,1)</f>
        <v>1.5</v>
      </c>
      <c r="N67" s="2329"/>
      <c r="Z67" s="1622"/>
      <c r="AI67" s="1560"/>
    </row>
    <row r="68" spans="1:35" ht="14.25" customHeight="1" thickBot="1">
      <c r="A68" s="168" t="s">
        <v>329</v>
      </c>
      <c r="B68" s="169" t="s">
        <v>1391</v>
      </c>
      <c r="C68" s="2354">
        <f ca="1">IF(C67&lt;=0,0,ROUND(C67*D68,0))</f>
        <v>30</v>
      </c>
      <c r="D68" s="2355">
        <f>'数据-取费表'!B41</f>
        <v>5.6000000000000001E-2</v>
      </c>
      <c r="E68" s="170"/>
      <c r="F68" s="1669"/>
      <c r="G68" s="1669"/>
      <c r="H68" s="151"/>
      <c r="I68" s="121"/>
      <c r="J68" s="3267"/>
      <c r="K68" s="1244" t="s">
        <v>1392</v>
      </c>
      <c r="L68" s="1244">
        <f ca="1">IF(M49&gt;10000,M49*0.5%,IF(AND(M49&gt;5000,M49&lt;=10000),M49*1%,IF(AND(M49&gt;1000,M49&lt;=5000),M49*2%,IF(AND(M49&gt;200,M49&lt;=1000),M49*3%,M49*5%))))</f>
        <v>16.739999999999998</v>
      </c>
      <c r="M68" s="294">
        <f ca="1">ROUND(L68,1)</f>
        <v>16.7</v>
      </c>
      <c r="N68" s="2329"/>
      <c r="Z68" s="1622"/>
      <c r="AI68" s="1560"/>
    </row>
    <row r="69" spans="1:35" ht="16.5" customHeight="1">
      <c r="A69" s="1671"/>
      <c r="B69" s="1672"/>
      <c r="C69" s="1673"/>
      <c r="D69" s="1674"/>
      <c r="E69" s="1675"/>
      <c r="F69" s="1465"/>
      <c r="G69" s="1465"/>
      <c r="H69" s="1466"/>
      <c r="I69" s="645"/>
      <c r="J69" s="3267"/>
      <c r="K69" s="1244" t="s">
        <v>1393</v>
      </c>
      <c r="L69" s="1244"/>
      <c r="M69" s="294">
        <f ca="1">ROUND(SUM(M63:M68),0)</f>
        <v>42</v>
      </c>
      <c r="N69" s="2331">
        <f ca="1">M69/M49</f>
        <v>7.5268817204301078E-2</v>
      </c>
      <c r="Z69" s="1622"/>
      <c r="AI69" s="1560"/>
    </row>
    <row r="70" spans="1:35" s="641" customFormat="1" ht="15" thickBot="1">
      <c r="A70" s="3311" t="s">
        <v>1394</v>
      </c>
      <c r="B70" s="3312"/>
      <c r="C70" s="3312"/>
      <c r="D70" s="3312"/>
      <c r="E70" s="3312"/>
      <c r="F70" s="3312"/>
      <c r="G70" s="3312"/>
      <c r="H70" s="331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3" t="s">
        <v>1375</v>
      </c>
      <c r="B71" s="330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531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08" t="s">
        <v>1402</v>
      </c>
      <c r="F76" s="3307"/>
      <c r="G76" s="3307"/>
      <c r="H76" s="331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3</v>
      </c>
      <c r="D78" s="2362">
        <f>'数据-取费表'!B43</f>
        <v>6.000000000000001E-3</v>
      </c>
      <c r="E78" s="3300" t="s">
        <v>1406</v>
      </c>
      <c r="F78" s="3301"/>
      <c r="G78" s="3301"/>
      <c r="H78" s="330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528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316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1" t="s">
        <v>1410</v>
      </c>
      <c r="B83" s="3312"/>
      <c r="C83" s="3312"/>
      <c r="D83" s="3312"/>
      <c r="E83" s="3312"/>
      <c r="F83" s="3312"/>
      <c r="G83" s="3312"/>
      <c r="H83" s="331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3" t="s">
        <v>1375</v>
      </c>
      <c r="B84" s="330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531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69" t="s">
        <v>2127</v>
      </c>
      <c r="H90" s="3270"/>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00" t="s">
        <v>1419</v>
      </c>
      <c r="F91" s="3301"/>
      <c r="G91" s="330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00" t="s">
        <v>1422</v>
      </c>
      <c r="F92" s="3301"/>
      <c r="G92" s="3301"/>
      <c r="H92" s="3302"/>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3</v>
      </c>
      <c r="D93" s="2362">
        <f>'数据-取费表'!B43</f>
        <v>6.000000000000001E-3</v>
      </c>
      <c r="E93" s="3300" t="s">
        <v>1406</v>
      </c>
      <c r="F93" s="3301"/>
      <c r="G93" s="3301"/>
      <c r="H93" s="330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45" t="s">
        <v>1426</v>
      </c>
      <c r="F94" s="3346"/>
      <c r="G94" s="3346"/>
      <c r="H94" s="334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528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316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6" t="s">
        <v>1428</v>
      </c>
      <c r="B100" s="3247"/>
      <c r="C100" s="3247"/>
      <c r="D100" s="3285"/>
      <c r="E100" s="3247" t="s">
        <v>1429</v>
      </c>
      <c r="F100" s="3247"/>
      <c r="G100" s="3247"/>
      <c r="H100" s="3285"/>
      <c r="I100" s="121"/>
    </row>
    <row r="101" spans="1:35" ht="18.75" customHeight="1">
      <c r="A101" s="3293" t="s">
        <v>1430</v>
      </c>
      <c r="B101" s="3294"/>
      <c r="C101" s="2370" t="str">
        <f>C4</f>
        <v>比较法-商业</v>
      </c>
      <c r="D101" s="2371" t="str">
        <f>D4</f>
        <v>收益法 (元)</v>
      </c>
      <c r="E101" s="3263" t="s">
        <v>1431</v>
      </c>
      <c r="F101" s="3264"/>
      <c r="G101" s="1686" t="s">
        <v>1432</v>
      </c>
      <c r="H101" s="2380">
        <f ca="1">H118</f>
        <v>558</v>
      </c>
      <c r="I101" s="121"/>
    </row>
    <row r="102" spans="1:35" ht="18.75" customHeight="1">
      <c r="A102" s="3295" t="s">
        <v>1433</v>
      </c>
      <c r="B102" s="2369" t="s">
        <v>1432</v>
      </c>
      <c r="C102" s="2370">
        <f ca="1">IF(D32="楼面单价",ROUND(C19,0),C19)</f>
        <v>722</v>
      </c>
      <c r="D102" s="2371">
        <f ca="1">IF(D32="楼面单价",ROUND(D19,0),D19)</f>
        <v>312</v>
      </c>
      <c r="E102" s="3263"/>
      <c r="F102" s="3264"/>
      <c r="G102" s="1686" t="s">
        <v>1434</v>
      </c>
      <c r="H102" s="2340">
        <f ca="1">I118</f>
        <v>46767</v>
      </c>
      <c r="I102" s="121"/>
    </row>
    <row r="103" spans="1:35" ht="42.75" customHeight="1">
      <c r="A103" s="3295"/>
      <c r="B103" s="2369" t="s">
        <v>1434</v>
      </c>
      <c r="C103" s="2372">
        <f ca="1">C20</f>
        <v>60527</v>
      </c>
      <c r="D103" s="2373">
        <f ca="1">D20</f>
        <v>26128</v>
      </c>
      <c r="E103" s="3256" t="s">
        <v>1435</v>
      </c>
      <c r="F103" s="3257"/>
      <c r="G103" s="1687" t="s">
        <v>1436</v>
      </c>
      <c r="H103" s="2380">
        <f>IF(D36="正常操作",H104+H105+H106,H105+H106)</f>
        <v>0</v>
      </c>
      <c r="I103" s="121"/>
    </row>
    <row r="104" spans="1:35" ht="18.75" customHeight="1">
      <c r="A104" s="3295" t="s">
        <v>1437</v>
      </c>
      <c r="B104" s="2374" t="s">
        <v>1432</v>
      </c>
      <c r="C104" s="2375">
        <f ca="1">H118</f>
        <v>558</v>
      </c>
      <c r="D104" s="2376"/>
      <c r="E104" s="1554" t="s">
        <v>1438</v>
      </c>
      <c r="F104" s="1547"/>
      <c r="G104" s="1687" t="s">
        <v>1436</v>
      </c>
      <c r="H104" s="2381">
        <f>IF(D36="同一抵押权人同一抵押物续贷",C36&amp;"（续贷，未扣减，详见特别提示）",C36)</f>
        <v>0</v>
      </c>
      <c r="I104" s="121"/>
    </row>
    <row r="105" spans="1:35" ht="18.75" customHeight="1" thickBot="1">
      <c r="A105" s="3305"/>
      <c r="B105" s="2377" t="s">
        <v>1434</v>
      </c>
      <c r="C105" s="2378">
        <f ca="1">I118</f>
        <v>46767</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96" t="str">
        <f>IF(项目基本情况!E8="已注销","——","3.房地产抵押价值")</f>
        <v>3.房地产抵押价值</v>
      </c>
      <c r="F107" s="3264"/>
      <c r="G107" s="1686" t="s">
        <v>1432</v>
      </c>
      <c r="H107" s="2380">
        <f ca="1">IF(E107="——","——",H101-H103)</f>
        <v>558</v>
      </c>
      <c r="I107" s="121"/>
    </row>
    <row r="108" spans="1:35" ht="18.75" customHeight="1">
      <c r="A108" s="121"/>
      <c r="B108" s="121"/>
      <c r="C108" s="121"/>
      <c r="D108" s="121"/>
      <c r="E108" s="3296"/>
      <c r="F108" s="3264"/>
      <c r="G108" s="1686" t="s">
        <v>1434</v>
      </c>
      <c r="H108" s="2340">
        <f ca="1">IF(H107=H101,H102,ROUND(H107*10000/'数据-汇总表'!E3,0))</f>
        <v>46767</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64"/>
      <c r="G109" s="1686" t="s">
        <v>1432</v>
      </c>
      <c r="H109" s="2383" t="str">
        <f>IF(E109="——","——",H101-H105-H106)</f>
        <v>——</v>
      </c>
      <c r="I109" s="121"/>
    </row>
    <row r="110" spans="1:35" ht="18.75" customHeight="1">
      <c r="A110" s="121"/>
      <c r="B110" s="121"/>
      <c r="C110" s="121"/>
      <c r="D110" s="121"/>
      <c r="E110" s="3296"/>
      <c r="F110" s="3264"/>
      <c r="G110" s="1686" t="s">
        <v>1434</v>
      </c>
      <c r="H110" s="2340"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3"/>
      <c r="G111" s="1686" t="s">
        <v>1432</v>
      </c>
      <c r="H111" s="2380" t="str">
        <f>IF(E111="——","——",N59)</f>
        <v>——</v>
      </c>
      <c r="I111" s="121"/>
    </row>
    <row r="112" spans="1:35" ht="18.75" customHeight="1" thickBot="1">
      <c r="A112" s="121"/>
      <c r="B112" s="121"/>
      <c r="C112" s="121"/>
      <c r="D112" s="121"/>
      <c r="E112" s="3298"/>
      <c r="F112" s="3299"/>
      <c r="G112" s="1689" t="s">
        <v>1434</v>
      </c>
      <c r="H112" s="2384" t="str">
        <f>IF(E111="——","——",N61)</f>
        <v>——</v>
      </c>
      <c r="I112" s="121"/>
    </row>
    <row r="113" spans="1:27" ht="18.75" customHeight="1">
      <c r="A113" s="121"/>
      <c r="B113" s="121"/>
      <c r="C113" s="121"/>
      <c r="D113" s="121"/>
      <c r="E113" s="3306" t="s">
        <v>1440</v>
      </c>
      <c r="F113" s="3306"/>
      <c r="G113" s="3306"/>
      <c r="H113" s="3306"/>
      <c r="I113" s="121"/>
    </row>
    <row r="114" spans="1:27" ht="3.75" customHeight="1">
      <c r="A114" s="645"/>
      <c r="B114" s="645"/>
      <c r="C114" s="645"/>
      <c r="D114" s="645"/>
      <c r="E114" s="1670"/>
      <c r="F114" s="1670"/>
      <c r="G114" s="1670"/>
      <c r="H114" s="1670"/>
      <c r="I114" s="645"/>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49" t="s">
        <v>1449</v>
      </c>
      <c r="E117" s="2149" t="s">
        <v>1450</v>
      </c>
      <c r="F117" s="2149" t="s">
        <v>1449</v>
      </c>
      <c r="G117" s="2149" t="s">
        <v>1451</v>
      </c>
      <c r="H117" s="2149" t="s">
        <v>1449</v>
      </c>
      <c r="I117" s="2149" t="s">
        <v>1451</v>
      </c>
    </row>
    <row r="118" spans="1:27" ht="24.75" customHeight="1">
      <c r="A118" s="2385" t="str">
        <f>项目基本情况!S2</f>
        <v>北京市朝阳区青年沟路8号楼房地产</v>
      </c>
      <c r="B118" s="2149">
        <f>M18</f>
        <v>119.31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558</v>
      </c>
      <c r="I118" s="2149">
        <f ca="1">ROUND(IF(D32="楼面单价",C32,H118*10000/B118),0)</f>
        <v>46767</v>
      </c>
    </row>
    <row r="119" spans="1:27" ht="18.75" customHeight="1">
      <c r="A119" s="3271" t="s">
        <v>1452</v>
      </c>
      <c r="B119" s="3271"/>
      <c r="C119" s="3271"/>
      <c r="D119" s="3277" t="str">
        <f>NUMBERSTRING(INT(D118*10000),2)&amp;"元整"</f>
        <v>零元整</v>
      </c>
      <c r="E119" s="3278"/>
      <c r="F119" s="3277" t="str">
        <f>NUMBERSTRING(INT(F118*10000),2)&amp;"元整"</f>
        <v>零元整</v>
      </c>
      <c r="G119" s="3278"/>
      <c r="H119" s="3277" t="str">
        <f ca="1">NUMBERSTRING(INT(H118*10000),2)&amp;"元整"</f>
        <v>伍佰伍拾捌万元整</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7" t="s">
        <v>1452</v>
      </c>
      <c r="B121" s="3279"/>
      <c r="C121" s="3278"/>
      <c r="D121" s="3277" t="str">
        <f>IF(D120=0,"零元整",NUMBERSTRING(INT(D120*10000),2)&amp;"元整")</f>
        <v>零元整</v>
      </c>
      <c r="E121" s="3279"/>
      <c r="F121" s="3279"/>
      <c r="G121" s="3279"/>
      <c r="H121" s="3279"/>
      <c r="I121" s="3278"/>
      <c r="AA121" s="683"/>
    </row>
    <row r="122" spans="1:27" ht="18.75" customHeight="1">
      <c r="A122" s="3283" t="str">
        <f>IF(项目基本情况!B9="房地产市场价值","",MID(E107,3,LEN(E107)-2))</f>
        <v>房地产抵押价值</v>
      </c>
      <c r="B122" s="3283"/>
      <c r="C122" s="3283"/>
      <c r="D122" s="3272">
        <f ca="1">H107</f>
        <v>558</v>
      </c>
      <c r="E122" s="3273"/>
      <c r="F122" s="3273"/>
      <c r="G122" s="3273"/>
      <c r="H122" s="3273"/>
      <c r="I122" s="3274"/>
      <c r="AA122" s="683"/>
    </row>
    <row r="123" spans="1:27" ht="18.75" customHeight="1">
      <c r="A123" s="3271" t="s">
        <v>1452</v>
      </c>
      <c r="B123" s="3271"/>
      <c r="C123" s="3271"/>
      <c r="D123" s="3277" t="str">
        <f ca="1">NUMBERSTRING(INT(D122*10000),2)&amp;"元整"</f>
        <v>伍佰伍拾捌万元整</v>
      </c>
      <c r="E123" s="3279"/>
      <c r="F123" s="3279"/>
      <c r="G123" s="3279"/>
      <c r="H123" s="3279"/>
      <c r="I123" s="3278"/>
      <c r="AA123" s="683"/>
    </row>
    <row r="124" spans="1:27" ht="18.75" customHeight="1">
      <c r="A124" s="3283" t="str">
        <f>IF(项目基本情况!B9="房地产市场价值","",MID(E109,3,LEN(E109)-2))</f>
        <v/>
      </c>
      <c r="B124" s="3283"/>
      <c r="C124" s="3283"/>
      <c r="D124" s="3272" t="str">
        <f>H109</f>
        <v>——</v>
      </c>
      <c r="E124" s="3273"/>
      <c r="F124" s="3273"/>
      <c r="G124" s="3273"/>
      <c r="H124" s="3273"/>
      <c r="I124" s="3274"/>
      <c r="AA124" s="683"/>
    </row>
    <row r="125" spans="1:27" ht="18.75" customHeight="1">
      <c r="A125" s="3271" t="s">
        <v>1452</v>
      </c>
      <c r="B125" s="3271"/>
      <c r="C125" s="3271"/>
      <c r="D125" s="3277" t="e">
        <f>NUMBERSTRING(INT(D124*10000),2)&amp;"元整"</f>
        <v>#VALUE!</v>
      </c>
      <c r="E125" s="3279"/>
      <c r="F125" s="3279"/>
      <c r="G125" s="3279"/>
      <c r="H125" s="3279"/>
      <c r="I125" s="3278"/>
      <c r="AA125" s="683"/>
    </row>
    <row r="126" spans="1:27" ht="18.75" customHeight="1">
      <c r="A126" s="3283" t="str">
        <f>IF(项目基本情况!B9="房地产市场价值","",MID(E111,3,LEN(E111)-2))</f>
        <v/>
      </c>
      <c r="B126" s="3283"/>
      <c r="C126" s="3283"/>
      <c r="D126" s="3272" t="str">
        <f>H111</f>
        <v>——</v>
      </c>
      <c r="E126" s="3273"/>
      <c r="F126" s="3273"/>
      <c r="G126" s="3273"/>
      <c r="H126" s="3273"/>
      <c r="I126" s="3274"/>
      <c r="AA126" s="683"/>
    </row>
    <row r="127" spans="1:27" ht="18.75" customHeight="1">
      <c r="A127" s="3271" t="s">
        <v>1452</v>
      </c>
      <c r="B127" s="3271"/>
      <c r="C127" s="3271"/>
      <c r="D127" s="3277" t="e">
        <f>NUMBERSTRING(INT(D126*10000),2)&amp;"元整"</f>
        <v>#VALUE!</v>
      </c>
      <c r="E127" s="3279"/>
      <c r="F127" s="3279"/>
      <c r="G127" s="3279"/>
      <c r="H127" s="3279"/>
      <c r="I127" s="3278"/>
      <c r="AA127" s="683"/>
    </row>
    <row r="128" spans="1:27" ht="21.75" customHeight="1">
      <c r="A128" s="3280" t="s">
        <v>1453</v>
      </c>
      <c r="B128" s="3280"/>
      <c r="C128" s="3280"/>
      <c r="D128" s="3280"/>
      <c r="E128" s="3280"/>
      <c r="F128" s="3280"/>
      <c r="G128" s="3280"/>
      <c r="H128" s="3280"/>
      <c r="I128" s="328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68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5699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119.31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119.31</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60</v>
      </c>
      <c r="D34" s="209"/>
      <c r="E34" s="212"/>
      <c r="F34" s="249">
        <f ca="1">IF('数据-取费表'!B24=0,1,IF(B1="",'数据-取费表'!N16,INDIRECT("'数据-取费表'!n"&amp;$G$1)))</f>
        <v>1</v>
      </c>
      <c r="G34" s="211" t="s">
        <v>1526</v>
      </c>
    </row>
    <row r="35" spans="1:7" ht="13.5" customHeight="1">
      <c r="A35" s="733" t="s">
        <v>351</v>
      </c>
      <c r="B35" s="207" t="s">
        <v>1527</v>
      </c>
      <c r="C35" s="212">
        <f ca="1">ROUND(C34*F35,0)</f>
        <v>2</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119.31</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50" t="s">
        <v>1544</v>
      </c>
    </row>
    <row r="43" spans="1:7" ht="13.5" customHeight="1">
      <c r="A43" s="733" t="s">
        <v>347</v>
      </c>
      <c r="B43" s="207" t="s">
        <v>1545</v>
      </c>
      <c r="C43" s="230">
        <f ca="1">ROUND(IF('数据-取费表'!B22&lt;=1,C39*F22*'数据-取费表'!B21/2,C39*(POWER((1+F22),'数据-取费表'!B21/2)-1)),0)</f>
        <v>0</v>
      </c>
      <c r="D43" s="230"/>
      <c r="E43" s="230"/>
      <c r="F43" s="231"/>
      <c r="G43" s="3351"/>
    </row>
    <row r="44" spans="1:7" ht="13.5" customHeight="1">
      <c r="A44" s="733"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13</v>
      </c>
      <c r="D45" s="227">
        <f ca="1">C47</f>
        <v>4.0000000000000001E-3</v>
      </c>
      <c r="E45" s="228" t="s">
        <v>1539</v>
      </c>
      <c r="F45" s="238">
        <f ca="1">F27</f>
        <v>0.2</v>
      </c>
      <c r="G45" s="239" t="s">
        <v>1548</v>
      </c>
    </row>
    <row r="46" spans="1:7" s="206" customFormat="1" ht="13.5" customHeight="1">
      <c r="A46" s="733" t="s">
        <v>346</v>
      </c>
      <c r="B46" s="240" t="s">
        <v>1549</v>
      </c>
      <c r="C46" s="241">
        <f ca="1">ROUND((C33+C39)*F27,0)</f>
        <v>13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66</v>
      </c>
      <c r="D51" s="224"/>
      <c r="E51" s="224"/>
      <c r="F51" s="256"/>
      <c r="G51" s="226" t="s">
        <v>1560</v>
      </c>
    </row>
    <row r="52" spans="1:7" s="200" customFormat="1" ht="16.5" thickBot="1">
      <c r="A52" s="257" t="s">
        <v>1561</v>
      </c>
      <c r="B52" s="258"/>
      <c r="C52" s="259">
        <f ca="1">C31+C51</f>
        <v>68</v>
      </c>
      <c r="D52" s="258"/>
      <c r="E52" s="258"/>
      <c r="F52" s="258"/>
      <c r="G52" s="260"/>
    </row>
    <row r="55" spans="1:7" ht="15">
      <c r="B55" s="262" t="s">
        <v>1562</v>
      </c>
      <c r="C55" s="263"/>
    </row>
    <row r="56" spans="1:7">
      <c r="B56" s="265" t="s">
        <v>802</v>
      </c>
      <c r="C56" s="267">
        <f ca="1">1-C57</f>
        <v>2.9000000000000026E-2</v>
      </c>
    </row>
    <row r="57" spans="1:7">
      <c r="B57" s="265" t="s">
        <v>803</v>
      </c>
      <c r="C57" s="266">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4" t="str">
        <f>项目基本情况!B1</f>
        <v>北京市朝阳区青年沟路8号楼房地产抵押价值预评估</v>
      </c>
      <c r="C37" s="3164"/>
      <c r="D37" s="3164"/>
      <c r="E37" s="3164"/>
      <c r="F37" s="3164"/>
      <c r="G37" s="3164"/>
      <c r="H37" s="3164"/>
      <c r="I37" s="316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-168</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119.31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119.31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119.31</v>
      </c>
      <c r="E20" s="21">
        <f>'数据-取费表'!B28</f>
        <v>200</v>
      </c>
      <c r="F20" s="755"/>
      <c r="G20" s="12"/>
      <c r="H20" s="760"/>
      <c r="I20" s="760"/>
      <c r="J20" s="760"/>
      <c r="K20" s="761"/>
    </row>
    <row r="21" spans="1:33" s="754" customFormat="1" ht="13.5" customHeight="1">
      <c r="A21" s="743" t="s">
        <v>357</v>
      </c>
      <c r="B21" s="764" t="s">
        <v>1628</v>
      </c>
      <c r="C21" s="765">
        <f ca="1">C16+C17+C18</f>
        <v>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5" t="s">
        <v>694</v>
      </c>
      <c r="C6" s="1010">
        <f ca="1">ROUND(F6*F8*F7*(1-F9)/10000,0)</f>
        <v>0</v>
      </c>
      <c r="D6" s="147" t="s">
        <v>2107</v>
      </c>
      <c r="E6" s="294" t="s">
        <v>696</v>
      </c>
      <c r="F6" s="295">
        <f ca="1">INDIRECT("'数据-取费表'!u"&amp;$G$1)</f>
        <v>0</v>
      </c>
      <c r="G6" s="1291"/>
      <c r="H6" s="1005" t="s">
        <v>398</v>
      </c>
      <c r="I6" s="3355" t="s">
        <v>694</v>
      </c>
      <c r="J6" s="293">
        <f ca="1">ROUND(M6*M8*M7*(1-M9)/10000,0)</f>
        <v>0</v>
      </c>
      <c r="K6" s="147" t="s">
        <v>2106</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0</v>
      </c>
      <c r="G7" s="1291"/>
      <c r="H7" s="296"/>
      <c r="I7" s="3356"/>
      <c r="J7" s="298"/>
      <c r="K7" s="299"/>
      <c r="L7" s="294" t="s">
        <v>697</v>
      </c>
      <c r="M7" s="295">
        <f ca="1">F7</f>
        <v>0</v>
      </c>
    </row>
    <row r="8" spans="1:37" ht="18" customHeight="1">
      <c r="A8" s="296"/>
      <c r="B8" s="3356"/>
      <c r="C8" s="298"/>
      <c r="D8" s="299"/>
      <c r="E8" s="294" t="s">
        <v>698</v>
      </c>
      <c r="F8" s="295">
        <f ca="1">INDIRECT("'数据-取费表'!ai"&amp;$G$1)</f>
        <v>0</v>
      </c>
      <c r="G8" s="1291"/>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1"/>
      <c r="H9" s="296"/>
      <c r="I9" s="335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18</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0</v>
      </c>
      <c r="K53" s="3353" t="s">
        <v>837</v>
      </c>
      <c r="L53" s="3354"/>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0" zoomScale="85" zoomScaleNormal="70" zoomScaleSheetLayoutView="85" workbookViewId="0">
      <selection activeCell="D63" sqref="D6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customWidth="1"/>
    <col min="6" max="6" width="12.25" style="347" customWidth="1"/>
    <col min="7" max="7" width="17" style="347" customWidth="1"/>
    <col min="8" max="8" width="12.25" style="347" customWidth="1"/>
    <col min="9" max="9" width="16.8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3395</v>
      </c>
      <c r="E1" s="3123" t="s">
        <v>3441</v>
      </c>
      <c r="F1" s="1734" t="s">
        <v>3442</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722.14760000000001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60527</v>
      </c>
      <c r="C3" s="344" t="s">
        <v>1768</v>
      </c>
      <c r="D3" s="343">
        <f>IF(D1="",'数据-汇总表'!E3,SUMIF('数据-汇总表'!$C19:$C33,D1,'数据-汇总表'!$E19:$E33))</f>
        <v>119.31</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64" t="s">
        <v>1771</v>
      </c>
      <c r="S4" s="3365"/>
      <c r="T4" s="3364" t="s">
        <v>1772</v>
      </c>
      <c r="U4" s="3365"/>
      <c r="V4" s="3361" t="s">
        <v>1773</v>
      </c>
      <c r="W4" s="3361"/>
      <c r="X4" s="1264"/>
      <c r="Y4" s="3364" t="s">
        <v>1775</v>
      </c>
      <c r="Z4" s="3365"/>
      <c r="AA4" s="3358" t="s">
        <v>1771</v>
      </c>
      <c r="AB4" s="3361" t="s">
        <v>1772</v>
      </c>
      <c r="AC4" s="3358" t="s">
        <v>1773</v>
      </c>
    </row>
    <row r="5" spans="1:29" ht="15">
      <c r="A5" s="348"/>
      <c r="B5" s="349"/>
      <c r="C5" s="3370" t="s">
        <v>3443</v>
      </c>
      <c r="D5" s="3371"/>
      <c r="E5" s="3368" t="s">
        <v>3444</v>
      </c>
      <c r="F5" s="3369"/>
      <c r="G5" s="3374" t="s">
        <v>3460</v>
      </c>
      <c r="H5" s="3371"/>
      <c r="I5" s="3374" t="s">
        <v>3461</v>
      </c>
      <c r="J5" s="3371"/>
      <c r="K5" s="537"/>
      <c r="L5" s="2485"/>
      <c r="M5" s="2486"/>
      <c r="N5" s="2486"/>
      <c r="O5" s="2486"/>
      <c r="P5" s="3384"/>
      <c r="Q5" s="3385"/>
      <c r="R5" s="3366"/>
      <c r="S5" s="3367"/>
      <c r="T5" s="3366"/>
      <c r="U5" s="3367"/>
      <c r="V5" s="3361"/>
      <c r="W5" s="3361"/>
      <c r="X5" s="1264"/>
      <c r="Y5" s="3366"/>
      <c r="Z5" s="3367"/>
      <c r="AA5" s="3359"/>
      <c r="AB5" s="3361"/>
      <c r="AC5" s="3359"/>
    </row>
    <row r="6" spans="1:29" ht="15.75" thickBot="1">
      <c r="A6" s="350"/>
      <c r="B6" s="351"/>
      <c r="C6" s="3372" t="s">
        <v>1677</v>
      </c>
      <c r="D6" s="3373"/>
      <c r="E6" s="3375" t="s">
        <v>1677</v>
      </c>
      <c r="F6" s="3376"/>
      <c r="G6" s="3372" t="s">
        <v>1677</v>
      </c>
      <c r="H6" s="3373"/>
      <c r="I6" s="3372" t="s">
        <v>1677</v>
      </c>
      <c r="J6" s="3373"/>
      <c r="K6" s="537" t="s">
        <v>1678</v>
      </c>
      <c r="L6" s="2485"/>
      <c r="M6" s="2486"/>
      <c r="N6" s="2486"/>
      <c r="O6" s="2486"/>
      <c r="P6" s="3386"/>
      <c r="Q6" s="3387"/>
      <c r="R6" s="3366"/>
      <c r="S6" s="3367"/>
      <c r="T6" s="3388"/>
      <c r="U6" s="3389"/>
      <c r="V6" s="3361"/>
      <c r="W6" s="3361"/>
      <c r="X6" s="1264"/>
      <c r="Y6" s="3388"/>
      <c r="Z6" s="3389"/>
      <c r="AA6" s="3360"/>
      <c r="AB6" s="3361"/>
      <c r="AC6" s="3360"/>
    </row>
    <row r="7" spans="1:29" s="102" customFormat="1" ht="15.75" thickBot="1">
      <c r="A7" s="352" t="s">
        <v>1679</v>
      </c>
      <c r="B7" s="353"/>
      <c r="C7" s="354">
        <f>'数据-取费表'!B2</f>
        <v>45611</v>
      </c>
      <c r="D7" s="355">
        <v>100</v>
      </c>
      <c r="E7" s="356">
        <f>C7</f>
        <v>45611</v>
      </c>
      <c r="F7" s="357">
        <f>SUMIF(58:58,YEAR(E7)&amp;"-"&amp;MONTH(E7),59:59)</f>
        <v>100</v>
      </c>
      <c r="G7" s="356">
        <f>C7</f>
        <v>45611</v>
      </c>
      <c r="H7" s="355">
        <f>SUMIF(58:58,YEAR(G7)&amp;"-"&amp;MONTH(G7),59:59)</f>
        <v>100</v>
      </c>
      <c r="I7" s="356">
        <f>C7</f>
        <v>45611</v>
      </c>
      <c r="J7" s="355">
        <f>SUMIF(58:58,YEAR(I7)&amp;"-"&amp;MONTH(I7),59:59)</f>
        <v>100</v>
      </c>
      <c r="K7" s="38"/>
      <c r="L7" s="2487"/>
      <c r="M7" s="2439"/>
      <c r="N7" s="2439"/>
      <c r="O7" s="2439"/>
      <c r="P7" s="3362" t="s">
        <v>1680</v>
      </c>
      <c r="Q7" s="3390"/>
      <c r="R7" s="663" t="s">
        <v>14</v>
      </c>
      <c r="S7" s="664">
        <f t="shared" ref="S7:S15" si="0">F7</f>
        <v>100</v>
      </c>
      <c r="T7" s="663" t="s">
        <v>14</v>
      </c>
      <c r="U7" s="664">
        <f t="shared" ref="U7:U15" si="1">H7</f>
        <v>100</v>
      </c>
      <c r="V7" s="663" t="s">
        <v>14</v>
      </c>
      <c r="W7" s="664">
        <f t="shared" ref="W7:W15" si="2">J7</f>
        <v>100</v>
      </c>
      <c r="X7" s="665"/>
      <c r="Y7" s="3362" t="s">
        <v>1680</v>
      </c>
      <c r="Z7" s="3363"/>
      <c r="AA7" s="50">
        <f>D7/F7</f>
        <v>1</v>
      </c>
      <c r="AB7" s="50">
        <f>D7/H7</f>
        <v>1</v>
      </c>
      <c r="AC7" s="50">
        <f>D7/J7</f>
        <v>1</v>
      </c>
    </row>
    <row r="8" spans="1:29" s="102" customFormat="1" ht="15.75" thickBot="1">
      <c r="A8" s="352" t="s">
        <v>1681</v>
      </c>
      <c r="B8" s="353"/>
      <c r="C8" s="358" t="s">
        <v>3445</v>
      </c>
      <c r="D8" s="355">
        <v>100</v>
      </c>
      <c r="E8" s="358" t="s">
        <v>3446</v>
      </c>
      <c r="F8" s="357">
        <f>SUMIF(61:61,E8,62:62)-SUMIF(61:61,C8,62:62)+100</f>
        <v>105</v>
      </c>
      <c r="G8" s="358" t="s">
        <v>3446</v>
      </c>
      <c r="H8" s="355">
        <f>SUMIF(61:61,G8,62:62)-SUMIF(61:61,C8,62:62)+100</f>
        <v>105</v>
      </c>
      <c r="I8" s="358" t="s">
        <v>3446</v>
      </c>
      <c r="J8" s="355">
        <f>SUMIF(61:61,I8,62:62)-SUMIF(61:61,C8,62:62)+100</f>
        <v>105</v>
      </c>
      <c r="K8" s="38"/>
      <c r="L8" s="2487"/>
      <c r="M8" s="2439"/>
      <c r="N8" s="2439"/>
      <c r="O8" s="2439"/>
      <c r="P8" s="3362" t="s">
        <v>1683</v>
      </c>
      <c r="Q8" s="3363"/>
      <c r="R8" s="663" t="s">
        <v>14</v>
      </c>
      <c r="S8" s="664">
        <f t="shared" si="0"/>
        <v>105</v>
      </c>
      <c r="T8" s="663" t="s">
        <v>14</v>
      </c>
      <c r="U8" s="664">
        <f t="shared" si="1"/>
        <v>105</v>
      </c>
      <c r="V8" s="663" t="s">
        <v>14</v>
      </c>
      <c r="W8" s="664">
        <f t="shared" si="2"/>
        <v>105</v>
      </c>
      <c r="X8" s="665"/>
      <c r="Y8" s="3362" t="s">
        <v>1683</v>
      </c>
      <c r="Z8" s="3363"/>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58" t="s">
        <v>3448</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7"/>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t="s">
        <v>3438</v>
      </c>
      <c r="N15" s="2486">
        <v>100</v>
      </c>
      <c r="O15" s="2486"/>
      <c r="P15" s="3391" t="s">
        <v>1691</v>
      </c>
      <c r="Q15" s="1262" t="str">
        <f t="shared" si="6"/>
        <v>商业繁华度</v>
      </c>
      <c r="R15" s="666" t="s">
        <v>14</v>
      </c>
      <c r="S15" s="667">
        <f t="shared" si="0"/>
        <v>100</v>
      </c>
      <c r="T15" s="666" t="s">
        <v>14</v>
      </c>
      <c r="U15" s="667">
        <f t="shared" si="1"/>
        <v>100</v>
      </c>
      <c r="V15" s="666" t="s">
        <v>14</v>
      </c>
      <c r="W15" s="667">
        <f t="shared" si="2"/>
        <v>100</v>
      </c>
      <c r="X15" s="1264"/>
      <c r="Y15" s="3393" t="s">
        <v>1691</v>
      </c>
      <c r="Z15" s="1263" t="str">
        <f t="shared" si="7"/>
        <v>商业繁华度</v>
      </c>
      <c r="AA15" s="1263">
        <f t="shared" si="3"/>
        <v>1</v>
      </c>
      <c r="AB15" s="1263">
        <f t="shared" si="4"/>
        <v>1</v>
      </c>
      <c r="AC15" s="1263">
        <f t="shared" si="5"/>
        <v>1</v>
      </c>
    </row>
    <row r="16" spans="1:29" ht="15">
      <c r="A16" s="367"/>
      <c r="B16" s="385"/>
      <c r="C16" s="386" t="s">
        <v>3427</v>
      </c>
      <c r="D16" s="387"/>
      <c r="E16" s="386" t="s">
        <v>3427</v>
      </c>
      <c r="F16" s="388"/>
      <c r="G16" s="386" t="s">
        <v>3427</v>
      </c>
      <c r="H16" s="389"/>
      <c r="I16" s="386" t="s">
        <v>3427</v>
      </c>
      <c r="J16" s="387"/>
      <c r="K16" s="541"/>
      <c r="L16" s="2491"/>
      <c r="M16" s="2486" t="s">
        <v>3439</v>
      </c>
      <c r="N16" s="2486">
        <v>60</v>
      </c>
      <c r="O16" s="2486"/>
      <c r="P16" s="3392"/>
      <c r="Q16" s="1262"/>
      <c r="R16" s="666"/>
      <c r="S16" s="667"/>
      <c r="T16" s="666"/>
      <c r="U16" s="667"/>
      <c r="V16" s="666"/>
      <c r="W16" s="667"/>
      <c r="X16" s="1264"/>
      <c r="Y16" s="3394"/>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t="s">
        <v>3440</v>
      </c>
      <c r="N17" s="2486">
        <f>ROUND((N15+N16)/2,2)</f>
        <v>80</v>
      </c>
      <c r="O17" s="2486"/>
      <c r="P17" s="3392"/>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395"/>
      <c r="C18" s="1754" t="s">
        <v>3428</v>
      </c>
      <c r="D18" s="389"/>
      <c r="E18" s="1756" t="s">
        <v>3428</v>
      </c>
      <c r="F18" s="392"/>
      <c r="G18" s="1755" t="s">
        <v>3428</v>
      </c>
      <c r="H18" s="387"/>
      <c r="I18" s="1756" t="s">
        <v>3428</v>
      </c>
      <c r="J18" s="387"/>
      <c r="K18" s="541"/>
      <c r="L18" s="2491"/>
      <c r="M18" s="2486"/>
      <c r="N18" s="2486"/>
      <c r="O18" s="2486"/>
      <c r="P18" s="3392"/>
      <c r="Q18" s="1262"/>
      <c r="R18" s="666"/>
      <c r="S18" s="667"/>
      <c r="T18" s="666"/>
      <c r="U18" s="667"/>
      <c r="V18" s="666"/>
      <c r="W18" s="667"/>
      <c r="X18" s="1264"/>
      <c r="Y18" s="3394"/>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2"/>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7"/>
      <c r="B20" s="395"/>
      <c r="C20" s="386" t="s">
        <v>3428</v>
      </c>
      <c r="D20" s="387"/>
      <c r="E20" s="1751" t="s">
        <v>3428</v>
      </c>
      <c r="F20" s="388"/>
      <c r="G20" s="1750" t="s">
        <v>3428</v>
      </c>
      <c r="H20" s="387"/>
      <c r="I20" s="1751" t="s">
        <v>3428</v>
      </c>
      <c r="J20" s="387"/>
      <c r="K20" s="541"/>
      <c r="L20" s="2491"/>
      <c r="M20" s="2486"/>
      <c r="N20" s="2486"/>
      <c r="O20" s="2486"/>
      <c r="P20" s="3392"/>
      <c r="Q20" s="1262"/>
      <c r="R20" s="666"/>
      <c r="S20" s="667"/>
      <c r="T20" s="666"/>
      <c r="U20" s="667"/>
      <c r="V20" s="666"/>
      <c r="W20" s="667"/>
      <c r="X20" s="1264"/>
      <c r="Y20" s="3394"/>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t="s">
        <v>3449</v>
      </c>
      <c r="D22" s="387"/>
      <c r="E22" s="386" t="s">
        <v>3449</v>
      </c>
      <c r="F22" s="388"/>
      <c r="G22" s="386" t="s">
        <v>3449</v>
      </c>
      <c r="H22" s="387"/>
      <c r="I22" s="386" t="s">
        <v>3449</v>
      </c>
      <c r="J22" s="387"/>
      <c r="K22" s="1063"/>
      <c r="L22" s="2491"/>
      <c r="M22" s="2486"/>
      <c r="N22" s="2486"/>
      <c r="O22" s="2486"/>
      <c r="P22" s="3392"/>
      <c r="Q22" s="1262"/>
      <c r="R22" s="666"/>
      <c r="S22" s="667"/>
      <c r="T22" s="666"/>
      <c r="U22" s="667"/>
      <c r="V22" s="666"/>
      <c r="W22" s="667"/>
      <c r="X22" s="1264"/>
      <c r="Y22" s="3394"/>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2" t="str">
        <f>B23</f>
        <v>自然及人文环境</v>
      </c>
      <c r="R23" s="666" t="s">
        <v>14</v>
      </c>
      <c r="S23" s="667">
        <f>F23</f>
        <v>100</v>
      </c>
      <c r="T23" s="666" t="s">
        <v>14</v>
      </c>
      <c r="U23" s="667">
        <f>H23</f>
        <v>100</v>
      </c>
      <c r="V23" s="666" t="s">
        <v>14</v>
      </c>
      <c r="W23" s="667">
        <f>J23</f>
        <v>100</v>
      </c>
      <c r="X23" s="1264"/>
      <c r="Y23" s="3394"/>
      <c r="Z23" s="1263" t="str">
        <f>Q23</f>
        <v>自然及人文环境</v>
      </c>
      <c r="AA23" s="1263">
        <f t="shared" si="3"/>
        <v>1</v>
      </c>
      <c r="AB23" s="1263">
        <f t="shared" si="4"/>
        <v>1</v>
      </c>
      <c r="AC23" s="1263">
        <f t="shared" si="5"/>
        <v>1</v>
      </c>
    </row>
    <row r="24" spans="1:29" ht="15">
      <c r="A24" s="367"/>
      <c r="B24" s="395"/>
      <c r="C24" s="386" t="s">
        <v>3428</v>
      </c>
      <c r="D24" s="387"/>
      <c r="E24" s="1751" t="s">
        <v>3428</v>
      </c>
      <c r="F24" s="388"/>
      <c r="G24" s="1750" t="s">
        <v>3428</v>
      </c>
      <c r="H24" s="387"/>
      <c r="I24" s="1751" t="s">
        <v>3428</v>
      </c>
      <c r="J24" s="387"/>
      <c r="K24" s="541"/>
      <c r="L24" s="2491"/>
      <c r="M24" s="2486"/>
      <c r="N24" s="2486"/>
      <c r="O24" s="2486"/>
      <c r="P24" s="3392"/>
      <c r="Q24" s="1262"/>
      <c r="R24" s="666"/>
      <c r="S24" s="667"/>
      <c r="T24" s="666"/>
      <c r="U24" s="667"/>
      <c r="V24" s="666"/>
      <c r="W24" s="667"/>
      <c r="X24" s="1264"/>
      <c r="Y24" s="339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2"/>
      <c r="Q25" s="1262" t="str">
        <f t="shared" ref="Q25:Q46" si="11">B25</f>
        <v>临街状况</v>
      </c>
      <c r="R25" s="666" t="s">
        <v>14</v>
      </c>
      <c r="S25" s="667">
        <f>F25</f>
        <v>100</v>
      </c>
      <c r="T25" s="666" t="s">
        <v>14</v>
      </c>
      <c r="U25" s="667">
        <f>H25</f>
        <v>100</v>
      </c>
      <c r="V25" s="666" t="s">
        <v>14</v>
      </c>
      <c r="W25" s="667">
        <f>J25</f>
        <v>100</v>
      </c>
      <c r="X25" s="1264"/>
      <c r="Y25" s="339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2" t="str">
        <f t="shared" si="11"/>
        <v>平面位置/可视性</v>
      </c>
      <c r="R26" s="666" t="s">
        <v>14</v>
      </c>
      <c r="S26" s="667">
        <f>F26</f>
        <v>100</v>
      </c>
      <c r="T26" s="666" t="s">
        <v>14</v>
      </c>
      <c r="U26" s="667">
        <f>H26</f>
        <v>100</v>
      </c>
      <c r="V26" s="666" t="s">
        <v>14</v>
      </c>
      <c r="W26" s="667">
        <f>J26</f>
        <v>100</v>
      </c>
      <c r="X26" s="1264"/>
      <c r="Y26" s="339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v>2</v>
      </c>
      <c r="L27" s="2487"/>
      <c r="M27" s="2439"/>
      <c r="N27" s="2439"/>
      <c r="O27" s="2439"/>
      <c r="P27" s="3392"/>
      <c r="Q27" s="530" t="str">
        <f t="shared" si="11"/>
        <v>人流量</v>
      </c>
      <c r="R27" s="663" t="s">
        <v>14</v>
      </c>
      <c r="S27" s="664">
        <f>F27</f>
        <v>100</v>
      </c>
      <c r="T27" s="663" t="s">
        <v>14</v>
      </c>
      <c r="U27" s="664">
        <f>H27</f>
        <v>100</v>
      </c>
      <c r="V27" s="663" t="s">
        <v>14</v>
      </c>
      <c r="W27" s="664">
        <f>J27</f>
        <v>100</v>
      </c>
      <c r="X27" s="665"/>
      <c r="Y27" s="3394"/>
      <c r="Z27" s="50" t="str">
        <f>Q27</f>
        <v>人流量</v>
      </c>
      <c r="AA27" s="1263">
        <f>D27/F27</f>
        <v>1</v>
      </c>
      <c r="AB27" s="1263">
        <f>D27/H27</f>
        <v>1</v>
      </c>
      <c r="AC27" s="1263">
        <f>D27/J27</f>
        <v>1</v>
      </c>
    </row>
    <row r="28" spans="1:29" ht="15">
      <c r="A28" s="367"/>
      <c r="B28" s="364" t="s">
        <v>1783</v>
      </c>
      <c r="C28" s="542" t="s">
        <v>3462</v>
      </c>
      <c r="D28" s="374">
        <v>100</v>
      </c>
      <c r="E28" s="542" t="s">
        <v>3462</v>
      </c>
      <c r="F28" s="400">
        <f>SUMIF(92:92,E28,93:93)-SUMIF(92:92,C28,93:93)+100</f>
        <v>100</v>
      </c>
      <c r="G28" s="542" t="s">
        <v>3462</v>
      </c>
      <c r="H28" s="374">
        <f>SUMIF(92:92,G28,93:93)-SUMIF(92:92,C28,93:93)+100</f>
        <v>100</v>
      </c>
      <c r="I28" s="542" t="s">
        <v>3462</v>
      </c>
      <c r="J28" s="374">
        <f>SUMIF(92:92,I28,93:93)-SUMIF(92:92,C28,93:93)+100</f>
        <v>100</v>
      </c>
      <c r="K28" s="539"/>
      <c r="L28" s="2491"/>
      <c r="M28" s="2486"/>
      <c r="N28" s="2486"/>
      <c r="O28" s="2486"/>
      <c r="P28" s="339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2">
        <f t="shared" si="11"/>
        <v>111</v>
      </c>
      <c r="R29" s="666" t="s">
        <v>14</v>
      </c>
      <c r="S29" s="667">
        <f t="shared" si="12"/>
        <v>100</v>
      </c>
      <c r="T29" s="666" t="s">
        <v>14</v>
      </c>
      <c r="U29" s="667">
        <f t="shared" si="13"/>
        <v>100</v>
      </c>
      <c r="V29" s="666" t="s">
        <v>14</v>
      </c>
      <c r="W29" s="667">
        <f t="shared" si="14"/>
        <v>100</v>
      </c>
      <c r="X29" s="1264"/>
      <c r="Y29" s="339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263">
        <f t="shared" si="5"/>
        <v>1</v>
      </c>
    </row>
    <row r="32" spans="1:29" ht="15">
      <c r="A32" s="379" t="s">
        <v>1694</v>
      </c>
      <c r="B32" s="60" t="s">
        <v>1784</v>
      </c>
      <c r="C32" s="1763" t="s">
        <v>3453</v>
      </c>
      <c r="D32" s="405">
        <v>100</v>
      </c>
      <c r="E32" s="1763" t="s">
        <v>3453</v>
      </c>
      <c r="F32" s="400">
        <f>SUMIF(100:100,E32,101:101)-SUMIF(100:100,C32,101:101)+100</f>
        <v>100</v>
      </c>
      <c r="G32" s="1763" t="s">
        <v>3453</v>
      </c>
      <c r="H32" s="374">
        <f>SUMIF(100:100,G32,101:101)-SUMIF(100:100,C32,101:101)+100</f>
        <v>100</v>
      </c>
      <c r="I32" s="1763" t="s">
        <v>3453</v>
      </c>
      <c r="J32" s="405">
        <f>SUMIF(100:100,I32,101:101)-SUMIF(100:100,C32,101:101)+100</f>
        <v>100</v>
      </c>
      <c r="K32" s="538">
        <v>2</v>
      </c>
      <c r="L32" s="2491"/>
      <c r="M32" s="2486"/>
      <c r="N32" s="2486"/>
      <c r="O32" s="2486"/>
      <c r="P32" s="3395" t="s">
        <v>1696</v>
      </c>
      <c r="Q32" s="1262" t="str">
        <f t="shared" si="11"/>
        <v>商业类型</v>
      </c>
      <c r="R32" s="666" t="s">
        <v>14</v>
      </c>
      <c r="S32" s="667">
        <f t="shared" si="12"/>
        <v>100</v>
      </c>
      <c r="T32" s="666" t="s">
        <v>14</v>
      </c>
      <c r="U32" s="667">
        <f t="shared" si="13"/>
        <v>100</v>
      </c>
      <c r="V32" s="666" t="s">
        <v>14</v>
      </c>
      <c r="W32" s="667">
        <f t="shared" si="14"/>
        <v>100</v>
      </c>
      <c r="X32" s="1264"/>
      <c r="Y32" s="3398" t="s">
        <v>1696</v>
      </c>
      <c r="Z32" s="1263" t="str">
        <f t="shared" si="15"/>
        <v>商业类型</v>
      </c>
      <c r="AA32" s="1263">
        <f t="shared" si="3"/>
        <v>1</v>
      </c>
      <c r="AB32" s="1263">
        <f t="shared" si="4"/>
        <v>1</v>
      </c>
      <c r="AC32" s="1263">
        <f t="shared" si="5"/>
        <v>1</v>
      </c>
    </row>
    <row r="33" spans="1:29" s="408" customFormat="1" ht="15">
      <c r="A33" s="406"/>
      <c r="B33" s="364" t="s">
        <v>1697</v>
      </c>
      <c r="C33" s="407">
        <f>'数据-基础表'!G13</f>
        <v>119.31</v>
      </c>
      <c r="D33" s="119">
        <v>100</v>
      </c>
      <c r="E33" s="369">
        <v>170</v>
      </c>
      <c r="F33" s="364">
        <f>LOOKUP(E33,103:103,104:104)-LOOKUP(C33,103:103,104:104)+100</f>
        <v>98</v>
      </c>
      <c r="G33" s="368">
        <v>197.11</v>
      </c>
      <c r="H33" s="119">
        <f>LOOKUP(G33,103:103,104:104)-LOOKUP(C33,103:103,104:104)+100</f>
        <v>98</v>
      </c>
      <c r="I33" s="368">
        <v>274</v>
      </c>
      <c r="J33" s="119">
        <f>LOOKUP(I33,103:103,104:104)-LOOKUP(C33,103:103,104:104)+100</f>
        <v>96</v>
      </c>
      <c r="K33" s="539"/>
      <c r="L33" s="2490"/>
      <c r="M33" s="2492"/>
      <c r="N33" s="2492"/>
      <c r="O33" s="2492"/>
      <c r="P33" s="3396"/>
      <c r="Q33" s="531" t="str">
        <f t="shared" si="11"/>
        <v>项目建筑规模</v>
      </c>
      <c r="R33" s="668" t="s">
        <v>14</v>
      </c>
      <c r="S33" s="669">
        <f t="shared" si="12"/>
        <v>98</v>
      </c>
      <c r="T33" s="668" t="s">
        <v>14</v>
      </c>
      <c r="U33" s="669">
        <f t="shared" si="13"/>
        <v>98</v>
      </c>
      <c r="V33" s="668" t="s">
        <v>14</v>
      </c>
      <c r="W33" s="669">
        <f t="shared" si="14"/>
        <v>96</v>
      </c>
      <c r="X33" s="670"/>
      <c r="Y33" s="3398"/>
      <c r="Z33" s="671" t="str">
        <f t="shared" si="15"/>
        <v>项目建筑规模</v>
      </c>
      <c r="AA33" s="1263">
        <f t="shared" si="3"/>
        <v>1.0204081632653061</v>
      </c>
      <c r="AB33" s="1263">
        <f t="shared" si="4"/>
        <v>1.0204081632653061</v>
      </c>
      <c r="AC33" s="1263">
        <f t="shared" si="5"/>
        <v>1.0416666666666667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1"/>
      <c r="M34" s="2486"/>
      <c r="N34" s="2486"/>
      <c r="O34" s="2486"/>
      <c r="P34" s="3396"/>
      <c r="Q34" s="1262" t="str">
        <f t="shared" si="11"/>
        <v>建筑结构</v>
      </c>
      <c r="R34" s="666" t="s">
        <v>14</v>
      </c>
      <c r="S34" s="667">
        <f t="shared" si="12"/>
        <v>100</v>
      </c>
      <c r="T34" s="666" t="s">
        <v>14</v>
      </c>
      <c r="U34" s="667">
        <f t="shared" si="13"/>
        <v>100</v>
      </c>
      <c r="V34" s="666" t="s">
        <v>14</v>
      </c>
      <c r="W34" s="667">
        <f t="shared" si="14"/>
        <v>100</v>
      </c>
      <c r="X34" s="1264"/>
      <c r="Y34" s="339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96"/>
      <c r="Q35" s="1262" t="str">
        <f t="shared" si="11"/>
        <v>公共部分装修</v>
      </c>
      <c r="R35" s="666" t="s">
        <v>14</v>
      </c>
      <c r="S35" s="667">
        <f t="shared" si="12"/>
        <v>100</v>
      </c>
      <c r="T35" s="666" t="s">
        <v>14</v>
      </c>
      <c r="U35" s="667">
        <f t="shared" si="13"/>
        <v>100</v>
      </c>
      <c r="V35" s="666" t="s">
        <v>14</v>
      </c>
      <c r="W35" s="667">
        <f t="shared" si="14"/>
        <v>100</v>
      </c>
      <c r="X35" s="1264"/>
      <c r="Y35" s="3398"/>
      <c r="Z35" s="1263" t="str">
        <f t="shared" si="15"/>
        <v>公共部分装修</v>
      </c>
      <c r="AA35" s="1263">
        <f t="shared" si="3"/>
        <v>1</v>
      </c>
      <c r="AB35" s="1263">
        <f t="shared" si="4"/>
        <v>1</v>
      </c>
      <c r="AC35" s="1263">
        <f t="shared" si="5"/>
        <v>1</v>
      </c>
    </row>
    <row r="36" spans="1:29" ht="15">
      <c r="A36" s="409"/>
      <c r="B36" s="364" t="s">
        <v>1786</v>
      </c>
      <c r="C36" s="411">
        <f>'数据-取费表'!N6</f>
        <v>0.75</v>
      </c>
      <c r="D36" s="374">
        <v>100</v>
      </c>
      <c r="E36" s="411">
        <f>C36</f>
        <v>0.75</v>
      </c>
      <c r="F36" s="400">
        <f>LOOKUP(E36,110:110,111:111)-LOOKUP(C36,110:110,111:111)+100</f>
        <v>100</v>
      </c>
      <c r="G36" s="411">
        <f>C36</f>
        <v>0.75</v>
      </c>
      <c r="H36" s="400">
        <f>LOOKUP(G36,110:110,111:111)-LOOKUP(C36,110:110,111:111)+100</f>
        <v>100</v>
      </c>
      <c r="I36" s="411">
        <f>C36</f>
        <v>0.75</v>
      </c>
      <c r="J36" s="374">
        <f>LOOKUP(I36,110:110,111:111)-LOOKUP(C36,110:110,111:111)+100</f>
        <v>100</v>
      </c>
      <c r="K36" s="538">
        <v>1</v>
      </c>
      <c r="L36" s="2491"/>
      <c r="M36" s="2486"/>
      <c r="N36" s="2486"/>
      <c r="O36" s="2486"/>
      <c r="P36" s="3396"/>
      <c r="Q36" s="1262" t="str">
        <f t="shared" si="11"/>
        <v>成新度</v>
      </c>
      <c r="R36" s="666" t="s">
        <v>14</v>
      </c>
      <c r="S36" s="667">
        <f t="shared" si="12"/>
        <v>100</v>
      </c>
      <c r="T36" s="666" t="s">
        <v>14</v>
      </c>
      <c r="U36" s="667">
        <f t="shared" si="13"/>
        <v>100</v>
      </c>
      <c r="V36" s="666" t="s">
        <v>14</v>
      </c>
      <c r="W36" s="667">
        <f t="shared" si="14"/>
        <v>100</v>
      </c>
      <c r="X36" s="1264"/>
      <c r="Y36" s="3398"/>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v>1</v>
      </c>
      <c r="L37" s="2487"/>
      <c r="M37" s="2439"/>
      <c r="N37" s="2439"/>
      <c r="O37" s="2439"/>
      <c r="P37" s="3396"/>
      <c r="Q37" s="530" t="str">
        <f t="shared" si="11"/>
        <v>市政基础设施</v>
      </c>
      <c r="R37" s="663" t="s">
        <v>14</v>
      </c>
      <c r="S37" s="664">
        <f t="shared" si="12"/>
        <v>100</v>
      </c>
      <c r="T37" s="663" t="s">
        <v>14</v>
      </c>
      <c r="U37" s="664">
        <f t="shared" si="13"/>
        <v>100</v>
      </c>
      <c r="V37" s="663" t="s">
        <v>14</v>
      </c>
      <c r="W37" s="664">
        <f t="shared" si="14"/>
        <v>100</v>
      </c>
      <c r="X37" s="665"/>
      <c r="Y37" s="339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5</v>
      </c>
      <c r="L38" s="2491"/>
      <c r="M38" s="2486"/>
      <c r="N38" s="2486"/>
      <c r="O38" s="2486"/>
      <c r="P38" s="3396" t="s">
        <v>1696</v>
      </c>
      <c r="Q38" s="1262" t="str">
        <f t="shared" si="11"/>
        <v>业态</v>
      </c>
      <c r="R38" s="666" t="s">
        <v>14</v>
      </c>
      <c r="S38" s="667">
        <f t="shared" si="12"/>
        <v>100</v>
      </c>
      <c r="T38" s="666" t="s">
        <v>14</v>
      </c>
      <c r="U38" s="667">
        <f t="shared" si="13"/>
        <v>100</v>
      </c>
      <c r="V38" s="666" t="s">
        <v>14</v>
      </c>
      <c r="W38" s="667">
        <f t="shared" si="14"/>
        <v>100</v>
      </c>
      <c r="X38" s="1264"/>
      <c r="Y38" s="339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v>2</v>
      </c>
      <c r="L39" s="2491"/>
      <c r="M39" s="2486"/>
      <c r="N39" s="2486"/>
      <c r="O39" s="2486"/>
      <c r="P39" s="3396"/>
      <c r="Q39" s="1262" t="str">
        <f t="shared" si="11"/>
        <v>层高</v>
      </c>
      <c r="R39" s="666" t="s">
        <v>14</v>
      </c>
      <c r="S39" s="667">
        <f t="shared" si="12"/>
        <v>100</v>
      </c>
      <c r="T39" s="666" t="s">
        <v>14</v>
      </c>
      <c r="U39" s="667">
        <f t="shared" si="13"/>
        <v>100</v>
      </c>
      <c r="V39" s="666" t="s">
        <v>14</v>
      </c>
      <c r="W39" s="667">
        <f t="shared" si="14"/>
        <v>100</v>
      </c>
      <c r="X39" s="1264"/>
      <c r="Y39" s="339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6"/>
      <c r="Q40" s="1262" t="str">
        <f t="shared" si="11"/>
        <v>单套建筑面积</v>
      </c>
      <c r="R40" s="666" t="s">
        <v>14</v>
      </c>
      <c r="S40" s="667">
        <f t="shared" si="12"/>
        <v>100</v>
      </c>
      <c r="T40" s="666" t="s">
        <v>14</v>
      </c>
      <c r="U40" s="667">
        <f t="shared" si="13"/>
        <v>100</v>
      </c>
      <c r="V40" s="666" t="s">
        <v>14</v>
      </c>
      <c r="W40" s="667">
        <f t="shared" si="14"/>
        <v>100</v>
      </c>
      <c r="X40" s="1264"/>
      <c r="Y40" s="339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6"/>
      <c r="Q41" s="531" t="str">
        <f t="shared" si="11"/>
        <v>进深比</v>
      </c>
      <c r="R41" s="668" t="s">
        <v>14</v>
      </c>
      <c r="S41" s="669">
        <f t="shared" si="12"/>
        <v>100</v>
      </c>
      <c r="T41" s="668" t="s">
        <v>14</v>
      </c>
      <c r="U41" s="669">
        <f t="shared" si="13"/>
        <v>100</v>
      </c>
      <c r="V41" s="668" t="s">
        <v>14</v>
      </c>
      <c r="W41" s="669">
        <f t="shared" si="14"/>
        <v>100</v>
      </c>
      <c r="X41" s="670"/>
      <c r="Y41" s="3398"/>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96"/>
      <c r="Q42" s="1262" t="str">
        <f t="shared" si="11"/>
        <v>内部装修</v>
      </c>
      <c r="R42" s="666" t="s">
        <v>14</v>
      </c>
      <c r="S42" s="667">
        <f t="shared" si="12"/>
        <v>100</v>
      </c>
      <c r="T42" s="666" t="s">
        <v>14</v>
      </c>
      <c r="U42" s="667">
        <f t="shared" si="13"/>
        <v>100</v>
      </c>
      <c r="V42" s="666" t="s">
        <v>14</v>
      </c>
      <c r="W42" s="667">
        <f t="shared" si="14"/>
        <v>100</v>
      </c>
      <c r="X42" s="1264"/>
      <c r="Y42" s="339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N43" s="2486"/>
      <c r="O43" s="2486"/>
      <c r="P43" s="3396"/>
      <c r="Q43" s="1262" t="str">
        <f t="shared" si="11"/>
        <v>内部装修维护情况</v>
      </c>
      <c r="R43" s="666" t="s">
        <v>14</v>
      </c>
      <c r="S43" s="667">
        <f t="shared" si="12"/>
        <v>100</v>
      </c>
      <c r="T43" s="666" t="s">
        <v>14</v>
      </c>
      <c r="U43" s="667">
        <f t="shared" si="13"/>
        <v>100</v>
      </c>
      <c r="V43" s="666" t="s">
        <v>14</v>
      </c>
      <c r="W43" s="667">
        <f t="shared" si="14"/>
        <v>100</v>
      </c>
      <c r="X43" s="1264"/>
      <c r="Y43" s="339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6"/>
      <c r="Q44" s="530">
        <f t="shared" si="11"/>
        <v>111</v>
      </c>
      <c r="R44" s="663" t="s">
        <v>14</v>
      </c>
      <c r="S44" s="664">
        <f t="shared" si="12"/>
        <v>100</v>
      </c>
      <c r="T44" s="663" t="s">
        <v>14</v>
      </c>
      <c r="U44" s="664">
        <f t="shared" si="13"/>
        <v>100</v>
      </c>
      <c r="V44" s="663" t="s">
        <v>14</v>
      </c>
      <c r="W44" s="664">
        <f t="shared" si="14"/>
        <v>100</v>
      </c>
      <c r="X44" s="665"/>
      <c r="Y44" s="339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6"/>
      <c r="Q45" s="1262">
        <f t="shared" si="11"/>
        <v>111</v>
      </c>
      <c r="R45" s="666" t="s">
        <v>14</v>
      </c>
      <c r="S45" s="667">
        <f t="shared" si="12"/>
        <v>100</v>
      </c>
      <c r="T45" s="666" t="s">
        <v>14</v>
      </c>
      <c r="U45" s="667">
        <f t="shared" si="13"/>
        <v>100</v>
      </c>
      <c r="V45" s="666" t="s">
        <v>14</v>
      </c>
      <c r="W45" s="667">
        <f t="shared" si="14"/>
        <v>100</v>
      </c>
      <c r="X45" s="1264"/>
      <c r="Y45" s="339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163" t="s">
        <v>3474</v>
      </c>
      <c r="J46" s="377">
        <f>SUMIF(130:130,I46,131:131)-SUMIF(130:130,C46,131:131)+100</f>
        <v>100</v>
      </c>
      <c r="K46" s="539"/>
      <c r="L46" s="2491"/>
      <c r="M46" s="2486"/>
      <c r="N46" s="2486"/>
      <c r="O46" s="2486"/>
      <c r="P46" s="3397"/>
      <c r="Q46" s="1262">
        <f t="shared" si="11"/>
        <v>111</v>
      </c>
      <c r="R46" s="666" t="s">
        <v>14</v>
      </c>
      <c r="S46" s="667">
        <f t="shared" si="12"/>
        <v>100</v>
      </c>
      <c r="T46" s="666" t="s">
        <v>14</v>
      </c>
      <c r="U46" s="667">
        <f t="shared" si="13"/>
        <v>100</v>
      </c>
      <c r="V46" s="666" t="s">
        <v>14</v>
      </c>
      <c r="W46" s="667">
        <f t="shared" si="14"/>
        <v>100</v>
      </c>
      <c r="X46" s="1264"/>
      <c r="Y46" s="3399"/>
      <c r="Z46" s="1263">
        <f t="shared" si="15"/>
        <v>111</v>
      </c>
      <c r="AA46" s="1263">
        <f t="shared" si="3"/>
        <v>1</v>
      </c>
      <c r="AB46" s="1263">
        <f t="shared" si="4"/>
        <v>1</v>
      </c>
      <c r="AC46" s="1263">
        <f t="shared" si="5"/>
        <v>1</v>
      </c>
    </row>
    <row r="47" spans="1:29" ht="15">
      <c r="A47" s="416" t="s">
        <v>1708</v>
      </c>
      <c r="B47" s="417"/>
      <c r="C47" s="1080" t="s">
        <v>0</v>
      </c>
      <c r="D47" s="418"/>
      <c r="E47" s="419">
        <v>59000</v>
      </c>
      <c r="F47" s="420"/>
      <c r="G47" s="421">
        <v>68237</v>
      </c>
      <c r="H47" s="422"/>
      <c r="I47" s="419">
        <f>售价案例!M70</f>
        <v>58394</v>
      </c>
      <c r="J47" s="422"/>
      <c r="K47" s="673"/>
      <c r="L47" s="2493"/>
      <c r="M47" s="2486"/>
      <c r="N47" s="2486"/>
      <c r="O47" s="2486"/>
      <c r="P47" s="3400" t="str">
        <f>A47</f>
        <v>成交单价（元/平方米）</v>
      </c>
      <c r="Q47" s="3400"/>
      <c r="R47" s="3361">
        <f>E47</f>
        <v>59000</v>
      </c>
      <c r="S47" s="3361"/>
      <c r="T47" s="3361">
        <f>G47</f>
        <v>68237</v>
      </c>
      <c r="U47" s="3361"/>
      <c r="V47" s="3361">
        <f>I47</f>
        <v>58394</v>
      </c>
      <c r="W47" s="3361"/>
      <c r="X47" s="385"/>
      <c r="Y47" s="672"/>
      <c r="Z47" s="385"/>
      <c r="AA47" s="385"/>
      <c r="AB47" s="385"/>
      <c r="AC47" s="385"/>
    </row>
    <row r="48" spans="1:29" ht="15.75" thickBot="1">
      <c r="A48" s="423" t="s">
        <v>1793</v>
      </c>
      <c r="B48" s="424"/>
      <c r="C48" s="1081">
        <f>R49</f>
        <v>60527</v>
      </c>
      <c r="D48" s="2140" t="s">
        <v>2136</v>
      </c>
      <c r="E48" s="1082">
        <f>R48</f>
        <v>57337</v>
      </c>
      <c r="F48" s="2141"/>
      <c r="G48" s="1081">
        <f>T48</f>
        <v>66314</v>
      </c>
      <c r="H48" s="2141"/>
      <c r="I48" s="1082">
        <f>V48</f>
        <v>57931</v>
      </c>
      <c r="J48" s="2141"/>
      <c r="K48" s="2143">
        <f>F48+H48+J48</f>
        <v>0</v>
      </c>
      <c r="L48" s="2493"/>
      <c r="M48" s="2486"/>
      <c r="N48" s="2486"/>
      <c r="O48" s="2486"/>
      <c r="P48" s="3400" t="str">
        <f>A48</f>
        <v>比较价值（元/平方米）</v>
      </c>
      <c r="Q48" s="3400"/>
      <c r="R48" s="3361">
        <f>IF(F1="售价",ROUND(PRODUCT(R47,AA7:AA46),0),ROUND(PRODUCT(R47,AA7:AA46),1))</f>
        <v>57337</v>
      </c>
      <c r="S48" s="3361"/>
      <c r="T48" s="3361">
        <f>IF(F1="售价",ROUND(PRODUCT(T47,AB7:AB46),0),ROUND(PRODUCT(T47,AB7:AB46),1))</f>
        <v>66314</v>
      </c>
      <c r="U48" s="3361"/>
      <c r="V48" s="3361">
        <f>IF(F1="售价",ROUND(PRODUCT(V47,AC7:AC46),0),ROUND(PRODUCT(V47,AC7:AC46),1))</f>
        <v>57931</v>
      </c>
      <c r="W48" s="3361"/>
      <c r="X48" s="385"/>
      <c r="Y48" s="385"/>
      <c r="Z48" s="385"/>
      <c r="AA48" s="385"/>
      <c r="AB48" s="385"/>
      <c r="AC48" s="385"/>
    </row>
    <row r="49" spans="1:29" ht="15.75" thickBot="1">
      <c r="A49" s="427" t="s">
        <v>1794</v>
      </c>
      <c r="B49" s="428"/>
      <c r="C49" s="351">
        <f>R49</f>
        <v>60527</v>
      </c>
      <c r="D49" s="351"/>
      <c r="E49" s="351"/>
      <c r="F49" s="351"/>
      <c r="G49" s="351"/>
      <c r="H49" s="351"/>
      <c r="I49" s="351"/>
      <c r="J49" s="351"/>
      <c r="K49" s="674"/>
      <c r="L49" s="2493"/>
      <c r="M49" s="2486"/>
      <c r="N49" s="2486"/>
      <c r="O49" s="2486"/>
      <c r="P49" s="3401" t="str">
        <f>A49</f>
        <v>估价对象XX用房的比较价值（楼面单价，元/平方米）</v>
      </c>
      <c r="Q49" s="3402"/>
      <c r="R49" s="3403">
        <f>IF(F1="售价",ROUND(IF(D48="简单平均",AVERAGE(R48:V48),R48*F48+T48*H48+V48*J48),0),ROUND(IF(D48="简单平均",AVERAGE(R48:V48),R48*F48+T48*H48+V48*J48),1))</f>
        <v>60527</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2.9003959049130668E-2</v>
      </c>
      <c r="F52" s="435" t="str">
        <f>IF(OR(E52&gt;=0.3,E52&lt;=-0.3),"超过30%","")</f>
        <v/>
      </c>
      <c r="G52" s="434">
        <f>IF(G47&lt;G48,G48/G47-1,G47/G48-1)</f>
        <v>2.8998401544168662E-2</v>
      </c>
      <c r="H52" s="435" t="str">
        <f>IF(OR(G52&gt;=0.3,G52&lt;=-0.3),"超过30%","")</f>
        <v/>
      </c>
      <c r="I52" s="434">
        <f>IF(I47&lt;I48,I48/I47-1,I47/I48-1)</f>
        <v>7.9922666620635407E-3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0.1565655684810856</v>
      </c>
      <c r="F53" s="435" t="str">
        <f>IF(OR(E53&gt;=0.2,E53&lt;=-0.2),"超过20%","")</f>
        <v/>
      </c>
      <c r="G53" s="434">
        <f>IF(G48&lt;I48,I48/G48-1,G48/I48-1)</f>
        <v>0.14470663375394865</v>
      </c>
      <c r="H53" s="435" t="str">
        <f>IF(OR(G53&gt;=0.2,G53&lt;=-0.2),"超过20%","")</f>
        <v/>
      </c>
      <c r="I53" s="434">
        <f>IF(I48&lt;E48,E48/I48-1,I48/E48-1)</f>
        <v>1.0359802570765853E-2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0.15655932203389833</v>
      </c>
      <c r="F54" s="435" t="str">
        <f>IF(OR(E54&gt;=0.3,E54&lt;=-0.3),"超过30%","")</f>
        <v/>
      </c>
      <c r="G54" s="434">
        <f>IF(G47&lt;I47,I47/G47-1,G47/I47-1)</f>
        <v>0.16856183854505602</v>
      </c>
      <c r="H54" s="435" t="str">
        <f>IF(OR(G54&gt;=0.3,G54&lt;=-0.3),"超过30%","")</f>
        <v/>
      </c>
      <c r="I54" s="434">
        <f>IF(I47&lt;E47,E47/I47-1,I47/E47-1)</f>
        <v>1.0377778538890992E-2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57" t="s">
        <v>3447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0" t="s">
        <v>3430</v>
      </c>
      <c r="D88" s="3160" t="s">
        <v>3428</v>
      </c>
      <c r="E88" s="3160" t="s">
        <v>3427</v>
      </c>
      <c r="F88" s="3161" t="s">
        <v>3429</v>
      </c>
      <c r="G88" s="3160" t="s">
        <v>3455</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v>98</v>
      </c>
      <c r="E89" s="467">
        <v>96</v>
      </c>
      <c r="F89" s="467">
        <v>94</v>
      </c>
      <c r="G89" s="467">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0" t="s">
        <v>3456</v>
      </c>
      <c r="D90" s="3160" t="s">
        <v>3457</v>
      </c>
      <c r="E90" s="3160" t="s">
        <v>3427</v>
      </c>
      <c r="F90" s="3160" t="s">
        <v>3458</v>
      </c>
      <c r="G90" s="3160" t="s">
        <v>3459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3450</v>
      </c>
      <c r="D92" s="485" t="s">
        <v>3451</v>
      </c>
      <c r="E92" s="485" t="s">
        <v>3452</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N15</f>
        <v>100</v>
      </c>
      <c r="D93" s="467">
        <f>N16</f>
        <v>60</v>
      </c>
      <c r="E93" s="467">
        <f>N17</f>
        <v>80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59" t="s">
        <v>3454</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3">D103&amp;"(含)"&amp;"-"&amp;E103</f>
        <v>50(含)-150</v>
      </c>
      <c r="E102" s="509" t="str">
        <f t="shared" si="23"/>
        <v>150(含)-250</v>
      </c>
      <c r="F102" s="509" t="str">
        <f t="shared" si="23"/>
        <v>250(含)-350</v>
      </c>
      <c r="G102" s="509" t="str">
        <f t="shared" si="23"/>
        <v>350(含)-450</v>
      </c>
      <c r="H102" s="509" t="str">
        <f t="shared" si="23"/>
        <v>450(含)-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150</v>
      </c>
      <c r="F103" s="6">
        <v>250</v>
      </c>
      <c r="G103" s="6">
        <v>350</v>
      </c>
      <c r="H103" s="6">
        <v>450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 t="shared" ref="E104:H104" si="24">D104-2</f>
        <v>96</v>
      </c>
      <c r="F104" s="467">
        <f t="shared" si="24"/>
        <v>94</v>
      </c>
      <c r="G104" s="467">
        <f t="shared" si="24"/>
        <v>92</v>
      </c>
      <c r="H104" s="467">
        <f t="shared" si="24"/>
        <v>90</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85" zoomScaleNormal="70" zoomScaleSheetLayoutView="85" workbookViewId="0">
      <selection activeCell="G23" sqref="G2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3395</v>
      </c>
      <c r="D1" s="1270" t="s">
        <v>43</v>
      </c>
      <c r="E1" s="1271" t="s">
        <v>678</v>
      </c>
      <c r="F1" s="998">
        <f ca="1">J53</f>
        <v>15.7</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311.72930000000002</v>
      </c>
      <c r="C2" s="1288" t="s">
        <v>879</v>
      </c>
      <c r="D2" s="1374">
        <f ca="1">C40+J29+L46</f>
        <v>3117293</v>
      </c>
      <c r="E2" s="1294" t="s">
        <v>880</v>
      </c>
      <c r="F2" s="1295"/>
      <c r="G2" s="2477"/>
      <c r="H2" s="2467"/>
      <c r="I2" s="2467"/>
      <c r="J2" s="2467"/>
      <c r="K2" s="2468"/>
      <c r="L2" s="2467"/>
      <c r="M2" s="2467"/>
    </row>
    <row r="3" spans="1:37" ht="18" customHeight="1" thickBot="1">
      <c r="A3" s="1296" t="s">
        <v>881</v>
      </c>
      <c r="B3" s="1297">
        <f ca="1">IF(ISERROR(D2/F43),0,ROUND(D2/F43,0))</f>
        <v>26128</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313939</v>
      </c>
      <c r="D5" s="1272" t="s">
        <v>889</v>
      </c>
      <c r="E5" s="1007"/>
      <c r="F5" s="1008"/>
      <c r="G5" s="1291"/>
      <c r="H5" s="291">
        <v>1</v>
      </c>
      <c r="I5" s="292" t="s">
        <v>888</v>
      </c>
      <c r="J5" s="1006">
        <f ca="1">J6+J10+J12</f>
        <v>0</v>
      </c>
      <c r="K5" s="1272" t="s">
        <v>889</v>
      </c>
      <c r="L5" s="1007"/>
      <c r="M5" s="1008"/>
    </row>
    <row r="6" spans="1:37" ht="18" customHeight="1">
      <c r="A6" s="1005" t="s">
        <v>398</v>
      </c>
      <c r="B6" s="3355" t="s">
        <v>694</v>
      </c>
      <c r="C6" s="1010">
        <f ca="1">ROUND(F6*F8*F7*(1-F9),0)</f>
        <v>313547</v>
      </c>
      <c r="D6" s="147" t="s">
        <v>2104</v>
      </c>
      <c r="E6" s="294" t="s">
        <v>696</v>
      </c>
      <c r="F6" s="295">
        <f ca="1">INDIRECT("'数据-取费表'!u"&amp;$G$1)</f>
        <v>8</v>
      </c>
      <c r="G6" s="1291"/>
      <c r="H6" s="1005" t="s">
        <v>398</v>
      </c>
      <c r="I6" s="3355" t="s">
        <v>694</v>
      </c>
      <c r="J6" s="293">
        <f ca="1">ROUND(M6*M8*M7*(1-M9),0)</f>
        <v>0</v>
      </c>
      <c r="K6" s="1283" t="s">
        <v>2105</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119.31</v>
      </c>
      <c r="G7" s="1291"/>
      <c r="H7" s="296"/>
      <c r="I7" s="3356"/>
      <c r="J7" s="298"/>
      <c r="K7" s="299"/>
      <c r="L7" s="294" t="s">
        <v>697</v>
      </c>
      <c r="M7" s="295">
        <f ca="1">F7</f>
        <v>119.31</v>
      </c>
    </row>
    <row r="8" spans="1:37" ht="18" customHeight="1">
      <c r="A8" s="296"/>
      <c r="B8" s="3356"/>
      <c r="C8" s="298"/>
      <c r="D8" s="299"/>
      <c r="E8" s="294" t="s">
        <v>698</v>
      </c>
      <c r="F8" s="295">
        <f ca="1">INDIRECT("'数据-取费表'!ai"&amp;$G$1)</f>
        <v>365</v>
      </c>
      <c r="G8" s="1291"/>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1"/>
      <c r="H9" s="296"/>
      <c r="I9" s="3357"/>
      <c r="J9" s="298"/>
      <c r="K9" s="299"/>
      <c r="L9" s="305" t="s">
        <v>699</v>
      </c>
      <c r="M9" s="306">
        <f ca="1">INDIRECT("'数据-取费表'!ab"&amp;$G$1)</f>
        <v>0</v>
      </c>
    </row>
    <row r="10" spans="1:37" ht="18" customHeight="1">
      <c r="A10" s="1005" t="s">
        <v>402</v>
      </c>
      <c r="B10" s="1273" t="s">
        <v>700</v>
      </c>
      <c r="C10" s="308">
        <f ca="1">ROUND(IF(F10="押一",C6/12*F11,IF(F10="押二",C6/12*2*F11,IF(F10="押三",C6/12*3*F11,C11*F11))),0)</f>
        <v>392</v>
      </c>
      <c r="D10" s="150" t="s">
        <v>2114</v>
      </c>
      <c r="E10" s="305" t="s">
        <v>701</v>
      </c>
      <c r="F10" s="1052" t="s">
        <v>3433</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664072</v>
      </c>
      <c r="D13" s="1017" t="s">
        <v>705</v>
      </c>
      <c r="E13" s="1017" t="s">
        <v>706</v>
      </c>
      <c r="F13" s="1018">
        <f ca="1">INDIRECT("'数据-取费表'!y"&amp;$G$1)</f>
        <v>0.75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596550</v>
      </c>
      <c r="D14" s="1256" t="s">
        <v>708</v>
      </c>
      <c r="E14" s="1254"/>
      <c r="F14" s="311"/>
      <c r="G14" s="1291"/>
      <c r="H14" s="927" t="s">
        <v>398</v>
      </c>
      <c r="I14" s="294" t="s">
        <v>709</v>
      </c>
      <c r="J14" s="21">
        <f ca="1">C29</f>
        <v>885429</v>
      </c>
      <c r="K14" s="12"/>
      <c r="L14" s="758"/>
      <c r="M14" s="759"/>
    </row>
    <row r="15" spans="1:37" s="1303" customFormat="1" ht="18" customHeight="1" thickBot="1">
      <c r="A15" s="927" t="s">
        <v>399</v>
      </c>
      <c r="B15" s="294" t="s">
        <v>710</v>
      </c>
      <c r="C15" s="21">
        <f ca="1">ROUND(C14*F15,0)</f>
        <v>17897</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4427</v>
      </c>
      <c r="K16" s="1023" t="s">
        <v>715</v>
      </c>
      <c r="L16" s="1024"/>
      <c r="M16" s="1008"/>
    </row>
    <row r="17" spans="1:37" s="1303" customFormat="1" ht="18" customHeight="1">
      <c r="A17" s="927" t="s">
        <v>681</v>
      </c>
      <c r="B17" s="294" t="s">
        <v>716</v>
      </c>
      <c r="C17" s="21">
        <f ca="1">ROUND(F17*(F43+INDIRECT("'数据-取费表'!S"&amp;$G$1)),0)</f>
        <v>23862</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11931</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650240</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13005</v>
      </c>
      <c r="D20" s="315" t="s">
        <v>729</v>
      </c>
      <c r="E20" s="294" t="s">
        <v>712</v>
      </c>
      <c r="F20" s="314">
        <f>'数据-取费表'!B37</f>
        <v>0.02</v>
      </c>
      <c r="G20" s="1302"/>
      <c r="H20" s="927" t="s">
        <v>680</v>
      </c>
      <c r="I20" s="147" t="s">
        <v>730</v>
      </c>
      <c r="J20" s="22">
        <f ca="1">ROUND(M20*M21,0)</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4427</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20560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-4427</v>
      </c>
      <c r="K25" s="1031" t="s">
        <v>753</v>
      </c>
      <c r="L25" s="1032"/>
      <c r="M25" s="1033"/>
    </row>
    <row r="26" spans="1:37" ht="18" customHeight="1">
      <c r="A26" s="927" t="s">
        <v>397</v>
      </c>
      <c r="B26" s="294" t="s">
        <v>754</v>
      </c>
      <c r="C26" s="21">
        <f ca="1">ROUND((C19+C20)*F26,0)</f>
        <v>132649</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885429</v>
      </c>
      <c r="D29" s="1028"/>
      <c r="E29" s="1026"/>
      <c r="F29" s="1029"/>
      <c r="G29" s="1302"/>
      <c r="H29" s="325" t="s">
        <v>396</v>
      </c>
      <c r="I29" s="326" t="s">
        <v>768</v>
      </c>
      <c r="J29" s="327">
        <f ca="1">ROUND(J26/(1+F40)^F41,0)</f>
        <v>0</v>
      </c>
      <c r="K29" s="328" t="s">
        <v>769</v>
      </c>
      <c r="L29" s="329"/>
      <c r="M29" s="330">
        <f ca="1">INDIRECT("'数据-取费表'!k"&amp;$G$1)</f>
        <v>119.31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59218</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52557</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7" t="s">
        <v>397</v>
      </c>
      <c r="B32" s="294" t="s">
        <v>723</v>
      </c>
      <c r="C32" s="21">
        <f ca="1">IF(项目基本情况!B11="自然人","——",ROUND(C6*F32/(1+'数据-取费表'!C42),0))</f>
        <v>16723</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35834</v>
      </c>
      <c r="D33" s="1277" t="s">
        <v>3335</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18</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4427</v>
      </c>
      <c r="D36" s="1255" t="s">
        <v>771</v>
      </c>
      <c r="E36" s="294" t="s">
        <v>712</v>
      </c>
      <c r="F36" s="320">
        <f ca="1">INDIRECT("'数据-取费表'!Ak"&amp;$G$1)</f>
        <v>5.0000000000000001E-3</v>
      </c>
      <c r="G36" s="1291"/>
      <c r="H36" s="2472"/>
      <c r="I36" s="1304"/>
      <c r="J36" s="1305"/>
      <c r="K36" s="2330"/>
      <c r="L36" s="2472"/>
      <c r="M36" s="2472"/>
    </row>
    <row r="37" spans="1:18" ht="18" customHeight="1">
      <c r="A37" s="927" t="s">
        <v>437</v>
      </c>
      <c r="B37" s="294" t="s">
        <v>742</v>
      </c>
      <c r="C37" s="21">
        <f ca="1">ROUND(C13*F37,0)</f>
        <v>664</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1570</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2">
        <f ca="1">C5-C30</f>
        <v>254721</v>
      </c>
      <c r="D39" s="1031" t="s">
        <v>773</v>
      </c>
      <c r="E39" s="1032"/>
      <c r="F39" s="1033"/>
      <c r="G39" s="1291"/>
      <c r="H39" s="2472"/>
      <c r="I39" s="1304"/>
      <c r="J39" s="1305"/>
      <c r="K39" s="2470"/>
      <c r="L39" s="2472"/>
      <c r="M39" s="2472"/>
    </row>
    <row r="40" spans="1:18" ht="18" customHeight="1">
      <c r="A40" s="291" t="s">
        <v>395</v>
      </c>
      <c r="B40" s="292" t="s">
        <v>774</v>
      </c>
      <c r="C40" s="293">
        <f ca="1">ROUND(C39*(1-((1+F42)/(1+F40))^F41)/(F40-F42),0)</f>
        <v>2992694</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15.7</v>
      </c>
      <c r="G41" s="1291"/>
      <c r="H41" s="121">
        <f ca="1">C39/C5</f>
        <v>0.81137099882461239</v>
      </c>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25083</v>
      </c>
      <c r="D43" s="328" t="s">
        <v>777</v>
      </c>
      <c r="E43" s="329" t="s">
        <v>778</v>
      </c>
      <c r="F43" s="330">
        <f ca="1">INDIRECT("'数据-取费表'!k"&amp;$G$1)</f>
        <v>119.31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3351</v>
      </c>
      <c r="B45" s="1306"/>
      <c r="C45" s="1375">
        <f ca="1">ROUND((C68-C40)/10000,4)</f>
        <v>-304.53210000000001</v>
      </c>
      <c r="D45" s="3129" t="s">
        <v>3352</v>
      </c>
      <c r="E45" s="1306"/>
      <c r="F45" s="1306"/>
      <c r="O45" s="1309" t="s">
        <v>808</v>
      </c>
      <c r="P45" s="1365"/>
      <c r="Q45" s="1365"/>
      <c r="R45" s="1365"/>
    </row>
    <row r="46" spans="1:18" s="1291" customFormat="1" ht="13.5" thickBot="1">
      <c r="A46" s="1310" t="s">
        <v>809</v>
      </c>
      <c r="C46" s="1311">
        <f ca="1">ROUND(C45,0)</f>
        <v>-305</v>
      </c>
      <c r="D46" s="1312" t="str">
        <f>C2</f>
        <v>万元</v>
      </c>
      <c r="I46" s="1313" t="s">
        <v>810</v>
      </c>
      <c r="J46" s="1314"/>
      <c r="K46" s="1315"/>
      <c r="L46" s="1316">
        <f ca="1">IF(M47="住宅",0,IF(L48&gt;J51,L60,J60))</f>
        <v>124599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3434</v>
      </c>
      <c r="K47" s="1322" t="s">
        <v>816</v>
      </c>
      <c r="L47" s="1323">
        <f ca="1">INDIRECT("'数据-取费表'!d"&amp;$G$1)</f>
        <v>40</v>
      </c>
      <c r="M47" s="1287" t="str">
        <f>IF(ISNUMBER(FIND("住宅",C1)),"住宅","非住宅")</f>
        <v>非住宅</v>
      </c>
      <c r="O47" s="1324" t="s">
        <v>403</v>
      </c>
      <c r="P47" s="1325" t="s">
        <v>817</v>
      </c>
      <c r="Q47" s="1326">
        <f ca="1">C40+J29</f>
        <v>2992694</v>
      </c>
      <c r="R47" s="1326" t="s">
        <v>818</v>
      </c>
    </row>
    <row r="48" spans="1:18" s="1291" customFormat="1" ht="28.5" thickBot="1">
      <c r="A48" s="1046" t="s">
        <v>438</v>
      </c>
      <c r="B48" s="292" t="s">
        <v>692</v>
      </c>
      <c r="C48" s="1267">
        <f ca="1">C49+C53+C55</f>
        <v>0</v>
      </c>
      <c r="D48" s="1048"/>
      <c r="E48" s="1049"/>
      <c r="F48" s="907"/>
      <c r="G48" s="680"/>
      <c r="H48" s="681"/>
      <c r="I48" s="1327" t="s">
        <v>819</v>
      </c>
      <c r="J48" s="1328" t="s">
        <v>3435</v>
      </c>
      <c r="K48" s="1329" t="s">
        <v>820</v>
      </c>
      <c r="L48" s="1330">
        <f ca="1">INDIRECT("'数据-取费表'!f"&amp;$G$1)</f>
        <v>15.7</v>
      </c>
      <c r="O48" s="1324" t="s">
        <v>404</v>
      </c>
      <c r="P48" s="1325" t="s">
        <v>821</v>
      </c>
      <c r="Q48" s="1326">
        <f ca="1">J60</f>
        <v>124599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2006</v>
      </c>
      <c r="K49" s="1329" t="s">
        <v>824</v>
      </c>
      <c r="L49" s="1332"/>
      <c r="O49" s="1333" t="s">
        <v>405</v>
      </c>
      <c r="P49" s="1325" t="s">
        <v>825</v>
      </c>
      <c r="Q49" s="1326">
        <f ca="1">C29</f>
        <v>885429</v>
      </c>
      <c r="R49" s="1326" t="s">
        <v>818</v>
      </c>
    </row>
    <row r="50" spans="1:18" s="1291" customFormat="1" ht="13.5" thickBot="1">
      <c r="A50" s="921"/>
      <c r="B50" s="924"/>
      <c r="C50" s="925"/>
      <c r="D50" s="898"/>
      <c r="E50" s="992" t="s">
        <v>697</v>
      </c>
      <c r="F50" s="993">
        <f ca="1">F7</f>
        <v>119.31</v>
      </c>
      <c r="H50" s="681"/>
      <c r="I50" s="1327" t="s">
        <v>826</v>
      </c>
      <c r="J50" s="1334">
        <f>SUMPRODUCT((I63:I65=J47)*(J62:L62=J48)*(J63:L65))</f>
        <v>60</v>
      </c>
      <c r="K50" s="1329" t="s">
        <v>827</v>
      </c>
      <c r="L50" s="1332"/>
      <c r="M50" s="1335"/>
      <c r="O50" s="1333" t="s">
        <v>406</v>
      </c>
      <c r="P50" s="1325" t="s">
        <v>828</v>
      </c>
      <c r="Q50" s="1336">
        <f ca="1">J58</f>
        <v>0.438</v>
      </c>
      <c r="R50" s="1326"/>
    </row>
    <row r="51" spans="1:18" s="1291" customFormat="1" ht="13.5" thickBot="1">
      <c r="A51" s="922"/>
      <c r="B51" s="924"/>
      <c r="C51" s="925"/>
      <c r="D51" s="898"/>
      <c r="E51" s="926" t="s">
        <v>698</v>
      </c>
      <c r="F51" s="295">
        <f ca="1">F8</f>
        <v>365</v>
      </c>
      <c r="I51" s="1337" t="s">
        <v>829</v>
      </c>
      <c r="J51" s="1330">
        <f>IF(J49="",J50,J49+J50-YEAR('数据-取费表'!B2))</f>
        <v>42</v>
      </c>
      <c r="K51" s="1338" t="s">
        <v>830</v>
      </c>
      <c r="L51" s="1339">
        <f ca="1">ROUND(-PV(INDIRECT("'数据-取费表'!h"&amp;$G$1),J51,(C39-C13*C76),0),0)</f>
        <v>3628138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15.7</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15.7</v>
      </c>
      <c r="K53" s="3353" t="s">
        <v>837</v>
      </c>
      <c r="L53" s="3354"/>
      <c r="O53" s="1324" t="s">
        <v>409</v>
      </c>
      <c r="P53" s="1325" t="s">
        <v>838</v>
      </c>
      <c r="Q53" s="1326">
        <f ca="1">Q47+Q48</f>
        <v>3117293</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0.438</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664072</v>
      </c>
      <c r="D56" s="1351"/>
      <c r="E56" s="1352"/>
      <c r="F56" s="1344"/>
      <c r="I56" s="1353" t="s">
        <v>842</v>
      </c>
      <c r="J56" s="1354" t="s">
        <v>3436</v>
      </c>
      <c r="K56" s="1327" t="s">
        <v>843</v>
      </c>
      <c r="L56" s="1330" t="str">
        <f ca="1">IF(L48&lt;J51,"——",L48-J51)</f>
        <v>——</v>
      </c>
      <c r="O56" s="1324" t="s">
        <v>403</v>
      </c>
      <c r="P56" s="1325" t="s">
        <v>817</v>
      </c>
      <c r="Q56" s="1326">
        <f ca="1">C40+J29</f>
        <v>2992694</v>
      </c>
      <c r="R56" s="1326" t="s">
        <v>818</v>
      </c>
    </row>
    <row r="57" spans="1:18" s="1291" customFormat="1" ht="24.75" thickBot="1">
      <c r="A57" s="1355"/>
      <c r="B57" s="895" t="s">
        <v>767</v>
      </c>
      <c r="C57" s="230">
        <f ca="1">C29</f>
        <v>885429</v>
      </c>
      <c r="D57" s="1356"/>
      <c r="E57" s="1357"/>
      <c r="F57" s="1358"/>
      <c r="I57" s="1359" t="s">
        <v>844</v>
      </c>
      <c r="J57" s="1360">
        <f ca="1">IF(OR(M47="住宅",J51&lt;L48,J56="是"),"——",J51-L48)</f>
        <v>26.3</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5091</v>
      </c>
      <c r="D58" s="905" t="s">
        <v>715</v>
      </c>
      <c r="E58" s="906"/>
      <c r="F58" s="907"/>
      <c r="I58" s="1359" t="s">
        <v>848</v>
      </c>
      <c r="J58" s="1361">
        <f ca="1">IF(J55&lt;0.4,0.4,J55)</f>
        <v>0.438</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387818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124599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18</v>
      </c>
      <c r="I62" s="1366" t="s">
        <v>858</v>
      </c>
      <c r="J62" s="610" t="s">
        <v>859</v>
      </c>
      <c r="K62" s="610" t="s">
        <v>860</v>
      </c>
      <c r="L62" s="610" t="s">
        <v>861</v>
      </c>
      <c r="M62" s="1367" t="s">
        <v>862</v>
      </c>
      <c r="O62" s="1324" t="s">
        <v>409</v>
      </c>
      <c r="P62" s="1325" t="s">
        <v>863</v>
      </c>
      <c r="Q62" s="1326">
        <f ca="1">Q56+Q57</f>
        <v>2992694</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4427</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664</v>
      </c>
      <c r="D65" s="909" t="s">
        <v>743</v>
      </c>
      <c r="E65" s="895" t="s">
        <v>744</v>
      </c>
      <c r="F65" s="321">
        <f t="shared" ca="1" si="0"/>
        <v>1E-3</v>
      </c>
      <c r="I65" s="1366" t="s">
        <v>867</v>
      </c>
      <c r="J65" s="610">
        <v>40</v>
      </c>
      <c r="K65" s="610">
        <v>30</v>
      </c>
      <c r="L65" s="610">
        <v>50</v>
      </c>
      <c r="M65" s="1368">
        <v>0.02</v>
      </c>
      <c r="O65" s="1324" t="s">
        <v>403</v>
      </c>
      <c r="P65" s="1325" t="s">
        <v>868</v>
      </c>
      <c r="Q65" s="1326">
        <f ca="1">C40+J29</f>
        <v>2992694</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-5091</v>
      </c>
      <c r="D67" s="908" t="s">
        <v>753</v>
      </c>
      <c r="E67" s="913"/>
      <c r="F67" s="914"/>
      <c r="O67" s="1333" t="s">
        <v>405</v>
      </c>
      <c r="P67" s="1325" t="s">
        <v>850</v>
      </c>
      <c r="Q67" s="1369">
        <f ca="1">L51</f>
        <v>3628138</v>
      </c>
      <c r="R67" s="1326" t="s">
        <v>870</v>
      </c>
    </row>
    <row r="68" spans="1:18" s="1291" customFormat="1" ht="16.5" thickBot="1">
      <c r="A68" s="892" t="s">
        <v>395</v>
      </c>
      <c r="B68" s="893" t="s">
        <v>774</v>
      </c>
      <c r="C68" s="293">
        <f ca="1">ROUND(C67*(1-((1+F70)/(1+F68))^F69)/(F68-F70),0)</f>
        <v>-52627</v>
      </c>
      <c r="D68" s="910" t="s">
        <v>758</v>
      </c>
      <c r="E68" s="895" t="s">
        <v>759</v>
      </c>
      <c r="F68" s="304">
        <f ca="1">F40</f>
        <v>5.5E-2</v>
      </c>
      <c r="O68" s="1333" t="s">
        <v>406</v>
      </c>
      <c r="P68" s="1370" t="s">
        <v>871</v>
      </c>
      <c r="Q68" s="1326">
        <f ca="1">ROUND(Q69-Q70*Q71,0)</f>
        <v>208236</v>
      </c>
      <c r="R68" s="1326" t="s">
        <v>414</v>
      </c>
    </row>
    <row r="69" spans="1:18" s="1291" customFormat="1" ht="13.5" thickBot="1">
      <c r="A69" s="896"/>
      <c r="B69" s="897"/>
      <c r="C69" s="298"/>
      <c r="D69" s="915" t="s">
        <v>762</v>
      </c>
      <c r="E69" s="895" t="s">
        <v>763</v>
      </c>
      <c r="F69" s="324">
        <f ca="1">F41</f>
        <v>15.7</v>
      </c>
      <c r="O69" s="1333" t="s">
        <v>411</v>
      </c>
      <c r="P69" s="1370" t="s">
        <v>872</v>
      </c>
      <c r="Q69" s="1326">
        <f ca="1">C39</f>
        <v>254721</v>
      </c>
      <c r="R69" s="1326" t="s">
        <v>818</v>
      </c>
    </row>
    <row r="70" spans="1:18" s="1291" customFormat="1" ht="13.5" thickBot="1">
      <c r="A70" s="899"/>
      <c r="B70" s="900"/>
      <c r="C70" s="302"/>
      <c r="D70" s="911"/>
      <c r="E70" s="895" t="s">
        <v>766</v>
      </c>
      <c r="F70" s="990"/>
      <c r="O70" s="1333" t="s">
        <v>412</v>
      </c>
      <c r="P70" s="1370" t="s">
        <v>873</v>
      </c>
      <c r="Q70" s="1326">
        <f ca="1">C13</f>
        <v>664072</v>
      </c>
      <c r="R70" s="1326" t="s">
        <v>818</v>
      </c>
    </row>
    <row r="71" spans="1:18" s="1291" customFormat="1" ht="13.5" thickBot="1">
      <c r="A71" s="916" t="s">
        <v>396</v>
      </c>
      <c r="B71" s="917" t="s">
        <v>776</v>
      </c>
      <c r="C71" s="327">
        <f ca="1">ROUND(C68/F71,0)</f>
        <v>-441</v>
      </c>
      <c r="D71" s="918" t="s">
        <v>777</v>
      </c>
      <c r="E71" s="919" t="s">
        <v>778</v>
      </c>
      <c r="F71" s="330">
        <f ca="1">F43</f>
        <v>119.31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46485</v>
      </c>
      <c r="D75" s="1291"/>
      <c r="E75" s="1291"/>
      <c r="F75" s="1291"/>
      <c r="K75" s="1308"/>
      <c r="L75" s="1291"/>
      <c r="O75" s="1324" t="s">
        <v>409</v>
      </c>
      <c r="P75" s="1325" t="s">
        <v>838</v>
      </c>
      <c r="Q75" s="1326">
        <f ca="1">Q65+Q66</f>
        <v>2992694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0.81800000000000006</v>
      </c>
    </row>
    <row r="80" spans="1:18">
      <c r="B80" s="331" t="s">
        <v>800</v>
      </c>
      <c r="C80" s="266">
        <f ca="1">ROUND(C75/C39,3)</f>
        <v>0.182</v>
      </c>
    </row>
    <row r="81" spans="2:3">
      <c r="B81" s="262" t="s">
        <v>801</v>
      </c>
      <c r="C81" s="230"/>
    </row>
    <row r="82" spans="2:3">
      <c r="B82" s="265" t="s">
        <v>802</v>
      </c>
      <c r="C82" s="267">
        <f ca="1">1-C83</f>
        <v>0.77800000000000002</v>
      </c>
    </row>
    <row r="83" spans="2:3">
      <c r="B83" s="265" t="s">
        <v>803</v>
      </c>
      <c r="C83" s="266">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3358</v>
      </c>
      <c r="E2" s="3138"/>
      <c r="F2" s="2596"/>
      <c r="G2" s="2597"/>
      <c r="H2" s="2598"/>
      <c r="I2" s="2599"/>
      <c r="J2" s="3404" t="s">
        <v>2317</v>
      </c>
      <c r="K2" s="340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6" t="s">
        <v>2327</v>
      </c>
      <c r="K3" s="340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6" t="s">
        <v>2329</v>
      </c>
      <c r="K4" s="340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08" t="s">
        <v>2333</v>
      </c>
      <c r="B6" s="3409"/>
      <c r="C6" s="3410"/>
      <c r="D6" s="2620"/>
      <c r="E6" s="2621"/>
      <c r="F6" s="2622"/>
      <c r="G6" s="2623"/>
      <c r="H6" s="2598"/>
      <c r="I6" s="2599"/>
      <c r="J6" s="3411">
        <v>1</v>
      </c>
      <c r="K6" s="341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1"/>
      <c r="K7" s="341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15" t="s">
        <v>2347</v>
      </c>
      <c r="C8" s="3416"/>
      <c r="D8" s="2639" t="s">
        <v>2348</v>
      </c>
      <c r="E8" s="2640" t="s">
        <v>2349</v>
      </c>
      <c r="F8" s="2641" t="s">
        <v>2350</v>
      </c>
      <c r="G8" s="2642"/>
      <c r="H8" s="2598"/>
      <c r="I8" s="2599"/>
      <c r="J8" s="3411"/>
      <c r="K8" s="341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15" t="s">
        <v>2353</v>
      </c>
      <c r="C9" s="3416"/>
      <c r="D9" s="2639">
        <f>ROUND(D6*E9,0)</f>
        <v>0</v>
      </c>
      <c r="E9" s="2643"/>
      <c r="F9" s="2644" t="s">
        <v>2354</v>
      </c>
      <c r="G9" s="2623"/>
      <c r="H9" s="2598"/>
      <c r="I9" s="2599"/>
      <c r="J9" s="3411"/>
      <c r="K9" s="3413"/>
      <c r="L9" s="2633" t="s">
        <v>2355</v>
      </c>
      <c r="M9" s="2634"/>
      <c r="N9" s="2610"/>
      <c r="O9" s="2635"/>
      <c r="P9" s="2635"/>
      <c r="Q9" s="2636">
        <v>365</v>
      </c>
      <c r="R9" s="2637">
        <f t="shared" si="0"/>
        <v>0</v>
      </c>
      <c r="S9" s="2591"/>
      <c r="T9" s="2591"/>
      <c r="U9" s="2591"/>
      <c r="V9" s="2599"/>
    </row>
    <row r="10" spans="1:22" s="2603" customFormat="1" ht="13.15" customHeight="1">
      <c r="A10" s="2638">
        <v>2</v>
      </c>
      <c r="B10" s="3415" t="s">
        <v>2356</v>
      </c>
      <c r="C10" s="3416"/>
      <c r="D10" s="2639">
        <f>ROUND(D6*E10,0)</f>
        <v>0</v>
      </c>
      <c r="E10" s="2643"/>
      <c r="F10" s="2644" t="s">
        <v>2357</v>
      </c>
      <c r="G10" s="2623"/>
      <c r="H10" s="2598"/>
      <c r="I10" s="2599"/>
      <c r="J10" s="3411"/>
      <c r="K10" s="3413"/>
      <c r="L10" s="2633" t="s">
        <v>2358</v>
      </c>
      <c r="M10" s="2634"/>
      <c r="N10" s="2610"/>
      <c r="O10" s="2635"/>
      <c r="P10" s="2635"/>
      <c r="Q10" s="2636">
        <v>365</v>
      </c>
      <c r="R10" s="2637">
        <f t="shared" si="0"/>
        <v>0</v>
      </c>
      <c r="S10" s="2591"/>
      <c r="T10" s="2591"/>
      <c r="U10" s="2591"/>
      <c r="V10" s="2599"/>
    </row>
    <row r="11" spans="1:22" s="2603" customFormat="1" ht="13.15" customHeight="1">
      <c r="A11" s="2638">
        <v>3</v>
      </c>
      <c r="B11" s="3415" t="s">
        <v>2359</v>
      </c>
      <c r="C11" s="3416"/>
      <c r="D11" s="2639">
        <f>D12+D14+D15+D16</f>
        <v>0</v>
      </c>
      <c r="E11" s="2645" t="e">
        <f>D11/D6</f>
        <v>#DIV/0!</v>
      </c>
      <c r="F11" s="2641"/>
      <c r="G11" s="2642"/>
      <c r="H11" s="2598"/>
      <c r="I11" s="2599"/>
      <c r="J11" s="3411"/>
      <c r="K11" s="341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17" t="s">
        <v>2362</v>
      </c>
      <c r="C12" s="3418"/>
      <c r="D12" s="2647">
        <f>ROUND(D13*1.2%*(1-30%),0)</f>
        <v>0</v>
      </c>
      <c r="E12" s="2648">
        <v>1.2E-2</v>
      </c>
      <c r="F12" s="2641" t="s">
        <v>2363</v>
      </c>
      <c r="G12" s="2642"/>
      <c r="H12" s="2598"/>
      <c r="I12" s="2599"/>
      <c r="J12" s="3411"/>
      <c r="K12" s="341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1"/>
      <c r="K13" s="341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17" t="s">
        <v>2368</v>
      </c>
      <c r="C14" s="3418"/>
      <c r="D14" s="2647">
        <f>ROUND(E14*B5/10000,0)</f>
        <v>0</v>
      </c>
      <c r="E14" s="2636"/>
      <c r="F14" s="2641" t="s">
        <v>2369</v>
      </c>
      <c r="G14" s="2642"/>
      <c r="H14" s="2598"/>
      <c r="I14" s="2599"/>
      <c r="J14" s="3411"/>
      <c r="K14" s="341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17" t="s">
        <v>2372</v>
      </c>
      <c r="C15" s="3418"/>
      <c r="D15" s="2647">
        <f>ROUND(D6*E15,0)</f>
        <v>0</v>
      </c>
      <c r="E15" s="2648">
        <v>5.5E-2</v>
      </c>
      <c r="F15" s="2641" t="s">
        <v>2373</v>
      </c>
      <c r="G15" s="2623"/>
      <c r="H15" s="2598"/>
      <c r="I15" s="2599"/>
      <c r="J15" s="3411">
        <v>2</v>
      </c>
      <c r="K15" s="341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17" t="s">
        <v>2381</v>
      </c>
      <c r="C16" s="3418"/>
      <c r="D16" s="2658">
        <f>D6*E16</f>
        <v>0</v>
      </c>
      <c r="E16" s="2659"/>
      <c r="F16" s="2644" t="s">
        <v>2382</v>
      </c>
      <c r="G16" s="2623"/>
      <c r="H16" s="2598"/>
      <c r="I16" s="2599"/>
      <c r="J16" s="3411"/>
      <c r="K16" s="341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19" t="s">
        <v>2384</v>
      </c>
      <c r="C17" s="3420"/>
      <c r="D17" s="2661">
        <f>ROUND(D6*E17,0)</f>
        <v>0</v>
      </c>
      <c r="E17" s="2662"/>
      <c r="F17" s="2663" t="s">
        <v>2385</v>
      </c>
      <c r="G17" s="2623"/>
      <c r="H17" s="2598"/>
      <c r="I17" s="2599"/>
      <c r="J17" s="3411"/>
      <c r="K17" s="341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1"/>
      <c r="K18" s="341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1"/>
      <c r="K19" s="341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1">
        <v>3</v>
      </c>
      <c r="K20" s="341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1"/>
      <c r="K21" s="341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1"/>
      <c r="K22" s="341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1"/>
      <c r="K23" s="341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1"/>
      <c r="K24" s="341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04" t="s">
        <v>2317</v>
      </c>
      <c r="K32" s="340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6" t="s">
        <v>2327</v>
      </c>
      <c r="K33" s="340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6" t="s">
        <v>2329</v>
      </c>
      <c r="K34" s="340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1">
        <v>1</v>
      </c>
      <c r="K36" s="341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1"/>
      <c r="K37" s="341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1"/>
      <c r="K38" s="341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1"/>
      <c r="K39" s="341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1"/>
      <c r="K40" s="341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0">
        <f ca="1">SUMIF(B6:B13,"&lt;&gt;#ref!",B6:B13)</f>
        <v>311.72930000000002</v>
      </c>
      <c r="C2" s="1728" t="s">
        <v>1651</v>
      </c>
      <c r="D2" s="1729" t="s">
        <v>1652</v>
      </c>
      <c r="E2" s="2392">
        <f>SUM(E6:E13)</f>
        <v>119.31</v>
      </c>
      <c r="F2" s="2478"/>
      <c r="G2" s="459"/>
      <c r="H2" s="459"/>
      <c r="I2" s="459"/>
      <c r="J2" s="459"/>
      <c r="K2" s="459"/>
      <c r="L2" s="459"/>
      <c r="M2" s="459"/>
      <c r="N2" s="459"/>
      <c r="O2" s="459"/>
      <c r="P2" s="459"/>
      <c r="Q2" s="459"/>
      <c r="R2" s="459"/>
      <c r="S2" s="459"/>
    </row>
    <row r="3" spans="1:22" ht="15.75">
      <c r="A3" s="1727" t="s">
        <v>686</v>
      </c>
      <c r="B3" s="2386">
        <f ca="1">ROUND(B2*10000/E2,0)</f>
        <v>26128</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23" t="s">
        <v>1654</v>
      </c>
      <c r="C5" s="3424"/>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311.72930000000002</v>
      </c>
      <c r="C6" s="1728" t="s">
        <v>1651</v>
      </c>
      <c r="D6" s="2478"/>
      <c r="E6" s="2391">
        <f>IF(OR(A6=0,F6="否"),0,'数据-取费表'!K6+'数据-取费表'!S6)</f>
        <v>119.31</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119.31</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78" t="s">
        <v>1667</v>
      </c>
      <c r="D4" s="3379"/>
      <c r="E4" s="3380" t="s">
        <v>1668</v>
      </c>
      <c r="F4" s="3381"/>
      <c r="G4" s="3378" t="s">
        <v>1669</v>
      </c>
      <c r="H4" s="3379"/>
      <c r="I4" s="3378" t="s">
        <v>1670</v>
      </c>
      <c r="J4" s="3379"/>
      <c r="K4" s="1743" t="s">
        <v>1671</v>
      </c>
      <c r="L4" s="2485"/>
      <c r="M4" s="2486"/>
      <c r="N4" s="2486"/>
      <c r="O4" s="2486"/>
      <c r="P4" s="3382" t="s">
        <v>1672</v>
      </c>
      <c r="Q4" s="3383"/>
      <c r="R4" s="3364" t="s">
        <v>1668</v>
      </c>
      <c r="S4" s="3365"/>
      <c r="T4" s="3364" t="s">
        <v>1669</v>
      </c>
      <c r="U4" s="3365"/>
      <c r="V4" s="3361" t="s">
        <v>1670</v>
      </c>
      <c r="W4" s="3361"/>
      <c r="X4" s="1264"/>
      <c r="Y4" s="3364" t="s">
        <v>1672</v>
      </c>
      <c r="Z4" s="3365"/>
      <c r="AA4" s="3358" t="s">
        <v>1668</v>
      </c>
      <c r="AB4" s="3358" t="s">
        <v>1669</v>
      </c>
      <c r="AC4" s="3358" t="s">
        <v>1670</v>
      </c>
    </row>
    <row r="5" spans="1:29" ht="15">
      <c r="A5" s="348"/>
      <c r="B5" s="349"/>
      <c r="C5" s="3426" t="s">
        <v>1673</v>
      </c>
      <c r="D5" s="3371"/>
      <c r="E5" s="3425" t="s">
        <v>1674</v>
      </c>
      <c r="F5" s="3369"/>
      <c r="G5" s="3426" t="s">
        <v>1675</v>
      </c>
      <c r="H5" s="3371"/>
      <c r="I5" s="3426" t="s">
        <v>1676</v>
      </c>
      <c r="J5" s="3371"/>
      <c r="K5" s="1744"/>
      <c r="L5" s="2485"/>
      <c r="M5" s="2486"/>
      <c r="N5" s="2486"/>
      <c r="O5" s="2486"/>
      <c r="P5" s="3384"/>
      <c r="Q5" s="3385"/>
      <c r="R5" s="3366"/>
      <c r="S5" s="3367"/>
      <c r="T5" s="3366"/>
      <c r="U5" s="3367"/>
      <c r="V5" s="3361"/>
      <c r="W5" s="3361"/>
      <c r="X5" s="1264"/>
      <c r="Y5" s="3366"/>
      <c r="Z5" s="3367"/>
      <c r="AA5" s="3359"/>
      <c r="AB5" s="3359"/>
      <c r="AC5" s="3359"/>
    </row>
    <row r="6" spans="1:29" ht="15.75" thickBot="1">
      <c r="A6" s="350"/>
      <c r="B6" s="351"/>
      <c r="C6" s="3372" t="s">
        <v>1677</v>
      </c>
      <c r="D6" s="3373"/>
      <c r="E6" s="3375" t="s">
        <v>1677</v>
      </c>
      <c r="F6" s="3376"/>
      <c r="G6" s="3372" t="s">
        <v>1677</v>
      </c>
      <c r="H6" s="3373"/>
      <c r="I6" s="3372" t="s">
        <v>1677</v>
      </c>
      <c r="J6" s="3373"/>
      <c r="K6" s="1744" t="s">
        <v>1678</v>
      </c>
      <c r="L6" s="2485"/>
      <c r="M6" s="2486"/>
      <c r="N6" s="2486"/>
      <c r="O6" s="2486"/>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62" t="s">
        <v>1680</v>
      </c>
      <c r="Q7" s="3390"/>
      <c r="R7" s="663" t="s">
        <v>20</v>
      </c>
      <c r="S7" s="664">
        <f t="shared" ref="S7:S15" si="0">F7</f>
        <v>0</v>
      </c>
      <c r="T7" s="663" t="s">
        <v>20</v>
      </c>
      <c r="U7" s="664">
        <f t="shared" ref="U7:U15" si="1">H7</f>
        <v>0</v>
      </c>
      <c r="V7" s="663" t="s">
        <v>20</v>
      </c>
      <c r="W7" s="664">
        <f t="shared" ref="W7:W15" si="2">J7</f>
        <v>0</v>
      </c>
      <c r="X7" s="665"/>
      <c r="Y7" s="3362" t="s">
        <v>1680</v>
      </c>
      <c r="Z7" s="3363"/>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62" t="s">
        <v>1683</v>
      </c>
      <c r="Q8" s="3363"/>
      <c r="R8" s="663" t="s">
        <v>20</v>
      </c>
      <c r="S8" s="664">
        <f t="shared" si="0"/>
        <v>100</v>
      </c>
      <c r="T8" s="663" t="s">
        <v>20</v>
      </c>
      <c r="U8" s="664">
        <f t="shared" si="1"/>
        <v>100</v>
      </c>
      <c r="V8" s="663" t="s">
        <v>20</v>
      </c>
      <c r="W8" s="664">
        <f t="shared" si="2"/>
        <v>100</v>
      </c>
      <c r="X8" s="665"/>
      <c r="Y8" s="3362" t="s">
        <v>1683</v>
      </c>
      <c r="Z8" s="33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7"/>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7"/>
      <c r="Q11" s="530" t="str">
        <f t="shared" si="6"/>
        <v>容积率</v>
      </c>
      <c r="R11" s="663" t="s">
        <v>18</v>
      </c>
      <c r="S11" s="664" t="e">
        <f t="shared" si="0"/>
        <v>#N/A</v>
      </c>
      <c r="T11" s="663" t="s">
        <v>18</v>
      </c>
      <c r="U11" s="664" t="e">
        <f t="shared" si="1"/>
        <v>#N/A</v>
      </c>
      <c r="V11" s="663" t="s">
        <v>18</v>
      </c>
      <c r="W11" s="664" t="e">
        <f t="shared" si="2"/>
        <v>#N/A</v>
      </c>
      <c r="X11" s="665"/>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7"/>
      <c r="Q12" s="530">
        <f t="shared" si="6"/>
        <v>111</v>
      </c>
      <c r="R12" s="663" t="s">
        <v>18</v>
      </c>
      <c r="S12" s="664">
        <f t="shared" si="0"/>
        <v>100</v>
      </c>
      <c r="T12" s="663" t="s">
        <v>18</v>
      </c>
      <c r="U12" s="664">
        <f t="shared" si="1"/>
        <v>100</v>
      </c>
      <c r="V12" s="663" t="s">
        <v>18</v>
      </c>
      <c r="W12" s="664">
        <f t="shared" si="2"/>
        <v>100</v>
      </c>
      <c r="X12" s="665"/>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7"/>
      <c r="Q13" s="530">
        <f t="shared" si="6"/>
        <v>111</v>
      </c>
      <c r="R13" s="663" t="s">
        <v>18</v>
      </c>
      <c r="S13" s="664">
        <f t="shared" si="0"/>
        <v>100</v>
      </c>
      <c r="T13" s="663" t="s">
        <v>18</v>
      </c>
      <c r="U13" s="664">
        <f t="shared" si="1"/>
        <v>100</v>
      </c>
      <c r="V13" s="663" t="s">
        <v>18</v>
      </c>
      <c r="W13" s="664">
        <f t="shared" si="2"/>
        <v>100</v>
      </c>
      <c r="X13" s="665"/>
      <c r="Y13" s="332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7"/>
      <c r="Q14" s="530">
        <f t="shared" si="6"/>
        <v>111</v>
      </c>
      <c r="R14" s="663" t="s">
        <v>18</v>
      </c>
      <c r="S14" s="664">
        <f t="shared" si="0"/>
        <v>100</v>
      </c>
      <c r="T14" s="663" t="s">
        <v>18</v>
      </c>
      <c r="U14" s="664">
        <f t="shared" si="1"/>
        <v>100</v>
      </c>
      <c r="V14" s="663" t="s">
        <v>18</v>
      </c>
      <c r="W14" s="664">
        <f t="shared" si="2"/>
        <v>100</v>
      </c>
      <c r="X14" s="665"/>
      <c r="Y14" s="332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2" t="str">
        <f t="shared" si="6"/>
        <v>居住社区成熟度</v>
      </c>
      <c r="R15" s="666" t="s">
        <v>18</v>
      </c>
      <c r="S15" s="667">
        <f t="shared" si="0"/>
        <v>100</v>
      </c>
      <c r="T15" s="666" t="s">
        <v>18</v>
      </c>
      <c r="U15" s="667">
        <f t="shared" si="1"/>
        <v>100</v>
      </c>
      <c r="V15" s="666" t="s">
        <v>18</v>
      </c>
      <c r="W15" s="667">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92"/>
      <c r="Q16" s="1262"/>
      <c r="R16" s="666"/>
      <c r="S16" s="667"/>
      <c r="T16" s="666"/>
      <c r="U16" s="667"/>
      <c r="V16" s="666"/>
      <c r="W16" s="667"/>
      <c r="X16" s="1264"/>
      <c r="Y16" s="3394"/>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2" t="str">
        <f>B17</f>
        <v>交通便捷度</v>
      </c>
      <c r="R17" s="666" t="s">
        <v>18</v>
      </c>
      <c r="S17" s="667">
        <f>F17</f>
        <v>100</v>
      </c>
      <c r="T17" s="666" t="s">
        <v>18</v>
      </c>
      <c r="U17" s="667">
        <f>H17</f>
        <v>100</v>
      </c>
      <c r="V17" s="666" t="s">
        <v>18</v>
      </c>
      <c r="W17" s="667">
        <f>J17</f>
        <v>100</v>
      </c>
      <c r="X17" s="1264"/>
      <c r="Y17" s="339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92"/>
      <c r="Q18" s="1262"/>
      <c r="R18" s="666"/>
      <c r="S18" s="667"/>
      <c r="T18" s="666"/>
      <c r="U18" s="667"/>
      <c r="V18" s="666"/>
      <c r="W18" s="667"/>
      <c r="X18" s="1264"/>
      <c r="Y18" s="3394"/>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2" t="str">
        <f>B19</f>
        <v>公共配套设施</v>
      </c>
      <c r="R19" s="666" t="s">
        <v>18</v>
      </c>
      <c r="S19" s="667">
        <f>F19</f>
        <v>100</v>
      </c>
      <c r="T19" s="666" t="s">
        <v>18</v>
      </c>
      <c r="U19" s="667">
        <f>H19</f>
        <v>100</v>
      </c>
      <c r="V19" s="666" t="s">
        <v>18</v>
      </c>
      <c r="W19" s="667">
        <f>J19</f>
        <v>100</v>
      </c>
      <c r="X19" s="1264"/>
      <c r="Y19" s="339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92"/>
      <c r="Q20" s="1262"/>
      <c r="R20" s="666"/>
      <c r="S20" s="667"/>
      <c r="T20" s="666"/>
      <c r="U20" s="667"/>
      <c r="V20" s="666"/>
      <c r="W20" s="667"/>
      <c r="X20" s="1264"/>
      <c r="Y20" s="3394"/>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392"/>
      <c r="Q22" s="1262"/>
      <c r="R22" s="666"/>
      <c r="S22" s="667"/>
      <c r="T22" s="666"/>
      <c r="U22" s="667"/>
      <c r="V22" s="666"/>
      <c r="W22" s="667"/>
      <c r="X22" s="1264"/>
      <c r="Y22" s="3394"/>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2" t="str">
        <f>B23</f>
        <v>自然及人文环境</v>
      </c>
      <c r="R23" s="666" t="s">
        <v>18</v>
      </c>
      <c r="S23" s="667">
        <f>F23</f>
        <v>100</v>
      </c>
      <c r="T23" s="666" t="s">
        <v>18</v>
      </c>
      <c r="U23" s="667">
        <f>H23</f>
        <v>100</v>
      </c>
      <c r="V23" s="666" t="s">
        <v>18</v>
      </c>
      <c r="W23" s="667">
        <f>J23</f>
        <v>100</v>
      </c>
      <c r="X23" s="1264"/>
      <c r="Y23" s="339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92"/>
      <c r="Q24" s="1262"/>
      <c r="R24" s="666"/>
      <c r="S24" s="667"/>
      <c r="T24" s="666"/>
      <c r="U24" s="667"/>
      <c r="V24" s="666"/>
      <c r="W24" s="667"/>
      <c r="X24" s="1264"/>
      <c r="Y24" s="339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9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92"/>
      <c r="Q26" s="1262" t="str">
        <f t="shared" si="11"/>
        <v>朝向</v>
      </c>
      <c r="R26" s="666" t="s">
        <v>18</v>
      </c>
      <c r="S26" s="667">
        <f t="shared" si="12"/>
        <v>100</v>
      </c>
      <c r="T26" s="666" t="s">
        <v>18</v>
      </c>
      <c r="U26" s="667">
        <f t="shared" si="13"/>
        <v>100</v>
      </c>
      <c r="V26" s="666" t="s">
        <v>18</v>
      </c>
      <c r="W26" s="667">
        <f t="shared" si="14"/>
        <v>100</v>
      </c>
      <c r="X26" s="1264"/>
      <c r="Y26" s="339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92"/>
      <c r="Q27" s="530">
        <f t="shared" si="11"/>
        <v>111</v>
      </c>
      <c r="R27" s="663" t="s">
        <v>18</v>
      </c>
      <c r="S27" s="664">
        <f t="shared" si="12"/>
        <v>100</v>
      </c>
      <c r="T27" s="663" t="s">
        <v>18</v>
      </c>
      <c r="U27" s="664">
        <f t="shared" si="13"/>
        <v>100</v>
      </c>
      <c r="V27" s="663" t="s">
        <v>18</v>
      </c>
      <c r="W27" s="664">
        <f t="shared" si="14"/>
        <v>100</v>
      </c>
      <c r="X27" s="665"/>
      <c r="Y27" s="339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92"/>
      <c r="Q28" s="1262">
        <f t="shared" si="11"/>
        <v>111</v>
      </c>
      <c r="R28" s="666" t="s">
        <v>18</v>
      </c>
      <c r="S28" s="667">
        <f t="shared" si="12"/>
        <v>100</v>
      </c>
      <c r="T28" s="666" t="s">
        <v>18</v>
      </c>
      <c r="U28" s="667">
        <f t="shared" si="13"/>
        <v>100</v>
      </c>
      <c r="V28" s="666" t="s">
        <v>18</v>
      </c>
      <c r="W28" s="667">
        <f t="shared" si="14"/>
        <v>100</v>
      </c>
      <c r="X28" s="1264"/>
      <c r="Y28" s="339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92"/>
      <c r="Q29" s="1262">
        <f t="shared" si="11"/>
        <v>111</v>
      </c>
      <c r="R29" s="666" t="s">
        <v>18</v>
      </c>
      <c r="S29" s="667">
        <f t="shared" si="12"/>
        <v>100</v>
      </c>
      <c r="T29" s="666" t="s">
        <v>18</v>
      </c>
      <c r="U29" s="667">
        <f t="shared" si="13"/>
        <v>100</v>
      </c>
      <c r="V29" s="666" t="s">
        <v>18</v>
      </c>
      <c r="W29" s="667">
        <f t="shared" si="14"/>
        <v>100</v>
      </c>
      <c r="X29" s="1264"/>
      <c r="Y29" s="339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92"/>
      <c r="Q30" s="1262">
        <f t="shared" si="11"/>
        <v>111</v>
      </c>
      <c r="R30" s="666" t="s">
        <v>18</v>
      </c>
      <c r="S30" s="667">
        <f t="shared" si="12"/>
        <v>100</v>
      </c>
      <c r="T30" s="666" t="s">
        <v>18</v>
      </c>
      <c r="U30" s="667">
        <f t="shared" si="13"/>
        <v>100</v>
      </c>
      <c r="V30" s="666" t="s">
        <v>18</v>
      </c>
      <c r="W30" s="667">
        <f t="shared" si="14"/>
        <v>100</v>
      </c>
      <c r="X30" s="1264"/>
      <c r="Y30" s="339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92"/>
      <c r="Q31" s="1262">
        <f t="shared" si="11"/>
        <v>111</v>
      </c>
      <c r="R31" s="666" t="s">
        <v>18</v>
      </c>
      <c r="S31" s="667">
        <f t="shared" si="12"/>
        <v>100</v>
      </c>
      <c r="T31" s="666" t="s">
        <v>18</v>
      </c>
      <c r="U31" s="667">
        <f t="shared" si="13"/>
        <v>100</v>
      </c>
      <c r="V31" s="666" t="s">
        <v>18</v>
      </c>
      <c r="W31" s="667">
        <f t="shared" si="14"/>
        <v>100</v>
      </c>
      <c r="X31" s="1264"/>
      <c r="Y31" s="339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95" t="s">
        <v>1696</v>
      </c>
      <c r="Q32" s="1262" t="str">
        <f t="shared" si="11"/>
        <v>建筑类型</v>
      </c>
      <c r="R32" s="666" t="s">
        <v>18</v>
      </c>
      <c r="S32" s="667">
        <f t="shared" si="12"/>
        <v>100</v>
      </c>
      <c r="T32" s="666" t="s">
        <v>18</v>
      </c>
      <c r="U32" s="667">
        <f t="shared" si="13"/>
        <v>100</v>
      </c>
      <c r="V32" s="666" t="s">
        <v>18</v>
      </c>
      <c r="W32" s="667">
        <f t="shared" si="14"/>
        <v>100</v>
      </c>
      <c r="X32" s="1264"/>
      <c r="Y32" s="339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96"/>
      <c r="Q33" s="531" t="str">
        <f t="shared" si="11"/>
        <v>项目建筑规模</v>
      </c>
      <c r="R33" s="668" t="s">
        <v>18</v>
      </c>
      <c r="S33" s="669" t="e">
        <f t="shared" si="12"/>
        <v>#N/A</v>
      </c>
      <c r="T33" s="668" t="s">
        <v>18</v>
      </c>
      <c r="U33" s="669" t="e">
        <f t="shared" si="13"/>
        <v>#N/A</v>
      </c>
      <c r="V33" s="668" t="s">
        <v>18</v>
      </c>
      <c r="W33" s="669" t="e">
        <f t="shared" si="14"/>
        <v>#N/A</v>
      </c>
      <c r="X33" s="670"/>
      <c r="Y33" s="3398"/>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96"/>
      <c r="Q34" s="1262" t="str">
        <f t="shared" si="11"/>
        <v>建筑结构</v>
      </c>
      <c r="R34" s="666" t="s">
        <v>18</v>
      </c>
      <c r="S34" s="667">
        <f t="shared" si="12"/>
        <v>100</v>
      </c>
      <c r="T34" s="666" t="s">
        <v>18</v>
      </c>
      <c r="U34" s="667">
        <f t="shared" si="13"/>
        <v>100</v>
      </c>
      <c r="V34" s="666" t="s">
        <v>18</v>
      </c>
      <c r="W34" s="667">
        <f t="shared" si="14"/>
        <v>100</v>
      </c>
      <c r="X34" s="1264"/>
      <c r="Y34" s="339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96"/>
      <c r="Q35" s="1262" t="str">
        <f t="shared" si="11"/>
        <v>建筑品质</v>
      </c>
      <c r="R35" s="666" t="s">
        <v>18</v>
      </c>
      <c r="S35" s="667">
        <f t="shared" si="12"/>
        <v>100</v>
      </c>
      <c r="T35" s="666" t="s">
        <v>18</v>
      </c>
      <c r="U35" s="667">
        <f t="shared" si="13"/>
        <v>100</v>
      </c>
      <c r="V35" s="666" t="s">
        <v>18</v>
      </c>
      <c r="W35" s="667">
        <f t="shared" si="14"/>
        <v>100</v>
      </c>
      <c r="X35" s="1264"/>
      <c r="Y35" s="339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96"/>
      <c r="Q36" s="1262" t="str">
        <f t="shared" si="11"/>
        <v>公共部分装修</v>
      </c>
      <c r="R36" s="666" t="s">
        <v>18</v>
      </c>
      <c r="S36" s="667">
        <f t="shared" si="12"/>
        <v>100</v>
      </c>
      <c r="T36" s="666" t="s">
        <v>18</v>
      </c>
      <c r="U36" s="667">
        <f t="shared" si="13"/>
        <v>100</v>
      </c>
      <c r="V36" s="666" t="s">
        <v>18</v>
      </c>
      <c r="W36" s="667">
        <f t="shared" si="14"/>
        <v>100</v>
      </c>
      <c r="X36" s="1264"/>
      <c r="Y36" s="339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6"/>
      <c r="Q37" s="530" t="str">
        <f t="shared" si="11"/>
        <v>成新度</v>
      </c>
      <c r="R37" s="663" t="s">
        <v>18</v>
      </c>
      <c r="S37" s="664" t="e">
        <f t="shared" si="12"/>
        <v>#N/A</v>
      </c>
      <c r="T37" s="663" t="s">
        <v>18</v>
      </c>
      <c r="U37" s="664" t="e">
        <f t="shared" si="13"/>
        <v>#N/A</v>
      </c>
      <c r="V37" s="663" t="s">
        <v>18</v>
      </c>
      <c r="W37" s="664" t="e">
        <f t="shared" si="14"/>
        <v>#N/A</v>
      </c>
      <c r="X37" s="665"/>
      <c r="Y37" s="339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96" t="s">
        <v>1696</v>
      </c>
      <c r="Q38" s="1262" t="str">
        <f t="shared" si="11"/>
        <v>物业管理</v>
      </c>
      <c r="R38" s="666" t="s">
        <v>18</v>
      </c>
      <c r="S38" s="667">
        <f t="shared" si="12"/>
        <v>100</v>
      </c>
      <c r="T38" s="666" t="s">
        <v>18</v>
      </c>
      <c r="U38" s="667">
        <f t="shared" si="13"/>
        <v>100</v>
      </c>
      <c r="V38" s="666" t="s">
        <v>18</v>
      </c>
      <c r="W38" s="667">
        <f t="shared" si="14"/>
        <v>100</v>
      </c>
      <c r="X38" s="1264"/>
      <c r="Y38" s="339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96"/>
      <c r="Q39" s="1262" t="str">
        <f t="shared" si="11"/>
        <v>市政基础设施</v>
      </c>
      <c r="R39" s="666" t="s">
        <v>18</v>
      </c>
      <c r="S39" s="667">
        <f t="shared" si="12"/>
        <v>100</v>
      </c>
      <c r="T39" s="666" t="s">
        <v>18</v>
      </c>
      <c r="U39" s="667">
        <f t="shared" si="13"/>
        <v>100</v>
      </c>
      <c r="V39" s="666" t="s">
        <v>18</v>
      </c>
      <c r="W39" s="667">
        <f t="shared" si="14"/>
        <v>100</v>
      </c>
      <c r="X39" s="1264"/>
      <c r="Y39" s="339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96"/>
      <c r="Q40" s="1262" t="str">
        <f t="shared" si="11"/>
        <v>房型</v>
      </c>
      <c r="R40" s="666" t="s">
        <v>18</v>
      </c>
      <c r="S40" s="667">
        <f t="shared" si="12"/>
        <v>100</v>
      </c>
      <c r="T40" s="666" t="s">
        <v>18</v>
      </c>
      <c r="U40" s="667">
        <f t="shared" si="13"/>
        <v>100</v>
      </c>
      <c r="V40" s="666" t="s">
        <v>18</v>
      </c>
      <c r="W40" s="667">
        <f t="shared" si="14"/>
        <v>100</v>
      </c>
      <c r="X40" s="1264"/>
      <c r="Y40" s="339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96"/>
      <c r="Q41" s="531" t="str">
        <f t="shared" si="11"/>
        <v>单套/主力户型建筑面积</v>
      </c>
      <c r="R41" s="668" t="s">
        <v>18</v>
      </c>
      <c r="S41" s="669">
        <f t="shared" si="12"/>
        <v>100</v>
      </c>
      <c r="T41" s="668" t="s">
        <v>18</v>
      </c>
      <c r="U41" s="669">
        <f t="shared" si="13"/>
        <v>100</v>
      </c>
      <c r="V41" s="668" t="s">
        <v>18</v>
      </c>
      <c r="W41" s="669">
        <f t="shared" si="14"/>
        <v>100</v>
      </c>
      <c r="X41" s="670"/>
      <c r="Y41" s="3398"/>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96"/>
      <c r="Q42" s="1262" t="str">
        <f t="shared" si="11"/>
        <v>内部装修</v>
      </c>
      <c r="R42" s="666" t="s">
        <v>18</v>
      </c>
      <c r="S42" s="667">
        <f t="shared" si="12"/>
        <v>100</v>
      </c>
      <c r="T42" s="666" t="s">
        <v>18</v>
      </c>
      <c r="U42" s="667">
        <f t="shared" si="13"/>
        <v>100</v>
      </c>
      <c r="V42" s="666" t="s">
        <v>18</v>
      </c>
      <c r="W42" s="667">
        <f t="shared" si="14"/>
        <v>100</v>
      </c>
      <c r="X42" s="1264"/>
      <c r="Y42" s="339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96"/>
      <c r="Q43" s="1262" t="str">
        <f t="shared" si="11"/>
        <v>内部装修维护情况</v>
      </c>
      <c r="R43" s="666" t="s">
        <v>18</v>
      </c>
      <c r="S43" s="667">
        <f t="shared" si="12"/>
        <v>100</v>
      </c>
      <c r="T43" s="666" t="s">
        <v>18</v>
      </c>
      <c r="U43" s="667">
        <f t="shared" si="13"/>
        <v>100</v>
      </c>
      <c r="V43" s="666" t="s">
        <v>18</v>
      </c>
      <c r="W43" s="667">
        <f t="shared" si="14"/>
        <v>100</v>
      </c>
      <c r="X43" s="1264"/>
      <c r="Y43" s="339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96"/>
      <c r="Q44" s="530">
        <f t="shared" si="11"/>
        <v>111</v>
      </c>
      <c r="R44" s="663" t="s">
        <v>18</v>
      </c>
      <c r="S44" s="664">
        <f t="shared" si="12"/>
        <v>100</v>
      </c>
      <c r="T44" s="663" t="s">
        <v>18</v>
      </c>
      <c r="U44" s="664">
        <f t="shared" si="13"/>
        <v>100</v>
      </c>
      <c r="V44" s="663" t="s">
        <v>18</v>
      </c>
      <c r="W44" s="664">
        <f t="shared" si="14"/>
        <v>100</v>
      </c>
      <c r="X44" s="665"/>
      <c r="Y44" s="339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96"/>
      <c r="Q45" s="1262">
        <f t="shared" si="11"/>
        <v>111</v>
      </c>
      <c r="R45" s="666" t="s">
        <v>18</v>
      </c>
      <c r="S45" s="667">
        <f t="shared" si="12"/>
        <v>100</v>
      </c>
      <c r="T45" s="666" t="s">
        <v>18</v>
      </c>
      <c r="U45" s="667">
        <f t="shared" si="13"/>
        <v>100</v>
      </c>
      <c r="V45" s="666" t="s">
        <v>18</v>
      </c>
      <c r="W45" s="667">
        <f t="shared" si="14"/>
        <v>100</v>
      </c>
      <c r="X45" s="1264"/>
      <c r="Y45" s="339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97"/>
      <c r="Q46" s="1262">
        <f t="shared" si="11"/>
        <v>111</v>
      </c>
      <c r="R46" s="666" t="s">
        <v>17</v>
      </c>
      <c r="S46" s="667">
        <f t="shared" si="12"/>
        <v>100</v>
      </c>
      <c r="T46" s="666" t="s">
        <v>17</v>
      </c>
      <c r="U46" s="667">
        <f t="shared" si="13"/>
        <v>100</v>
      </c>
      <c r="V46" s="666" t="s">
        <v>17</v>
      </c>
      <c r="W46" s="667">
        <f t="shared" si="14"/>
        <v>100</v>
      </c>
      <c r="X46" s="1264"/>
      <c r="Y46" s="3399"/>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400" t="str">
        <f>A47</f>
        <v>成交单价（元/平方米）</v>
      </c>
      <c r="Q47" s="3400"/>
      <c r="R47" s="3361">
        <f>E47</f>
        <v>0</v>
      </c>
      <c r="S47" s="3361"/>
      <c r="T47" s="3361">
        <f>G47</f>
        <v>0</v>
      </c>
      <c r="U47" s="3361"/>
      <c r="V47" s="3361">
        <f>I47</f>
        <v>0</v>
      </c>
      <c r="W47" s="3361"/>
      <c r="X47" s="385"/>
      <c r="Y47" s="672"/>
      <c r="Z47" s="385"/>
      <c r="AA47" s="385"/>
      <c r="AB47" s="385"/>
      <c r="AC47" s="385"/>
    </row>
    <row r="48" spans="1:29" ht="15.75" thickBot="1">
      <c r="A48" s="423" t="s">
        <v>1709</v>
      </c>
      <c r="B48" s="424"/>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00" t="str">
        <f>A48</f>
        <v>比较价值（元/平方米）</v>
      </c>
      <c r="Q48" s="340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119.31</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433" t="s">
        <v>1775</v>
      </c>
      <c r="Q4" s="3434"/>
      <c r="R4" s="3428" t="s">
        <v>1771</v>
      </c>
      <c r="S4" s="3429"/>
      <c r="T4" s="3428" t="s">
        <v>1772</v>
      </c>
      <c r="U4" s="3429"/>
      <c r="V4" s="3437" t="s">
        <v>1773</v>
      </c>
      <c r="W4" s="3437"/>
      <c r="X4" s="1808"/>
      <c r="Y4" s="3428" t="s">
        <v>1775</v>
      </c>
      <c r="Z4" s="3429"/>
      <c r="AA4" s="3427" t="s">
        <v>1771</v>
      </c>
      <c r="AB4" s="3427" t="s">
        <v>1772</v>
      </c>
      <c r="AC4" s="3430" t="s">
        <v>1773</v>
      </c>
    </row>
    <row r="5" spans="1:29" ht="15">
      <c r="A5" s="348"/>
      <c r="B5" s="349"/>
      <c r="C5" s="3426" t="s">
        <v>1673</v>
      </c>
      <c r="D5" s="3371"/>
      <c r="E5" s="3425" t="s">
        <v>1674</v>
      </c>
      <c r="F5" s="3369"/>
      <c r="G5" s="3426" t="s">
        <v>1675</v>
      </c>
      <c r="H5" s="3371"/>
      <c r="I5" s="3426" t="s">
        <v>1676</v>
      </c>
      <c r="J5" s="3371"/>
      <c r="K5" s="537"/>
      <c r="L5" s="2485"/>
      <c r="M5" s="2486"/>
      <c r="N5" s="2486"/>
      <c r="O5" s="2486"/>
      <c r="P5" s="3435"/>
      <c r="Q5" s="3385"/>
      <c r="R5" s="3366"/>
      <c r="S5" s="3367"/>
      <c r="T5" s="3366"/>
      <c r="U5" s="3367"/>
      <c r="V5" s="3361"/>
      <c r="W5" s="3361"/>
      <c r="X5" s="1264"/>
      <c r="Y5" s="3366"/>
      <c r="Z5" s="3367"/>
      <c r="AA5" s="3359"/>
      <c r="AB5" s="3359"/>
      <c r="AC5" s="3431"/>
    </row>
    <row r="6" spans="1:29" ht="15.75" thickBot="1">
      <c r="A6" s="350"/>
      <c r="B6" s="351"/>
      <c r="C6" s="3372" t="s">
        <v>1677</v>
      </c>
      <c r="D6" s="3373"/>
      <c r="E6" s="3375" t="s">
        <v>1677</v>
      </c>
      <c r="F6" s="3376"/>
      <c r="G6" s="3372" t="s">
        <v>1677</v>
      </c>
      <c r="H6" s="3373"/>
      <c r="I6" s="3372" t="s">
        <v>1677</v>
      </c>
      <c r="J6" s="3373"/>
      <c r="K6" s="537" t="s">
        <v>1678</v>
      </c>
      <c r="L6" s="2485"/>
      <c r="M6" s="2486"/>
      <c r="N6" s="2486"/>
      <c r="O6" s="2486"/>
      <c r="P6" s="3436"/>
      <c r="Q6" s="3387"/>
      <c r="R6" s="3366"/>
      <c r="S6" s="3367"/>
      <c r="T6" s="3388"/>
      <c r="U6" s="3389"/>
      <c r="V6" s="3361"/>
      <c r="W6" s="3361"/>
      <c r="X6" s="1264"/>
      <c r="Y6" s="3388"/>
      <c r="Z6" s="3389"/>
      <c r="AA6" s="3360"/>
      <c r="AB6" s="3360"/>
      <c r="AC6" s="3432"/>
    </row>
    <row r="7" spans="1:29" s="102" customFormat="1" ht="15.75" thickBot="1">
      <c r="A7" s="352" t="s">
        <v>1679</v>
      </c>
      <c r="B7" s="353"/>
      <c r="C7" s="354">
        <f>'数据-取费表'!B2</f>
        <v>45611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8" t="s">
        <v>1680</v>
      </c>
      <c r="Q7" s="3390"/>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8" t="s">
        <v>1683</v>
      </c>
      <c r="Q8" s="3363"/>
      <c r="R8" s="663" t="s">
        <v>14</v>
      </c>
      <c r="S8" s="664">
        <f t="shared" si="0"/>
        <v>100</v>
      </c>
      <c r="T8" s="663" t="s">
        <v>14</v>
      </c>
      <c r="U8" s="664">
        <f t="shared" si="1"/>
        <v>100</v>
      </c>
      <c r="V8" s="663" t="s">
        <v>14</v>
      </c>
      <c r="W8" s="664">
        <f t="shared" si="2"/>
        <v>100</v>
      </c>
      <c r="X8" s="665"/>
      <c r="Y8" s="3362" t="s">
        <v>1683</v>
      </c>
      <c r="Z8" s="336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7"/>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7"/>
      <c r="Q11" s="530"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7"/>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7"/>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77"/>
      <c r="Q14" s="530">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2" t="str">
        <f t="shared" si="6"/>
        <v>办公集聚程度</v>
      </c>
      <c r="R15" s="666" t="s">
        <v>14</v>
      </c>
      <c r="S15" s="667">
        <f t="shared" si="0"/>
        <v>100</v>
      </c>
      <c r="T15" s="666" t="s">
        <v>14</v>
      </c>
      <c r="U15" s="667">
        <f t="shared" si="1"/>
        <v>100</v>
      </c>
      <c r="V15" s="666" t="s">
        <v>14</v>
      </c>
      <c r="W15" s="667">
        <f t="shared" si="2"/>
        <v>100</v>
      </c>
      <c r="X15" s="1264"/>
      <c r="Y15" s="339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392"/>
      <c r="Q16" s="1262"/>
      <c r="R16" s="666"/>
      <c r="S16" s="667"/>
      <c r="T16" s="666"/>
      <c r="U16" s="667"/>
      <c r="V16" s="666"/>
      <c r="W16" s="667"/>
      <c r="X16" s="1264"/>
      <c r="Y16" s="3394"/>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92"/>
      <c r="Q18" s="1262"/>
      <c r="R18" s="666"/>
      <c r="S18" s="667"/>
      <c r="T18" s="666"/>
      <c r="U18" s="667"/>
      <c r="V18" s="666"/>
      <c r="W18" s="667"/>
      <c r="X18" s="1264"/>
      <c r="Y18" s="3394"/>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92"/>
      <c r="Q20" s="1262"/>
      <c r="R20" s="666"/>
      <c r="S20" s="667"/>
      <c r="T20" s="666"/>
      <c r="U20" s="667"/>
      <c r="V20" s="666"/>
      <c r="W20" s="667"/>
      <c r="X20" s="1264"/>
      <c r="Y20" s="3394"/>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1"/>
      <c r="M22" s="2486"/>
      <c r="N22" s="2486"/>
      <c r="O22" s="2486"/>
      <c r="P22" s="3392"/>
      <c r="Q22" s="1262"/>
      <c r="R22" s="666"/>
      <c r="S22" s="667"/>
      <c r="T22" s="666"/>
      <c r="U22" s="667"/>
      <c r="V22" s="666"/>
      <c r="W22" s="667"/>
      <c r="X22" s="1264"/>
      <c r="Y22" s="3394"/>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392"/>
      <c r="Q24" s="1262"/>
      <c r="R24" s="666"/>
      <c r="S24" s="667"/>
      <c r="T24" s="666"/>
      <c r="U24" s="667"/>
      <c r="V24" s="666"/>
      <c r="W24" s="667"/>
      <c r="X24" s="1264"/>
      <c r="Y24" s="339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92"/>
      <c r="Q25" s="1262" t="str">
        <f>B25</f>
        <v>毗邻道路的类型与等级</v>
      </c>
      <c r="R25" s="666" t="s">
        <v>14</v>
      </c>
      <c r="S25" s="667">
        <f>F25</f>
        <v>100</v>
      </c>
      <c r="T25" s="666" t="s">
        <v>14</v>
      </c>
      <c r="U25" s="667">
        <f>H25</f>
        <v>100</v>
      </c>
      <c r="V25" s="666" t="s">
        <v>14</v>
      </c>
      <c r="W25" s="667">
        <f>J25</f>
        <v>100</v>
      </c>
      <c r="X25" s="1264"/>
      <c r="Y25" s="339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392"/>
      <c r="Q26" s="1262"/>
      <c r="R26" s="666"/>
      <c r="S26" s="667"/>
      <c r="T26" s="666"/>
      <c r="U26" s="667"/>
      <c r="V26" s="666"/>
      <c r="W26" s="667"/>
      <c r="X26" s="1264"/>
      <c r="Y26" s="339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2" t="str">
        <f t="shared" ref="Q27:Q47" si="11">B27</f>
        <v>楼层</v>
      </c>
      <c r="R27" s="666" t="s">
        <v>14</v>
      </c>
      <c r="S27" s="667">
        <f>F27</f>
        <v>100</v>
      </c>
      <c r="T27" s="666" t="s">
        <v>14</v>
      </c>
      <c r="U27" s="667">
        <f>H27</f>
        <v>100</v>
      </c>
      <c r="V27" s="666" t="s">
        <v>14</v>
      </c>
      <c r="W27" s="667">
        <f>J27</f>
        <v>100</v>
      </c>
      <c r="X27" s="1264"/>
      <c r="Y27" s="339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92"/>
      <c r="Q28" s="530" t="str">
        <f t="shared" si="11"/>
        <v>朝向</v>
      </c>
      <c r="R28" s="663" t="s">
        <v>14</v>
      </c>
      <c r="S28" s="664">
        <f>F28</f>
        <v>100</v>
      </c>
      <c r="T28" s="663" t="s">
        <v>14</v>
      </c>
      <c r="U28" s="664">
        <f>H28</f>
        <v>100</v>
      </c>
      <c r="V28" s="663" t="s">
        <v>14</v>
      </c>
      <c r="W28" s="664">
        <f>J28</f>
        <v>100</v>
      </c>
      <c r="X28" s="665"/>
      <c r="Y28" s="339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92"/>
      <c r="Q29" s="1262">
        <f t="shared" si="11"/>
        <v>111</v>
      </c>
      <c r="R29" s="666" t="s">
        <v>14</v>
      </c>
      <c r="S29" s="667">
        <f t="shared" ref="S29:S47" si="12">F29</f>
        <v>100</v>
      </c>
      <c r="T29" s="666" t="s">
        <v>14</v>
      </c>
      <c r="U29" s="667">
        <f t="shared" ref="U29:U47" si="13">H29</f>
        <v>100</v>
      </c>
      <c r="V29" s="666" t="s">
        <v>14</v>
      </c>
      <c r="W29" s="667">
        <f t="shared" ref="W29:W47" si="14">J29</f>
        <v>100</v>
      </c>
      <c r="X29" s="1264"/>
      <c r="Y29" s="339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92"/>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92"/>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92"/>
      <c r="Q32" s="1262">
        <f t="shared" si="11"/>
        <v>111</v>
      </c>
      <c r="R32" s="666" t="s">
        <v>14</v>
      </c>
      <c r="S32" s="667">
        <f t="shared" si="12"/>
        <v>100</v>
      </c>
      <c r="T32" s="666" t="s">
        <v>14</v>
      </c>
      <c r="U32" s="667">
        <f t="shared" si="13"/>
        <v>100</v>
      </c>
      <c r="V32" s="666" t="s">
        <v>14</v>
      </c>
      <c r="W32" s="667">
        <f t="shared" si="14"/>
        <v>100</v>
      </c>
      <c r="X32" s="1264"/>
      <c r="Y32" s="339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95" t="s">
        <v>1696</v>
      </c>
      <c r="Q33" s="1262" t="str">
        <f t="shared" si="11"/>
        <v>建筑类型</v>
      </c>
      <c r="R33" s="666" t="s">
        <v>14</v>
      </c>
      <c r="S33" s="667">
        <f t="shared" si="12"/>
        <v>100</v>
      </c>
      <c r="T33" s="666" t="s">
        <v>14</v>
      </c>
      <c r="U33" s="667">
        <f t="shared" si="13"/>
        <v>100</v>
      </c>
      <c r="V33" s="666" t="s">
        <v>14</v>
      </c>
      <c r="W33" s="667">
        <f t="shared" si="14"/>
        <v>100</v>
      </c>
      <c r="X33" s="1264"/>
      <c r="Y33" s="339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6"/>
      <c r="Q34" s="531" t="str">
        <f t="shared" si="11"/>
        <v>项目建筑规模</v>
      </c>
      <c r="R34" s="668" t="s">
        <v>14</v>
      </c>
      <c r="S34" s="669" t="e">
        <f t="shared" si="12"/>
        <v>#N/A</v>
      </c>
      <c r="T34" s="668" t="s">
        <v>14</v>
      </c>
      <c r="U34" s="669" t="e">
        <f t="shared" si="13"/>
        <v>#N/A</v>
      </c>
      <c r="V34" s="668" t="s">
        <v>14</v>
      </c>
      <c r="W34" s="669" t="e">
        <f t="shared" si="14"/>
        <v>#N/A</v>
      </c>
      <c r="X34" s="670"/>
      <c r="Y34" s="3398"/>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6"/>
      <c r="Q35" s="1262" t="str">
        <f t="shared" si="11"/>
        <v>建筑结构</v>
      </c>
      <c r="R35" s="666" t="s">
        <v>14</v>
      </c>
      <c r="S35" s="667">
        <f t="shared" si="12"/>
        <v>100</v>
      </c>
      <c r="T35" s="666" t="s">
        <v>14</v>
      </c>
      <c r="U35" s="667">
        <f t="shared" si="13"/>
        <v>100</v>
      </c>
      <c r="V35" s="666" t="s">
        <v>14</v>
      </c>
      <c r="W35" s="667">
        <f t="shared" si="14"/>
        <v>100</v>
      </c>
      <c r="X35" s="1264"/>
      <c r="Y35" s="339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6"/>
      <c r="Q36" s="1262" t="str">
        <f t="shared" si="11"/>
        <v>公共部分装修</v>
      </c>
      <c r="R36" s="666" t="s">
        <v>14</v>
      </c>
      <c r="S36" s="667">
        <f t="shared" si="12"/>
        <v>100</v>
      </c>
      <c r="T36" s="666" t="s">
        <v>14</v>
      </c>
      <c r="U36" s="667">
        <f t="shared" si="13"/>
        <v>100</v>
      </c>
      <c r="V36" s="666" t="s">
        <v>14</v>
      </c>
      <c r="W36" s="667">
        <f t="shared" si="14"/>
        <v>100</v>
      </c>
      <c r="X36" s="1264"/>
      <c r="Y36" s="339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6"/>
      <c r="Q37" s="1262" t="str">
        <f t="shared" si="11"/>
        <v>成新度</v>
      </c>
      <c r="R37" s="666" t="s">
        <v>14</v>
      </c>
      <c r="S37" s="667" t="e">
        <f t="shared" si="12"/>
        <v>#N/A</v>
      </c>
      <c r="T37" s="666" t="s">
        <v>14</v>
      </c>
      <c r="U37" s="667" t="e">
        <f t="shared" si="13"/>
        <v>#N/A</v>
      </c>
      <c r="V37" s="666" t="s">
        <v>14</v>
      </c>
      <c r="W37" s="667" t="e">
        <f t="shared" si="14"/>
        <v>#N/A</v>
      </c>
      <c r="X37" s="1264"/>
      <c r="Y37" s="339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6"/>
      <c r="Q38" s="530" t="str">
        <f t="shared" si="11"/>
        <v>写字楼等级</v>
      </c>
      <c r="R38" s="663" t="s">
        <v>14</v>
      </c>
      <c r="S38" s="664">
        <f t="shared" si="12"/>
        <v>100</v>
      </c>
      <c r="T38" s="663" t="s">
        <v>14</v>
      </c>
      <c r="U38" s="664">
        <f t="shared" si="13"/>
        <v>100</v>
      </c>
      <c r="V38" s="663" t="s">
        <v>14</v>
      </c>
      <c r="W38" s="664">
        <f t="shared" si="14"/>
        <v>100</v>
      </c>
      <c r="X38" s="665"/>
      <c r="Y38" s="339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6" t="s">
        <v>1696</v>
      </c>
      <c r="Q39" s="1262" t="str">
        <f t="shared" si="11"/>
        <v>物业管理</v>
      </c>
      <c r="R39" s="666" t="s">
        <v>14</v>
      </c>
      <c r="S39" s="667">
        <f t="shared" si="12"/>
        <v>100</v>
      </c>
      <c r="T39" s="666" t="s">
        <v>14</v>
      </c>
      <c r="U39" s="667">
        <f t="shared" si="13"/>
        <v>100</v>
      </c>
      <c r="V39" s="666" t="s">
        <v>14</v>
      </c>
      <c r="W39" s="667">
        <f t="shared" si="14"/>
        <v>100</v>
      </c>
      <c r="X39" s="1264"/>
      <c r="Y39" s="339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6"/>
      <c r="Q40" s="1262" t="str">
        <f t="shared" si="11"/>
        <v>市政基础设施</v>
      </c>
      <c r="R40" s="666" t="s">
        <v>14</v>
      </c>
      <c r="S40" s="667">
        <f t="shared" si="12"/>
        <v>100</v>
      </c>
      <c r="T40" s="666" t="s">
        <v>14</v>
      </c>
      <c r="U40" s="667">
        <f t="shared" si="13"/>
        <v>100</v>
      </c>
      <c r="V40" s="666" t="s">
        <v>14</v>
      </c>
      <c r="W40" s="667">
        <f t="shared" si="14"/>
        <v>100</v>
      </c>
      <c r="X40" s="1264"/>
      <c r="Y40" s="339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6"/>
      <c r="Q41" s="1262" t="str">
        <f t="shared" si="11"/>
        <v>层高</v>
      </c>
      <c r="R41" s="666" t="s">
        <v>14</v>
      </c>
      <c r="S41" s="667">
        <f t="shared" si="12"/>
        <v>100</v>
      </c>
      <c r="T41" s="666" t="s">
        <v>14</v>
      </c>
      <c r="U41" s="667">
        <f t="shared" si="13"/>
        <v>100</v>
      </c>
      <c r="V41" s="666" t="s">
        <v>14</v>
      </c>
      <c r="W41" s="667">
        <f t="shared" si="14"/>
        <v>100</v>
      </c>
      <c r="X41" s="1264"/>
      <c r="Y41" s="339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6"/>
      <c r="Q42" s="531" t="str">
        <f t="shared" si="11"/>
        <v>单套建筑面积</v>
      </c>
      <c r="R42" s="668" t="s">
        <v>14</v>
      </c>
      <c r="S42" s="669">
        <f t="shared" si="12"/>
        <v>100</v>
      </c>
      <c r="T42" s="668" t="s">
        <v>14</v>
      </c>
      <c r="U42" s="669">
        <f t="shared" si="13"/>
        <v>100</v>
      </c>
      <c r="V42" s="668" t="s">
        <v>14</v>
      </c>
      <c r="W42" s="669">
        <f t="shared" si="14"/>
        <v>100</v>
      </c>
      <c r="X42" s="670"/>
      <c r="Y42" s="3398"/>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6"/>
      <c r="Q43" s="1262" t="str">
        <f t="shared" si="11"/>
        <v>内部装修</v>
      </c>
      <c r="R43" s="666" t="s">
        <v>14</v>
      </c>
      <c r="S43" s="667">
        <f t="shared" si="12"/>
        <v>100</v>
      </c>
      <c r="T43" s="666" t="s">
        <v>14</v>
      </c>
      <c r="U43" s="667">
        <f t="shared" si="13"/>
        <v>100</v>
      </c>
      <c r="V43" s="666" t="s">
        <v>14</v>
      </c>
      <c r="W43" s="667">
        <f t="shared" si="14"/>
        <v>100</v>
      </c>
      <c r="X43" s="1264"/>
      <c r="Y43" s="339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96"/>
      <c r="Q44" s="1262" t="str">
        <f t="shared" si="11"/>
        <v>内部装修维护情况</v>
      </c>
      <c r="R44" s="666" t="s">
        <v>14</v>
      </c>
      <c r="S44" s="667">
        <f t="shared" si="12"/>
        <v>100</v>
      </c>
      <c r="T44" s="666" t="s">
        <v>14</v>
      </c>
      <c r="U44" s="667">
        <f t="shared" si="13"/>
        <v>100</v>
      </c>
      <c r="V44" s="666" t="s">
        <v>14</v>
      </c>
      <c r="W44" s="667">
        <f t="shared" si="14"/>
        <v>100</v>
      </c>
      <c r="X44" s="1264"/>
      <c r="Y44" s="339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6"/>
      <c r="Q45" s="530">
        <f t="shared" si="11"/>
        <v>111</v>
      </c>
      <c r="R45" s="663" t="s">
        <v>14</v>
      </c>
      <c r="S45" s="664">
        <f t="shared" si="12"/>
        <v>100</v>
      </c>
      <c r="T45" s="663" t="s">
        <v>14</v>
      </c>
      <c r="U45" s="664">
        <f t="shared" si="13"/>
        <v>100</v>
      </c>
      <c r="V45" s="663" t="s">
        <v>14</v>
      </c>
      <c r="W45" s="664">
        <f t="shared" si="14"/>
        <v>100</v>
      </c>
      <c r="X45" s="665"/>
      <c r="Y45" s="339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7"/>
      <c r="Q47" s="1262">
        <f t="shared" si="11"/>
        <v>111</v>
      </c>
      <c r="R47" s="666" t="s">
        <v>14</v>
      </c>
      <c r="S47" s="667">
        <f t="shared" si="12"/>
        <v>100</v>
      </c>
      <c r="T47" s="666" t="s">
        <v>14</v>
      </c>
      <c r="U47" s="667">
        <f t="shared" si="13"/>
        <v>100</v>
      </c>
      <c r="V47" s="666" t="s">
        <v>14</v>
      </c>
      <c r="W47" s="667">
        <f t="shared" si="14"/>
        <v>100</v>
      </c>
      <c r="X47" s="1264"/>
      <c r="Y47" s="3399"/>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3"/>
      <c r="M48" s="2486"/>
      <c r="N48" s="2486"/>
      <c r="O48" s="2486"/>
      <c r="P48" s="3377" t="str">
        <f>A48</f>
        <v>成交单价（元/平方米）</v>
      </c>
      <c r="Q48" s="3400"/>
      <c r="R48" s="3361">
        <f>E48</f>
        <v>0</v>
      </c>
      <c r="S48" s="3361"/>
      <c r="T48" s="3361">
        <f>G48</f>
        <v>0</v>
      </c>
      <c r="U48" s="3361"/>
      <c r="V48" s="3361">
        <f>I48</f>
        <v>0</v>
      </c>
      <c r="W48" s="3361"/>
      <c r="X48" s="385"/>
      <c r="Y48" s="672"/>
      <c r="Z48" s="385"/>
      <c r="AA48" s="385"/>
      <c r="AB48" s="385"/>
      <c r="AC48" s="555"/>
    </row>
    <row r="49" spans="1:29" ht="15.75" thickBot="1">
      <c r="A49" s="423" t="s">
        <v>1793</v>
      </c>
      <c r="B49" s="424"/>
      <c r="C49" s="1081" t="e">
        <f>R50</f>
        <v>#DIV/0!</v>
      </c>
      <c r="D49" s="2140" t="s">
        <v>2136</v>
      </c>
      <c r="E49" s="1082" t="e">
        <f>R49</f>
        <v>#DIV/0!</v>
      </c>
      <c r="F49" s="2141"/>
      <c r="G49" s="1081" t="e">
        <f>T49</f>
        <v>#DIV/0!</v>
      </c>
      <c r="H49" s="2141"/>
      <c r="I49" s="1082" t="e">
        <f>V49</f>
        <v>#DIV/0!</v>
      </c>
      <c r="J49" s="2141"/>
      <c r="K49" s="2143">
        <f>F49+H49+J49</f>
        <v>0</v>
      </c>
      <c r="L49" s="2493"/>
      <c r="M49" s="2486"/>
      <c r="N49" s="2486"/>
      <c r="O49" s="2486"/>
      <c r="P49" s="3377" t="str">
        <f>A49</f>
        <v>比较价值（元/平方米）</v>
      </c>
      <c r="Q49" s="3400"/>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3"/>
      <c r="M50" s="2486"/>
      <c r="N50" s="2486"/>
      <c r="O50" s="2486"/>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119.31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859"/>
      <c r="M4" s="860"/>
      <c r="N4" s="860"/>
      <c r="O4" s="860"/>
      <c r="P4" s="3382" t="s">
        <v>1775</v>
      </c>
      <c r="Q4" s="3383"/>
      <c r="R4" s="3364" t="s">
        <v>1771</v>
      </c>
      <c r="S4" s="3365"/>
      <c r="T4" s="3364" t="s">
        <v>1772</v>
      </c>
      <c r="U4" s="3365"/>
      <c r="V4" s="3361" t="s">
        <v>1773</v>
      </c>
      <c r="W4" s="3361"/>
      <c r="X4" s="1264"/>
      <c r="Y4" s="3364" t="s">
        <v>1775</v>
      </c>
      <c r="Z4" s="3365"/>
      <c r="AA4" s="3358" t="s">
        <v>1771</v>
      </c>
      <c r="AB4" s="3359" t="s">
        <v>1772</v>
      </c>
      <c r="AC4" s="3358" t="s">
        <v>1773</v>
      </c>
    </row>
    <row r="5" spans="1:29" ht="15">
      <c r="A5" s="348"/>
      <c r="B5" s="349"/>
      <c r="C5" s="3426" t="s">
        <v>1673</v>
      </c>
      <c r="D5" s="3371"/>
      <c r="E5" s="3425" t="s">
        <v>1674</v>
      </c>
      <c r="F5" s="3369"/>
      <c r="G5" s="3426" t="s">
        <v>1675</v>
      </c>
      <c r="H5" s="3371"/>
      <c r="I5" s="3426" t="s">
        <v>1676</v>
      </c>
      <c r="J5" s="3371"/>
      <c r="K5" s="537"/>
      <c r="L5" s="859"/>
      <c r="M5" s="860"/>
      <c r="N5" s="860"/>
      <c r="O5" s="860"/>
      <c r="P5" s="3384"/>
      <c r="Q5" s="3385"/>
      <c r="R5" s="3366"/>
      <c r="S5" s="3367"/>
      <c r="T5" s="3366"/>
      <c r="U5" s="3367"/>
      <c r="V5" s="3361"/>
      <c r="W5" s="3361"/>
      <c r="X5" s="1264"/>
      <c r="Y5" s="3366"/>
      <c r="Z5" s="3367"/>
      <c r="AA5" s="3359"/>
      <c r="AB5" s="3359"/>
      <c r="AC5" s="3359"/>
    </row>
    <row r="6" spans="1:29" ht="15.75" thickBot="1">
      <c r="A6" s="350"/>
      <c r="B6" s="351"/>
      <c r="C6" s="3372" t="s">
        <v>1677</v>
      </c>
      <c r="D6" s="3373"/>
      <c r="E6" s="3375" t="s">
        <v>1677</v>
      </c>
      <c r="F6" s="3376"/>
      <c r="G6" s="3372" t="s">
        <v>1677</v>
      </c>
      <c r="H6" s="3373"/>
      <c r="I6" s="3372" t="s">
        <v>1677</v>
      </c>
      <c r="J6" s="3373"/>
      <c r="K6" s="537" t="s">
        <v>1678</v>
      </c>
      <c r="L6" s="859"/>
      <c r="M6" s="860"/>
      <c r="N6" s="860"/>
      <c r="O6" s="860"/>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SUMIF(52:52,YEAR(E7)&amp;"-"&amp;MONTH(E7),53:53)</f>
        <v>0</v>
      </c>
      <c r="G7" s="356"/>
      <c r="H7" s="355">
        <f>SUMIF(52:52,YEAR(G7)&amp;"-"&amp;MONTH(G7),53:53)</f>
        <v>0</v>
      </c>
      <c r="I7" s="356"/>
      <c r="J7" s="355">
        <f>SUMIF(52:52,YEAR(I7)&amp;"-"&amp;MONTH(I7),53:53)</f>
        <v>0</v>
      </c>
      <c r="K7" s="38"/>
      <c r="L7" s="861"/>
      <c r="M7" s="862"/>
      <c r="N7" s="862"/>
      <c r="O7" s="862"/>
      <c r="P7" s="3362" t="s">
        <v>1680</v>
      </c>
      <c r="Q7" s="3390"/>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2" t="s">
        <v>1683</v>
      </c>
      <c r="Q8" s="3363"/>
      <c r="R8" s="663" t="s">
        <v>14</v>
      </c>
      <c r="S8" s="664">
        <f t="shared" si="0"/>
        <v>100</v>
      </c>
      <c r="T8" s="663" t="s">
        <v>14</v>
      </c>
      <c r="U8" s="664">
        <f t="shared" si="1"/>
        <v>100</v>
      </c>
      <c r="V8" s="663" t="s">
        <v>14</v>
      </c>
      <c r="W8" s="664">
        <f t="shared" si="2"/>
        <v>100</v>
      </c>
      <c r="X8" s="665"/>
      <c r="Y8" s="3362" t="s">
        <v>1683</v>
      </c>
      <c r="Z8" s="336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0"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00"/>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0"/>
      <c r="Q11" s="530" t="str">
        <f t="shared" si="6"/>
        <v>容积率</v>
      </c>
      <c r="R11" s="663" t="s">
        <v>14</v>
      </c>
      <c r="S11" s="664">
        <f t="shared" si="0"/>
        <v>100</v>
      </c>
      <c r="T11" s="663" t="s">
        <v>14</v>
      </c>
      <c r="U11" s="664">
        <f t="shared" si="1"/>
        <v>100</v>
      </c>
      <c r="V11" s="663" t="s">
        <v>14</v>
      </c>
      <c r="W11" s="664">
        <f t="shared" si="2"/>
        <v>100</v>
      </c>
      <c r="X11" s="665"/>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0"/>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0"/>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0"/>
      <c r="Q14" s="530">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4"/>
      <c r="Q16" s="1262"/>
      <c r="R16" s="666"/>
      <c r="S16" s="667"/>
      <c r="T16" s="666"/>
      <c r="U16" s="667"/>
      <c r="V16" s="666"/>
      <c r="W16" s="667"/>
      <c r="X16" s="1264"/>
      <c r="Y16" s="339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4"/>
      <c r="Q18" s="1262"/>
      <c r="R18" s="666"/>
      <c r="S18" s="667"/>
      <c r="T18" s="666"/>
      <c r="U18" s="667"/>
      <c r="V18" s="666"/>
      <c r="W18" s="667"/>
      <c r="X18" s="1264"/>
      <c r="Y18" s="339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4"/>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4"/>
      <c r="Q20" s="1262"/>
      <c r="R20" s="666"/>
      <c r="S20" s="667"/>
      <c r="T20" s="666"/>
      <c r="U20" s="667"/>
      <c r="V20" s="666"/>
      <c r="W20" s="667"/>
      <c r="X20" s="1264"/>
      <c r="Y20" s="339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4"/>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4"/>
      <c r="Q22" s="1262"/>
      <c r="R22" s="666"/>
      <c r="S22" s="667"/>
      <c r="T22" s="666"/>
      <c r="U22" s="667"/>
      <c r="V22" s="666"/>
      <c r="W22" s="667"/>
      <c r="X22" s="1264"/>
      <c r="Y22" s="339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4"/>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4"/>
      <c r="Q24" s="1262"/>
      <c r="R24" s="666"/>
      <c r="S24" s="667"/>
      <c r="T24" s="666"/>
      <c r="U24" s="667"/>
      <c r="V24" s="666"/>
      <c r="W24" s="667"/>
      <c r="X24" s="1264"/>
      <c r="Y24" s="339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4"/>
      <c r="Q25" s="1262">
        <f>B25</f>
        <v>111</v>
      </c>
      <c r="R25" s="666" t="s">
        <v>14</v>
      </c>
      <c r="S25" s="667">
        <f>F25</f>
        <v>100</v>
      </c>
      <c r="T25" s="666" t="s">
        <v>14</v>
      </c>
      <c r="U25" s="667">
        <f>H25</f>
        <v>100</v>
      </c>
      <c r="V25" s="666" t="s">
        <v>14</v>
      </c>
      <c r="W25" s="667">
        <f>J25</f>
        <v>100</v>
      </c>
      <c r="X25" s="1264"/>
      <c r="Y25" s="339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4"/>
      <c r="Q26" s="1262">
        <f t="shared" ref="Q26:Q40" si="11">B26</f>
        <v>111</v>
      </c>
      <c r="R26" s="666" t="s">
        <v>14</v>
      </c>
      <c r="S26" s="667">
        <f>F26</f>
        <v>100</v>
      </c>
      <c r="T26" s="666" t="s">
        <v>14</v>
      </c>
      <c r="U26" s="667">
        <f>H26</f>
        <v>100</v>
      </c>
      <c r="V26" s="666" t="s">
        <v>14</v>
      </c>
      <c r="W26" s="667">
        <f>J26</f>
        <v>100</v>
      </c>
      <c r="X26" s="1264"/>
      <c r="Y26" s="339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4"/>
      <c r="Q27" s="530">
        <f t="shared" si="11"/>
        <v>111</v>
      </c>
      <c r="R27" s="663" t="s">
        <v>14</v>
      </c>
      <c r="S27" s="664">
        <f>F27</f>
        <v>100</v>
      </c>
      <c r="T27" s="663" t="s">
        <v>14</v>
      </c>
      <c r="U27" s="664">
        <f>H27</f>
        <v>100</v>
      </c>
      <c r="V27" s="663" t="s">
        <v>14</v>
      </c>
      <c r="W27" s="664">
        <f>J27</f>
        <v>100</v>
      </c>
      <c r="X27" s="665"/>
      <c r="Y27" s="339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4"/>
      <c r="Q28" s="1262">
        <f t="shared" si="11"/>
        <v>111</v>
      </c>
      <c r="R28" s="666" t="s">
        <v>14</v>
      </c>
      <c r="S28" s="667">
        <f t="shared" ref="S28:S40" si="12">F28</f>
        <v>100</v>
      </c>
      <c r="T28" s="666" t="s">
        <v>14</v>
      </c>
      <c r="U28" s="667">
        <f t="shared" ref="U28:U40" si="13">H28</f>
        <v>100</v>
      </c>
      <c r="V28" s="666" t="s">
        <v>14</v>
      </c>
      <c r="W28" s="667">
        <f t="shared" ref="W28:W40" si="14">J28</f>
        <v>100</v>
      </c>
      <c r="X28" s="1264"/>
      <c r="Y28" s="339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2" t="s">
        <v>1696</v>
      </c>
      <c r="Q29" s="1262" t="str">
        <f t="shared" si="11"/>
        <v>建筑类型</v>
      </c>
      <c r="R29" s="666" t="s">
        <v>14</v>
      </c>
      <c r="S29" s="667">
        <f t="shared" si="12"/>
        <v>100</v>
      </c>
      <c r="T29" s="666" t="s">
        <v>14</v>
      </c>
      <c r="U29" s="667">
        <f t="shared" si="13"/>
        <v>100</v>
      </c>
      <c r="V29" s="666" t="s">
        <v>14</v>
      </c>
      <c r="W29" s="667">
        <f t="shared" si="14"/>
        <v>100</v>
      </c>
      <c r="X29" s="1264"/>
      <c r="Y29" s="339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8"/>
      <c r="Q30" s="531" t="str">
        <f t="shared" si="11"/>
        <v>项目建筑规模</v>
      </c>
      <c r="R30" s="668" t="s">
        <v>14</v>
      </c>
      <c r="S30" s="669" t="e">
        <f t="shared" si="12"/>
        <v>#N/A</v>
      </c>
      <c r="T30" s="668" t="s">
        <v>14</v>
      </c>
      <c r="U30" s="669" t="e">
        <f t="shared" si="13"/>
        <v>#N/A</v>
      </c>
      <c r="V30" s="668" t="s">
        <v>14</v>
      </c>
      <c r="W30" s="669" t="e">
        <f t="shared" si="14"/>
        <v>#N/A</v>
      </c>
      <c r="X30" s="670"/>
      <c r="Y30" s="3398"/>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8"/>
      <c r="Q31" s="1262" t="str">
        <f t="shared" si="11"/>
        <v>建筑结构</v>
      </c>
      <c r="R31" s="666" t="s">
        <v>14</v>
      </c>
      <c r="S31" s="667">
        <f t="shared" si="12"/>
        <v>100</v>
      </c>
      <c r="T31" s="666" t="s">
        <v>14</v>
      </c>
      <c r="U31" s="667">
        <f t="shared" si="13"/>
        <v>100</v>
      </c>
      <c r="V31" s="666" t="s">
        <v>14</v>
      </c>
      <c r="W31" s="667">
        <f t="shared" si="14"/>
        <v>100</v>
      </c>
      <c r="X31" s="1264"/>
      <c r="Y31" s="339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8"/>
      <c r="Q32" s="1262" t="str">
        <f t="shared" si="11"/>
        <v>公共部分装修</v>
      </c>
      <c r="R32" s="666" t="s">
        <v>14</v>
      </c>
      <c r="S32" s="667">
        <f t="shared" si="12"/>
        <v>100</v>
      </c>
      <c r="T32" s="666" t="s">
        <v>14</v>
      </c>
      <c r="U32" s="667">
        <f t="shared" si="13"/>
        <v>100</v>
      </c>
      <c r="V32" s="666" t="s">
        <v>14</v>
      </c>
      <c r="W32" s="667">
        <f t="shared" si="14"/>
        <v>100</v>
      </c>
      <c r="X32" s="1264"/>
      <c r="Y32" s="339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8"/>
      <c r="Q33" s="1262" t="str">
        <f t="shared" si="11"/>
        <v>成新度</v>
      </c>
      <c r="R33" s="666" t="s">
        <v>14</v>
      </c>
      <c r="S33" s="667" t="e">
        <f t="shared" si="12"/>
        <v>#N/A</v>
      </c>
      <c r="T33" s="666" t="s">
        <v>14</v>
      </c>
      <c r="U33" s="667" t="e">
        <f t="shared" si="13"/>
        <v>#N/A</v>
      </c>
      <c r="V33" s="666" t="s">
        <v>14</v>
      </c>
      <c r="W33" s="667" t="e">
        <f t="shared" si="14"/>
        <v>#N/A</v>
      </c>
      <c r="X33" s="1264"/>
      <c r="Y33" s="339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8"/>
      <c r="Q34" s="530" t="str">
        <f t="shared" si="11"/>
        <v>物业管理</v>
      </c>
      <c r="R34" s="663" t="s">
        <v>14</v>
      </c>
      <c r="S34" s="664">
        <f t="shared" si="12"/>
        <v>100</v>
      </c>
      <c r="T34" s="663" t="s">
        <v>14</v>
      </c>
      <c r="U34" s="664">
        <f t="shared" si="13"/>
        <v>100</v>
      </c>
      <c r="V34" s="663" t="s">
        <v>14</v>
      </c>
      <c r="W34" s="664">
        <f t="shared" si="14"/>
        <v>100</v>
      </c>
      <c r="X34" s="665"/>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8" t="s">
        <v>1696</v>
      </c>
      <c r="Q35" s="1262" t="str">
        <f t="shared" si="11"/>
        <v>市政基础设施</v>
      </c>
      <c r="R35" s="666" t="s">
        <v>14</v>
      </c>
      <c r="S35" s="667">
        <f t="shared" si="12"/>
        <v>100</v>
      </c>
      <c r="T35" s="666" t="s">
        <v>14</v>
      </c>
      <c r="U35" s="667">
        <f t="shared" si="13"/>
        <v>100</v>
      </c>
      <c r="V35" s="666" t="s">
        <v>14</v>
      </c>
      <c r="W35" s="667">
        <f t="shared" si="14"/>
        <v>100</v>
      </c>
      <c r="X35" s="1264"/>
      <c r="Y35" s="339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8"/>
      <c r="Q36" s="1262" t="str">
        <f t="shared" si="11"/>
        <v>内部装修</v>
      </c>
      <c r="R36" s="666" t="s">
        <v>14</v>
      </c>
      <c r="S36" s="667">
        <f t="shared" si="12"/>
        <v>100</v>
      </c>
      <c r="T36" s="666" t="s">
        <v>14</v>
      </c>
      <c r="U36" s="667">
        <f t="shared" si="13"/>
        <v>100</v>
      </c>
      <c r="V36" s="666" t="s">
        <v>14</v>
      </c>
      <c r="W36" s="667">
        <f t="shared" si="14"/>
        <v>100</v>
      </c>
      <c r="X36" s="1264"/>
      <c r="Y36" s="339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8"/>
      <c r="Q37" s="1262" t="str">
        <f t="shared" si="11"/>
        <v>内部装修状况</v>
      </c>
      <c r="R37" s="666" t="s">
        <v>14</v>
      </c>
      <c r="S37" s="667">
        <f t="shared" si="12"/>
        <v>100</v>
      </c>
      <c r="T37" s="666" t="s">
        <v>14</v>
      </c>
      <c r="U37" s="667">
        <f t="shared" si="13"/>
        <v>100</v>
      </c>
      <c r="V37" s="666" t="s">
        <v>14</v>
      </c>
      <c r="W37" s="667">
        <f t="shared" si="14"/>
        <v>100</v>
      </c>
      <c r="X37" s="1264"/>
      <c r="Y37" s="339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8"/>
      <c r="Q38" s="531">
        <f t="shared" si="11"/>
        <v>111</v>
      </c>
      <c r="R38" s="668" t="s">
        <v>14</v>
      </c>
      <c r="S38" s="669">
        <f t="shared" si="12"/>
        <v>100</v>
      </c>
      <c r="T38" s="668" t="s">
        <v>14</v>
      </c>
      <c r="U38" s="669">
        <f t="shared" si="13"/>
        <v>100</v>
      </c>
      <c r="V38" s="668" t="s">
        <v>14</v>
      </c>
      <c r="W38" s="669">
        <f t="shared" si="14"/>
        <v>100</v>
      </c>
      <c r="X38" s="670"/>
      <c r="Y38" s="3398"/>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8"/>
      <c r="Q39" s="1262">
        <f t="shared" si="11"/>
        <v>111</v>
      </c>
      <c r="R39" s="666" t="s">
        <v>14</v>
      </c>
      <c r="S39" s="667">
        <f t="shared" si="12"/>
        <v>100</v>
      </c>
      <c r="T39" s="666" t="s">
        <v>14</v>
      </c>
      <c r="U39" s="667">
        <f t="shared" si="13"/>
        <v>100</v>
      </c>
      <c r="V39" s="666" t="s">
        <v>14</v>
      </c>
      <c r="W39" s="667">
        <f t="shared" si="14"/>
        <v>100</v>
      </c>
      <c r="X39" s="1264"/>
      <c r="Y39" s="339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9"/>
      <c r="Q40" s="1262">
        <f t="shared" si="11"/>
        <v>111</v>
      </c>
      <c r="R40" s="666" t="s">
        <v>14</v>
      </c>
      <c r="S40" s="667">
        <f t="shared" si="12"/>
        <v>100</v>
      </c>
      <c r="T40" s="666" t="s">
        <v>14</v>
      </c>
      <c r="U40" s="667">
        <f t="shared" si="13"/>
        <v>100</v>
      </c>
      <c r="V40" s="666" t="s">
        <v>14</v>
      </c>
      <c r="W40" s="667">
        <f t="shared" si="14"/>
        <v>100</v>
      </c>
      <c r="X40" s="1264"/>
      <c r="Y40" s="339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0" t="str">
        <f>A41</f>
        <v>成交单价（元/平方米）</v>
      </c>
      <c r="Q41" s="3400"/>
      <c r="R41" s="3361">
        <f>E41</f>
        <v>0</v>
      </c>
      <c r="S41" s="3361"/>
      <c r="T41" s="3361">
        <f>G41</f>
        <v>0</v>
      </c>
      <c r="U41" s="3361"/>
      <c r="V41" s="3361">
        <f>I41</f>
        <v>0</v>
      </c>
      <c r="W41" s="3361"/>
      <c r="X41" s="385"/>
      <c r="Y41" s="672"/>
      <c r="Z41" s="385"/>
      <c r="AA41" s="385"/>
      <c r="AB41" s="385"/>
      <c r="AC41" s="385"/>
    </row>
    <row r="42" spans="1:29" ht="15.75" thickBot="1">
      <c r="A42" s="423" t="s">
        <v>1793</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00" t="str">
        <f>A42</f>
        <v>比较价值（元/平方米）</v>
      </c>
      <c r="Q42" s="340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64" t="s">
        <v>1771</v>
      </c>
      <c r="S4" s="3365"/>
      <c r="T4" s="3364" t="s">
        <v>1772</v>
      </c>
      <c r="U4" s="3365"/>
      <c r="V4" s="3361" t="s">
        <v>1773</v>
      </c>
      <c r="W4" s="3361"/>
      <c r="X4" s="1264"/>
      <c r="Y4" s="3364" t="s">
        <v>1775</v>
      </c>
      <c r="Z4" s="3365"/>
      <c r="AA4" s="3358" t="s">
        <v>1771</v>
      </c>
      <c r="AB4" s="3359" t="s">
        <v>1772</v>
      </c>
      <c r="AC4" s="3358" t="s">
        <v>1773</v>
      </c>
    </row>
    <row r="5" spans="1:29" ht="15">
      <c r="A5" s="348"/>
      <c r="B5" s="349"/>
      <c r="C5" s="3426" t="s">
        <v>1673</v>
      </c>
      <c r="D5" s="3371"/>
      <c r="E5" s="3425" t="s">
        <v>1674</v>
      </c>
      <c r="F5" s="3369"/>
      <c r="G5" s="3426" t="s">
        <v>1675</v>
      </c>
      <c r="H5" s="3371"/>
      <c r="I5" s="3426" t="s">
        <v>1676</v>
      </c>
      <c r="J5" s="3371"/>
      <c r="K5" s="537"/>
      <c r="L5" s="2485"/>
      <c r="M5" s="2486"/>
      <c r="N5" s="2486"/>
      <c r="O5" s="2486"/>
      <c r="P5" s="3384"/>
      <c r="Q5" s="3385"/>
      <c r="R5" s="3366"/>
      <c r="S5" s="3367"/>
      <c r="T5" s="3366"/>
      <c r="U5" s="3367"/>
      <c r="V5" s="3361"/>
      <c r="W5" s="3361"/>
      <c r="X5" s="1264"/>
      <c r="Y5" s="3366"/>
      <c r="Z5" s="3367"/>
      <c r="AA5" s="3359"/>
      <c r="AB5" s="3359"/>
      <c r="AC5" s="3359"/>
    </row>
    <row r="6" spans="1:29" ht="15.75" thickBot="1">
      <c r="A6" s="350"/>
      <c r="B6" s="351"/>
      <c r="C6" s="3372" t="s">
        <v>1677</v>
      </c>
      <c r="D6" s="3373"/>
      <c r="E6" s="3375" t="s">
        <v>1677</v>
      </c>
      <c r="F6" s="3376"/>
      <c r="G6" s="3372" t="s">
        <v>1677</v>
      </c>
      <c r="H6" s="3373"/>
      <c r="I6" s="3372" t="s">
        <v>1677</v>
      </c>
      <c r="J6" s="3373"/>
      <c r="K6" s="537" t="s">
        <v>1678</v>
      </c>
      <c r="L6" s="2485"/>
      <c r="M6" s="2486"/>
      <c r="N6" s="2486"/>
      <c r="O6" s="2486"/>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2" t="s">
        <v>1680</v>
      </c>
      <c r="Q7" s="3390"/>
      <c r="R7" s="663" t="s">
        <v>14</v>
      </c>
      <c r="S7" s="664">
        <f t="shared" ref="S7:S14" si="0">F7</f>
        <v>0</v>
      </c>
      <c r="T7" s="663" t="s">
        <v>14</v>
      </c>
      <c r="U7" s="664">
        <f t="shared" ref="U7:U14" si="1">H7</f>
        <v>0</v>
      </c>
      <c r="V7" s="663" t="s">
        <v>14</v>
      </c>
      <c r="W7" s="664">
        <f t="shared" ref="W7:W14" si="2">J7</f>
        <v>0</v>
      </c>
      <c r="X7" s="665"/>
      <c r="Y7" s="3362" t="s">
        <v>1680</v>
      </c>
      <c r="Z7" s="33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2" t="s">
        <v>1683</v>
      </c>
      <c r="Q8" s="3363"/>
      <c r="R8" s="663" t="s">
        <v>14</v>
      </c>
      <c r="S8" s="664">
        <f t="shared" si="0"/>
        <v>100</v>
      </c>
      <c r="T8" s="663" t="s">
        <v>14</v>
      </c>
      <c r="U8" s="664">
        <f t="shared" si="1"/>
        <v>100</v>
      </c>
      <c r="V8" s="663" t="s">
        <v>14</v>
      </c>
      <c r="W8" s="664">
        <f t="shared" si="2"/>
        <v>100</v>
      </c>
      <c r="X8" s="665"/>
      <c r="Y8" s="3362" t="s">
        <v>1683</v>
      </c>
      <c r="Z8" s="33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0" t="s">
        <v>1686</v>
      </c>
      <c r="Q9" s="530"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0"/>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0"/>
      <c r="Q11" s="530">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0"/>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0"/>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94"/>
      <c r="Q15" s="1262"/>
      <c r="R15" s="666"/>
      <c r="S15" s="667"/>
      <c r="T15" s="666"/>
      <c r="U15" s="667"/>
      <c r="V15" s="666"/>
      <c r="W15" s="667"/>
      <c r="X15" s="1264"/>
      <c r="Y15" s="3394"/>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94"/>
      <c r="Q17" s="1262"/>
      <c r="R17" s="666"/>
      <c r="S17" s="667"/>
      <c r="T17" s="666"/>
      <c r="U17" s="667"/>
      <c r="V17" s="666"/>
      <c r="W17" s="667"/>
      <c r="X17" s="1264"/>
      <c r="Y17" s="3394"/>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1"/>
      <c r="M19" s="2486"/>
      <c r="N19" s="2486"/>
      <c r="O19" s="2486"/>
      <c r="P19" s="3394"/>
      <c r="Q19" s="1262"/>
      <c r="R19" s="666"/>
      <c r="S19" s="667"/>
      <c r="T19" s="666"/>
      <c r="U19" s="667"/>
      <c r="V19" s="666"/>
      <c r="W19" s="667"/>
      <c r="X19" s="1264"/>
      <c r="Y19" s="3394"/>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94"/>
      <c r="Q21" s="1262"/>
      <c r="R21" s="666"/>
      <c r="S21" s="667"/>
      <c r="T21" s="666"/>
      <c r="U21" s="667"/>
      <c r="V21" s="666"/>
      <c r="W21" s="667"/>
      <c r="X21" s="1264"/>
      <c r="Y21" s="339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4"/>
      <c r="Q24" s="1262">
        <f t="shared" ref="Q24:Q36"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4"/>
      <c r="Q25" s="530">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8"/>
      <c r="Q27" s="531" t="str">
        <f t="shared" si="11"/>
        <v>项目停车位配比</v>
      </c>
      <c r="R27" s="668" t="s">
        <v>14</v>
      </c>
      <c r="S27" s="669">
        <f t="shared" si="12"/>
        <v>100</v>
      </c>
      <c r="T27" s="668" t="s">
        <v>14</v>
      </c>
      <c r="U27" s="669">
        <f t="shared" si="13"/>
        <v>100</v>
      </c>
      <c r="V27" s="668" t="s">
        <v>14</v>
      </c>
      <c r="W27" s="669">
        <f t="shared" si="14"/>
        <v>100</v>
      </c>
      <c r="X27" s="670"/>
      <c r="Y27" s="3398"/>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8"/>
      <c r="Q28" s="1262" t="str">
        <f t="shared" si="11"/>
        <v>公共部分装修</v>
      </c>
      <c r="R28" s="666" t="s">
        <v>14</v>
      </c>
      <c r="S28" s="667">
        <f t="shared" si="12"/>
        <v>100</v>
      </c>
      <c r="T28" s="666" t="s">
        <v>14</v>
      </c>
      <c r="U28" s="667">
        <f t="shared" si="13"/>
        <v>100</v>
      </c>
      <c r="V28" s="666" t="s">
        <v>14</v>
      </c>
      <c r="W28" s="667">
        <f t="shared" si="14"/>
        <v>100</v>
      </c>
      <c r="X28" s="1264"/>
      <c r="Y28" s="339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8"/>
      <c r="Q29" s="1262" t="str">
        <f t="shared" si="11"/>
        <v>成新率</v>
      </c>
      <c r="R29" s="666" t="s">
        <v>14</v>
      </c>
      <c r="S29" s="667" t="e">
        <f t="shared" si="12"/>
        <v>#N/A</v>
      </c>
      <c r="T29" s="666" t="s">
        <v>14</v>
      </c>
      <c r="U29" s="667" t="e">
        <f t="shared" si="13"/>
        <v>#N/A</v>
      </c>
      <c r="V29" s="666" t="s">
        <v>14</v>
      </c>
      <c r="W29" s="667" t="e">
        <f t="shared" si="14"/>
        <v>#N/A</v>
      </c>
      <c r="X29" s="1264"/>
      <c r="Y29" s="339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8"/>
      <c r="Q30" s="1262" t="str">
        <f t="shared" si="11"/>
        <v>物业等级</v>
      </c>
      <c r="R30" s="666" t="s">
        <v>14</v>
      </c>
      <c r="S30" s="667">
        <f t="shared" si="12"/>
        <v>100</v>
      </c>
      <c r="T30" s="666" t="s">
        <v>14</v>
      </c>
      <c r="U30" s="667">
        <f t="shared" si="13"/>
        <v>100</v>
      </c>
      <c r="V30" s="666" t="s">
        <v>14</v>
      </c>
      <c r="W30" s="667">
        <f t="shared" si="14"/>
        <v>100</v>
      </c>
      <c r="X30" s="1264"/>
      <c r="Y30" s="339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8"/>
      <c r="Q31" s="530" t="str">
        <f t="shared" si="11"/>
        <v>停车位面积</v>
      </c>
      <c r="R31" s="663" t="s">
        <v>14</v>
      </c>
      <c r="S31" s="664" t="e">
        <f t="shared" si="12"/>
        <v>#N/A</v>
      </c>
      <c r="T31" s="663" t="s">
        <v>14</v>
      </c>
      <c r="U31" s="664" t="e">
        <f t="shared" si="13"/>
        <v>#N/A</v>
      </c>
      <c r="V31" s="663" t="s">
        <v>14</v>
      </c>
      <c r="W31" s="664" t="e">
        <f t="shared" si="14"/>
        <v>#N/A</v>
      </c>
      <c r="X31" s="665"/>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8" t="s">
        <v>1696</v>
      </c>
      <c r="Q32" s="1262" t="str">
        <f t="shared" si="11"/>
        <v>车位类型</v>
      </c>
      <c r="R32" s="666" t="s">
        <v>14</v>
      </c>
      <c r="S32" s="667">
        <f t="shared" si="12"/>
        <v>100</v>
      </c>
      <c r="T32" s="666" t="s">
        <v>14</v>
      </c>
      <c r="U32" s="667">
        <f t="shared" si="13"/>
        <v>100</v>
      </c>
      <c r="V32" s="666" t="s">
        <v>14</v>
      </c>
      <c r="W32" s="667">
        <f t="shared" si="14"/>
        <v>100</v>
      </c>
      <c r="X32" s="1264"/>
      <c r="Y32" s="339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8"/>
      <c r="Q33" s="1262" t="str">
        <f t="shared" si="11"/>
        <v>是否直接入户</v>
      </c>
      <c r="R33" s="666" t="s">
        <v>14</v>
      </c>
      <c r="S33" s="667">
        <f t="shared" si="12"/>
        <v>100</v>
      </c>
      <c r="T33" s="666" t="s">
        <v>14</v>
      </c>
      <c r="U33" s="667">
        <f t="shared" si="13"/>
        <v>100</v>
      </c>
      <c r="V33" s="666" t="s">
        <v>14</v>
      </c>
      <c r="W33" s="667">
        <f t="shared" si="14"/>
        <v>100</v>
      </c>
      <c r="X33" s="1264"/>
      <c r="Y33" s="339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8"/>
      <c r="Q35" s="531">
        <f t="shared" si="11"/>
        <v>111</v>
      </c>
      <c r="R35" s="668" t="s">
        <v>14</v>
      </c>
      <c r="S35" s="669">
        <f t="shared" si="12"/>
        <v>100</v>
      </c>
      <c r="T35" s="668" t="s">
        <v>14</v>
      </c>
      <c r="U35" s="669">
        <f t="shared" si="13"/>
        <v>100</v>
      </c>
      <c r="V35" s="668" t="s">
        <v>14</v>
      </c>
      <c r="W35" s="669">
        <f t="shared" si="14"/>
        <v>100</v>
      </c>
      <c r="X35" s="670"/>
      <c r="Y35" s="3398"/>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8"/>
      <c r="Q36" s="1262">
        <f t="shared" si="11"/>
        <v>111</v>
      </c>
      <c r="R36" s="666" t="s">
        <v>14</v>
      </c>
      <c r="S36" s="667">
        <f t="shared" si="12"/>
        <v>100</v>
      </c>
      <c r="T36" s="666" t="s">
        <v>14</v>
      </c>
      <c r="U36" s="667">
        <f t="shared" si="13"/>
        <v>100</v>
      </c>
      <c r="V36" s="666" t="s">
        <v>14</v>
      </c>
      <c r="W36" s="667">
        <f t="shared" si="14"/>
        <v>100</v>
      </c>
      <c r="X36" s="1264"/>
      <c r="Y36" s="3398"/>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5"/>
      <c r="L37" s="2493"/>
      <c r="M37" s="2486"/>
      <c r="N37" s="2486"/>
      <c r="O37" s="2486"/>
      <c r="P37" s="3400" t="str">
        <f>A37</f>
        <v>成交单价</v>
      </c>
      <c r="Q37" s="3400"/>
      <c r="R37" s="3361">
        <f>E37</f>
        <v>0</v>
      </c>
      <c r="S37" s="3361"/>
      <c r="T37" s="3361">
        <f>G37</f>
        <v>0</v>
      </c>
      <c r="U37" s="3361"/>
      <c r="V37" s="3361">
        <f>I37</f>
        <v>0</v>
      </c>
      <c r="W37" s="3361"/>
      <c r="X37" s="385"/>
      <c r="Y37" s="672"/>
      <c r="Z37" s="385"/>
      <c r="AA37" s="385"/>
      <c r="AB37" s="385"/>
      <c r="AC37" s="385"/>
    </row>
    <row r="38" spans="1:29" ht="15.75" thickBot="1">
      <c r="A38" s="423" t="s">
        <v>1845</v>
      </c>
      <c r="B38" s="424"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00" t="str">
        <f>A38</f>
        <v>比较价值（元/平方米）</v>
      </c>
      <c r="Q38" s="340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1" t="str">
        <f>A39</f>
        <v>估价对象XX用房的比较价值（楼面单价，元/平方米）</v>
      </c>
      <c r="Q39" s="3402"/>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受贵公司委托，我公司对北京市朝阳区青年沟路8号楼房地产抵押价值进行了预评估。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估价对象为北京市朝阳区青年沟路8号楼房地产，为所有。根据《国有土地使用证》[]，估价对象（分摊）出让国有建设用地使用权面积为0平方米，建筑面积为119.31平方米。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估价对象为北京市朝阳区青年沟路8号楼房地产,属开发建设的，该项目尚在开发建设中。根据《国有土地使用证》[]，估价对象（分摊）出让国有建设用地使用权面积为0平方米，规划建筑面积为119.31平方米。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朝阳区青年沟路8号楼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2024年11月15日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15日，估价对象规划用途为商业，土地取得方式为出让，出让国有建设用地使用权剩余土地使用年限为15.7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15.7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64" t="s">
        <v>1771</v>
      </c>
      <c r="S4" s="3365"/>
      <c r="T4" s="3364" t="s">
        <v>1772</v>
      </c>
      <c r="U4" s="3365"/>
      <c r="V4" s="3361" t="s">
        <v>1773</v>
      </c>
      <c r="W4" s="3361"/>
      <c r="X4" s="1264"/>
      <c r="Y4" s="3364" t="s">
        <v>1775</v>
      </c>
      <c r="Z4" s="3365"/>
      <c r="AA4" s="3358" t="s">
        <v>1771</v>
      </c>
      <c r="AB4" s="3359" t="s">
        <v>1772</v>
      </c>
      <c r="AC4" s="3358" t="s">
        <v>1773</v>
      </c>
    </row>
    <row r="5" spans="1:29" ht="15">
      <c r="A5" s="348"/>
      <c r="B5" s="349"/>
      <c r="C5" s="3426" t="s">
        <v>1673</v>
      </c>
      <c r="D5" s="3371"/>
      <c r="E5" s="3425" t="s">
        <v>1674</v>
      </c>
      <c r="F5" s="3369"/>
      <c r="G5" s="3426" t="s">
        <v>1675</v>
      </c>
      <c r="H5" s="3371"/>
      <c r="I5" s="3426" t="s">
        <v>1676</v>
      </c>
      <c r="J5" s="3371"/>
      <c r="K5" s="537"/>
      <c r="L5" s="2485"/>
      <c r="M5" s="2486"/>
      <c r="N5" s="2486"/>
      <c r="O5" s="2486"/>
      <c r="P5" s="3384"/>
      <c r="Q5" s="3385"/>
      <c r="R5" s="3366"/>
      <c r="S5" s="3367"/>
      <c r="T5" s="3366"/>
      <c r="U5" s="3367"/>
      <c r="V5" s="3361"/>
      <c r="W5" s="3361"/>
      <c r="X5" s="1264"/>
      <c r="Y5" s="3366"/>
      <c r="Z5" s="3367"/>
      <c r="AA5" s="3359"/>
      <c r="AB5" s="3359"/>
      <c r="AC5" s="3359"/>
    </row>
    <row r="6" spans="1:29" ht="15.75" thickBot="1">
      <c r="A6" s="350"/>
      <c r="B6" s="351"/>
      <c r="C6" s="3372" t="s">
        <v>1677</v>
      </c>
      <c r="D6" s="3373"/>
      <c r="E6" s="3375" t="s">
        <v>1677</v>
      </c>
      <c r="F6" s="3376"/>
      <c r="G6" s="3372" t="s">
        <v>1677</v>
      </c>
      <c r="H6" s="3373"/>
      <c r="I6" s="3372" t="s">
        <v>1677</v>
      </c>
      <c r="J6" s="3373"/>
      <c r="K6" s="537" t="s">
        <v>1678</v>
      </c>
      <c r="L6" s="2485"/>
      <c r="M6" s="2486"/>
      <c r="N6" s="2486"/>
      <c r="O6" s="2486"/>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62" t="s">
        <v>1680</v>
      </c>
      <c r="Q7" s="3390"/>
      <c r="R7" s="663" t="s">
        <v>14</v>
      </c>
      <c r="S7" s="664">
        <f t="shared" ref="S7:S14" si="0">F7</f>
        <v>0</v>
      </c>
      <c r="T7" s="663" t="s">
        <v>14</v>
      </c>
      <c r="U7" s="664">
        <f t="shared" ref="U7:U14" si="1">H7</f>
        <v>0</v>
      </c>
      <c r="V7" s="663" t="s">
        <v>14</v>
      </c>
      <c r="W7" s="664">
        <f t="shared" ref="W7:W14" si="2">J7</f>
        <v>0</v>
      </c>
      <c r="X7" s="665"/>
      <c r="Y7" s="3362" t="s">
        <v>1680</v>
      </c>
      <c r="Z7" s="33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2" t="s">
        <v>1683</v>
      </c>
      <c r="Q8" s="3363"/>
      <c r="R8" s="663" t="s">
        <v>14</v>
      </c>
      <c r="S8" s="664">
        <f t="shared" si="0"/>
        <v>100</v>
      </c>
      <c r="T8" s="663" t="s">
        <v>14</v>
      </c>
      <c r="U8" s="664">
        <f t="shared" si="1"/>
        <v>100</v>
      </c>
      <c r="V8" s="663" t="s">
        <v>14</v>
      </c>
      <c r="W8" s="664">
        <f t="shared" si="2"/>
        <v>100</v>
      </c>
      <c r="X8" s="665"/>
      <c r="Y8" s="3362" t="s">
        <v>1683</v>
      </c>
      <c r="Z8" s="33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0" t="s">
        <v>1686</v>
      </c>
      <c r="Q9" s="530" t="str">
        <f t="shared" ref="Q9:Q14" si="6">B9</f>
        <v>用途</v>
      </c>
      <c r="R9" s="663" t="s">
        <v>14</v>
      </c>
      <c r="S9" s="664">
        <f t="shared" si="0"/>
        <v>100</v>
      </c>
      <c r="T9" s="663" t="s">
        <v>14</v>
      </c>
      <c r="U9" s="664">
        <f t="shared" si="1"/>
        <v>100</v>
      </c>
      <c r="V9" s="663" t="s">
        <v>14</v>
      </c>
      <c r="W9" s="664">
        <f t="shared" si="2"/>
        <v>100</v>
      </c>
      <c r="X9" s="665"/>
      <c r="Y9" s="332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0"/>
      <c r="Q10" s="530" t="str">
        <f t="shared" si="6"/>
        <v>土地使用年限（年）</v>
      </c>
      <c r="R10" s="663" t="s">
        <v>14</v>
      </c>
      <c r="S10" s="664">
        <f t="shared" si="0"/>
        <v>100</v>
      </c>
      <c r="T10" s="663" t="s">
        <v>14</v>
      </c>
      <c r="U10" s="664">
        <f t="shared" si="1"/>
        <v>100</v>
      </c>
      <c r="V10" s="663" t="s">
        <v>14</v>
      </c>
      <c r="W10" s="664">
        <f t="shared" si="2"/>
        <v>100</v>
      </c>
      <c r="X10" s="665"/>
      <c r="Y10" s="33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0"/>
      <c r="Q11" s="530">
        <f t="shared" si="6"/>
        <v>111</v>
      </c>
      <c r="R11" s="663" t="s">
        <v>14</v>
      </c>
      <c r="S11" s="664">
        <f t="shared" si="0"/>
        <v>100</v>
      </c>
      <c r="T11" s="663" t="s">
        <v>14</v>
      </c>
      <c r="U11" s="664">
        <f t="shared" si="1"/>
        <v>100</v>
      </c>
      <c r="V11" s="663" t="s">
        <v>14</v>
      </c>
      <c r="W11" s="664">
        <f t="shared" si="2"/>
        <v>100</v>
      </c>
      <c r="X11" s="665"/>
      <c r="Y11" s="33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0"/>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00"/>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94"/>
      <c r="Q15" s="1262"/>
      <c r="R15" s="666"/>
      <c r="S15" s="667"/>
      <c r="T15" s="666"/>
      <c r="U15" s="667"/>
      <c r="V15" s="666"/>
      <c r="W15" s="667"/>
      <c r="X15" s="1264"/>
      <c r="Y15" s="3394"/>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94"/>
      <c r="Q17" s="1262"/>
      <c r="R17" s="666"/>
      <c r="S17" s="667"/>
      <c r="T17" s="666"/>
      <c r="U17" s="667"/>
      <c r="V17" s="666"/>
      <c r="W17" s="667"/>
      <c r="X17" s="1264"/>
      <c r="Y17" s="3394"/>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1"/>
      <c r="M19" s="2486"/>
      <c r="N19" s="2486"/>
      <c r="O19" s="2541"/>
      <c r="P19" s="3394"/>
      <c r="Q19" s="1262"/>
      <c r="R19" s="666"/>
      <c r="S19" s="667"/>
      <c r="T19" s="666"/>
      <c r="U19" s="667"/>
      <c r="V19" s="666"/>
      <c r="W19" s="667"/>
      <c r="X19" s="1264"/>
      <c r="Y19" s="3394"/>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94"/>
      <c r="Q21" s="1262"/>
      <c r="R21" s="666"/>
      <c r="S21" s="667"/>
      <c r="T21" s="666"/>
      <c r="U21" s="667"/>
      <c r="V21" s="666"/>
      <c r="W21" s="667"/>
      <c r="X21" s="1264"/>
      <c r="Y21" s="339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4"/>
      <c r="Q24" s="1262">
        <f t="shared" ref="Q24:Q34"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94"/>
      <c r="Q25" s="530">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4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8"/>
      <c r="Q27" s="531" t="str">
        <f t="shared" si="11"/>
        <v>成新率</v>
      </c>
      <c r="R27" s="668" t="s">
        <v>14</v>
      </c>
      <c r="S27" s="669" t="e">
        <f t="shared" si="12"/>
        <v>#N/A</v>
      </c>
      <c r="T27" s="668" t="s">
        <v>14</v>
      </c>
      <c r="U27" s="669" t="e">
        <f t="shared" si="13"/>
        <v>#N/A</v>
      </c>
      <c r="V27" s="668" t="s">
        <v>14</v>
      </c>
      <c r="W27" s="669" t="e">
        <f t="shared" si="14"/>
        <v>#N/A</v>
      </c>
      <c r="X27" s="670"/>
      <c r="Y27" s="3398"/>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8"/>
      <c r="Q28" s="1262" t="str">
        <f t="shared" si="11"/>
        <v>物业等级</v>
      </c>
      <c r="R28" s="666" t="s">
        <v>14</v>
      </c>
      <c r="S28" s="667">
        <f t="shared" si="12"/>
        <v>100</v>
      </c>
      <c r="T28" s="666" t="s">
        <v>14</v>
      </c>
      <c r="U28" s="667">
        <f t="shared" si="13"/>
        <v>100</v>
      </c>
      <c r="V28" s="666" t="s">
        <v>14</v>
      </c>
      <c r="W28" s="667">
        <f t="shared" si="14"/>
        <v>100</v>
      </c>
      <c r="X28" s="1264"/>
      <c r="Y28" s="339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8"/>
      <c r="Q29" s="1262" t="str">
        <f t="shared" si="11"/>
        <v>有无电梯</v>
      </c>
      <c r="R29" s="666" t="s">
        <v>14</v>
      </c>
      <c r="S29" s="667">
        <f t="shared" si="12"/>
        <v>100</v>
      </c>
      <c r="T29" s="666" t="s">
        <v>14</v>
      </c>
      <c r="U29" s="667">
        <f t="shared" si="13"/>
        <v>100</v>
      </c>
      <c r="V29" s="666" t="s">
        <v>14</v>
      </c>
      <c r="W29" s="667">
        <f t="shared" si="14"/>
        <v>100</v>
      </c>
      <c r="X29" s="1264"/>
      <c r="Y29" s="339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8"/>
      <c r="Q30" s="1262" t="str">
        <f t="shared" si="11"/>
        <v>建筑面积</v>
      </c>
      <c r="R30" s="666" t="s">
        <v>14</v>
      </c>
      <c r="S30" s="667" t="e">
        <f t="shared" si="12"/>
        <v>#N/A</v>
      </c>
      <c r="T30" s="666" t="s">
        <v>14</v>
      </c>
      <c r="U30" s="667" t="e">
        <f t="shared" si="13"/>
        <v>#N/A</v>
      </c>
      <c r="V30" s="666" t="s">
        <v>14</v>
      </c>
      <c r="W30" s="667" t="e">
        <f t="shared" si="14"/>
        <v>#N/A</v>
      </c>
      <c r="X30" s="1264"/>
      <c r="Y30" s="339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8"/>
      <c r="Q31" s="530" t="str">
        <f t="shared" si="11"/>
        <v>是否封闭</v>
      </c>
      <c r="R31" s="663" t="s">
        <v>14</v>
      </c>
      <c r="S31" s="664">
        <f t="shared" si="12"/>
        <v>100</v>
      </c>
      <c r="T31" s="663" t="s">
        <v>14</v>
      </c>
      <c r="U31" s="664">
        <f t="shared" si="13"/>
        <v>100</v>
      </c>
      <c r="V31" s="663" t="s">
        <v>14</v>
      </c>
      <c r="W31" s="664">
        <f t="shared" si="14"/>
        <v>100</v>
      </c>
      <c r="X31" s="665"/>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8" t="s">
        <v>1696</v>
      </c>
      <c r="Q32" s="1262">
        <f t="shared" si="11"/>
        <v>111</v>
      </c>
      <c r="R32" s="666" t="s">
        <v>14</v>
      </c>
      <c r="S32" s="667">
        <f t="shared" si="12"/>
        <v>100</v>
      </c>
      <c r="T32" s="666" t="s">
        <v>14</v>
      </c>
      <c r="U32" s="667">
        <f t="shared" si="13"/>
        <v>100</v>
      </c>
      <c r="V32" s="666" t="s">
        <v>14</v>
      </c>
      <c r="W32" s="667">
        <f t="shared" si="14"/>
        <v>100</v>
      </c>
      <c r="X32" s="1264"/>
      <c r="Y32" s="339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8"/>
      <c r="Q33" s="1262">
        <f t="shared" si="11"/>
        <v>111</v>
      </c>
      <c r="R33" s="666" t="s">
        <v>14</v>
      </c>
      <c r="S33" s="667">
        <f t="shared" si="12"/>
        <v>100</v>
      </c>
      <c r="T33" s="666" t="s">
        <v>14</v>
      </c>
      <c r="U33" s="667">
        <f t="shared" si="13"/>
        <v>100</v>
      </c>
      <c r="V33" s="666" t="s">
        <v>14</v>
      </c>
      <c r="W33" s="667">
        <f t="shared" si="14"/>
        <v>100</v>
      </c>
      <c r="X33" s="1264"/>
      <c r="Y33" s="339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400" t="str">
        <f>A35</f>
        <v>成交单价（元/平方米）</v>
      </c>
      <c r="Q35" s="3400"/>
      <c r="R35" s="3361">
        <f>E35</f>
        <v>0</v>
      </c>
      <c r="S35" s="3361"/>
      <c r="T35" s="3361">
        <f>G35</f>
        <v>0</v>
      </c>
      <c r="U35" s="3361"/>
      <c r="V35" s="3361">
        <f>I35</f>
        <v>0</v>
      </c>
      <c r="W35" s="3361"/>
      <c r="X35" s="385"/>
      <c r="Y35" s="672"/>
      <c r="Z35" s="385"/>
      <c r="AA35" s="385"/>
      <c r="AB35" s="385"/>
      <c r="AC35" s="385"/>
    </row>
    <row r="36" spans="1:30" ht="15.75" thickBot="1">
      <c r="A36" s="423" t="s">
        <v>1793</v>
      </c>
      <c r="B36" s="424"/>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00" t="str">
        <f>A36</f>
        <v>比较价值（元/平方米）</v>
      </c>
      <c r="Q36" s="340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01" t="str">
        <f>A37</f>
        <v>估价对象XX用房的比较价值（楼面单价，元/平方米）</v>
      </c>
      <c r="Q37" s="3402"/>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64" t="s">
        <v>1771</v>
      </c>
      <c r="S4" s="3365"/>
      <c r="T4" s="3364" t="s">
        <v>1772</v>
      </c>
      <c r="U4" s="3365"/>
      <c r="V4" s="3361" t="s">
        <v>1773</v>
      </c>
      <c r="W4" s="3361"/>
      <c r="X4" s="1264"/>
      <c r="Y4" s="3364" t="s">
        <v>1775</v>
      </c>
      <c r="Z4" s="3365"/>
      <c r="AA4" s="3358" t="s">
        <v>1771</v>
      </c>
      <c r="AB4" s="3359" t="s">
        <v>1772</v>
      </c>
      <c r="AC4" s="3358" t="s">
        <v>1773</v>
      </c>
    </row>
    <row r="5" spans="1:29" ht="15">
      <c r="A5" s="348"/>
      <c r="B5" s="349"/>
      <c r="C5" s="3426" t="s">
        <v>1673</v>
      </c>
      <c r="D5" s="3371"/>
      <c r="E5" s="3425" t="s">
        <v>1674</v>
      </c>
      <c r="F5" s="3369"/>
      <c r="G5" s="3426" t="s">
        <v>1675</v>
      </c>
      <c r="H5" s="3371"/>
      <c r="I5" s="3426" t="s">
        <v>1676</v>
      </c>
      <c r="J5" s="3371"/>
      <c r="K5" s="537"/>
      <c r="L5" s="2485"/>
      <c r="M5" s="2486"/>
      <c r="N5" s="2486"/>
      <c r="O5" s="2486"/>
      <c r="P5" s="3384"/>
      <c r="Q5" s="3385"/>
      <c r="R5" s="3366"/>
      <c r="S5" s="3367"/>
      <c r="T5" s="3366"/>
      <c r="U5" s="3367"/>
      <c r="V5" s="3361"/>
      <c r="W5" s="3361"/>
      <c r="X5" s="1264"/>
      <c r="Y5" s="3366"/>
      <c r="Z5" s="3367"/>
      <c r="AA5" s="3359"/>
      <c r="AB5" s="3359"/>
      <c r="AC5" s="3359"/>
    </row>
    <row r="6" spans="1:29" ht="15.75" thickBot="1">
      <c r="A6" s="350"/>
      <c r="B6" s="351"/>
      <c r="C6" s="3372" t="s">
        <v>1677</v>
      </c>
      <c r="D6" s="3373"/>
      <c r="E6" s="3375" t="s">
        <v>1677</v>
      </c>
      <c r="F6" s="3376"/>
      <c r="G6" s="3372" t="s">
        <v>1677</v>
      </c>
      <c r="H6" s="3373"/>
      <c r="I6" s="3372" t="s">
        <v>1677</v>
      </c>
      <c r="J6" s="3373"/>
      <c r="K6" s="537" t="s">
        <v>1678</v>
      </c>
      <c r="L6" s="2485"/>
      <c r="M6" s="2486"/>
      <c r="N6" s="2486"/>
      <c r="O6" s="2486"/>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62" t="s">
        <v>1680</v>
      </c>
      <c r="Q7" s="3390"/>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2" t="s">
        <v>1683</v>
      </c>
      <c r="Q8" s="3363"/>
      <c r="R8" s="663" t="s">
        <v>14</v>
      </c>
      <c r="S8" s="664">
        <f t="shared" si="0"/>
        <v>0</v>
      </c>
      <c r="T8" s="663" t="s">
        <v>14</v>
      </c>
      <c r="U8" s="664">
        <f t="shared" si="1"/>
        <v>0</v>
      </c>
      <c r="V8" s="663" t="s">
        <v>14</v>
      </c>
      <c r="W8" s="664">
        <f t="shared" si="2"/>
        <v>0</v>
      </c>
      <c r="X8" s="665"/>
      <c r="Y8" s="3362" t="s">
        <v>1683</v>
      </c>
      <c r="Z8" s="336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00"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160</v>
      </c>
      <c r="G10" s="402"/>
      <c r="H10" s="119">
        <f>ROUND(100/'数据-取费表'!G16,0)</f>
        <v>160</v>
      </c>
      <c r="I10" s="402"/>
      <c r="J10" s="119">
        <f>ROUND(100/'数据-取费表'!G16,0)</f>
        <v>160</v>
      </c>
      <c r="K10" s="592"/>
      <c r="L10" s="2488"/>
      <c r="M10" s="2489"/>
      <c r="N10" s="2489"/>
      <c r="O10" s="2540"/>
      <c r="P10" s="3400"/>
      <c r="Q10" s="530" t="str">
        <f t="shared" si="6"/>
        <v>土地使用年限（年）</v>
      </c>
      <c r="R10" s="663" t="s">
        <v>14</v>
      </c>
      <c r="S10" s="664">
        <f t="shared" si="0"/>
        <v>160</v>
      </c>
      <c r="T10" s="663" t="s">
        <v>14</v>
      </c>
      <c r="U10" s="664">
        <f t="shared" si="1"/>
        <v>160</v>
      </c>
      <c r="V10" s="663" t="s">
        <v>14</v>
      </c>
      <c r="W10" s="664">
        <f t="shared" si="2"/>
        <v>160</v>
      </c>
      <c r="X10" s="665"/>
      <c r="Y10" s="3326"/>
      <c r="Z10" s="50" t="str">
        <f t="shared" si="7"/>
        <v>土地使用年限（年）</v>
      </c>
      <c r="AA10" s="50">
        <f t="shared" si="3"/>
        <v>0.625</v>
      </c>
      <c r="AB10" s="50">
        <f t="shared" si="4"/>
        <v>0.625</v>
      </c>
      <c r="AC10" s="50">
        <f t="shared" si="5"/>
        <v>0.625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0"/>
      <c r="Q11" s="530"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0"/>
      <c r="Q12" s="530" t="str">
        <f t="shared" si="6"/>
        <v>配建</v>
      </c>
      <c r="R12" s="663" t="s">
        <v>14</v>
      </c>
      <c r="S12" s="664">
        <f t="shared" si="0"/>
        <v>100</v>
      </c>
      <c r="T12" s="663" t="s">
        <v>14</v>
      </c>
      <c r="U12" s="664">
        <f t="shared" si="1"/>
        <v>100</v>
      </c>
      <c r="V12" s="663" t="s">
        <v>14</v>
      </c>
      <c r="W12" s="664">
        <f t="shared" si="2"/>
        <v>100</v>
      </c>
      <c r="X12" s="665"/>
      <c r="Y12" s="33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0"/>
      <c r="Q13" s="530">
        <f t="shared" si="6"/>
        <v>111</v>
      </c>
      <c r="R13" s="663" t="s">
        <v>14</v>
      </c>
      <c r="S13" s="664">
        <f t="shared" si="0"/>
        <v>100</v>
      </c>
      <c r="T13" s="663" t="s">
        <v>14</v>
      </c>
      <c r="U13" s="664">
        <f t="shared" si="1"/>
        <v>100</v>
      </c>
      <c r="V13" s="663" t="s">
        <v>14</v>
      </c>
      <c r="W13" s="664">
        <f t="shared" si="2"/>
        <v>100</v>
      </c>
      <c r="X13" s="665"/>
      <c r="Y13" s="332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0"/>
      <c r="Q14" s="530">
        <f t="shared" si="6"/>
        <v>111</v>
      </c>
      <c r="R14" s="663" t="s">
        <v>14</v>
      </c>
      <c r="S14" s="664">
        <f t="shared" si="0"/>
        <v>100</v>
      </c>
      <c r="T14" s="663" t="s">
        <v>14</v>
      </c>
      <c r="U14" s="664">
        <f t="shared" si="1"/>
        <v>100</v>
      </c>
      <c r="V14" s="663" t="s">
        <v>14</v>
      </c>
      <c r="W14" s="664">
        <f t="shared" si="2"/>
        <v>100</v>
      </c>
      <c r="X14" s="665"/>
      <c r="Y14" s="332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3" t="s">
        <v>1691</v>
      </c>
      <c r="Q15" s="1262" t="str">
        <f t="shared" si="6"/>
        <v>居住社区成熟度</v>
      </c>
      <c r="R15" s="666" t="s">
        <v>14</v>
      </c>
      <c r="S15" s="667">
        <f t="shared" si="0"/>
        <v>100</v>
      </c>
      <c r="T15" s="666" t="s">
        <v>14</v>
      </c>
      <c r="U15" s="667">
        <f t="shared" si="1"/>
        <v>100</v>
      </c>
      <c r="V15" s="666" t="s">
        <v>14</v>
      </c>
      <c r="W15" s="667">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94"/>
      <c r="Q16" s="1262"/>
      <c r="R16" s="666"/>
      <c r="S16" s="667"/>
      <c r="T16" s="666"/>
      <c r="U16" s="667"/>
      <c r="V16" s="666"/>
      <c r="W16" s="667"/>
      <c r="X16" s="1264"/>
      <c r="Y16" s="3394"/>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4"/>
      <c r="Q17" s="1262" t="str">
        <f>B17</f>
        <v>商业繁华度</v>
      </c>
      <c r="R17" s="666" t="s">
        <v>14</v>
      </c>
      <c r="S17" s="667">
        <f>F17</f>
        <v>100</v>
      </c>
      <c r="T17" s="666" t="s">
        <v>14</v>
      </c>
      <c r="U17" s="667">
        <f>H17</f>
        <v>100</v>
      </c>
      <c r="V17" s="666" t="s">
        <v>14</v>
      </c>
      <c r="W17" s="667">
        <f>J17</f>
        <v>100</v>
      </c>
      <c r="X17" s="1264"/>
      <c r="Y17" s="339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94"/>
      <c r="Q18" s="1262"/>
      <c r="R18" s="666"/>
      <c r="S18" s="667"/>
      <c r="T18" s="666"/>
      <c r="U18" s="667"/>
      <c r="V18" s="666"/>
      <c r="W18" s="667"/>
      <c r="X18" s="1264"/>
      <c r="Y18" s="3394"/>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4"/>
      <c r="Q19" s="1262" t="str">
        <f>B19</f>
        <v>办公集聚程度</v>
      </c>
      <c r="R19" s="666" t="s">
        <v>14</v>
      </c>
      <c r="S19" s="667">
        <f>F19</f>
        <v>100</v>
      </c>
      <c r="T19" s="666" t="s">
        <v>14</v>
      </c>
      <c r="U19" s="667">
        <f>H19</f>
        <v>100</v>
      </c>
      <c r="V19" s="666" t="s">
        <v>14</v>
      </c>
      <c r="W19" s="667">
        <f>J19</f>
        <v>100</v>
      </c>
      <c r="X19" s="1264"/>
      <c r="Y19" s="339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94"/>
      <c r="Q20" s="1262"/>
      <c r="R20" s="666"/>
      <c r="S20" s="667"/>
      <c r="T20" s="666"/>
      <c r="U20" s="667"/>
      <c r="V20" s="666"/>
      <c r="W20" s="667"/>
      <c r="X20" s="1264"/>
      <c r="Y20" s="3394"/>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4"/>
      <c r="Q21" s="1262" t="str">
        <f>B21</f>
        <v>交通便捷度</v>
      </c>
      <c r="R21" s="666" t="s">
        <v>14</v>
      </c>
      <c r="S21" s="667">
        <f>F21</f>
        <v>100</v>
      </c>
      <c r="T21" s="666" t="s">
        <v>14</v>
      </c>
      <c r="U21" s="667">
        <f>H21</f>
        <v>100</v>
      </c>
      <c r="V21" s="666" t="s">
        <v>14</v>
      </c>
      <c r="W21" s="667">
        <f>J21</f>
        <v>100</v>
      </c>
      <c r="X21" s="1264"/>
      <c r="Y21" s="339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94"/>
      <c r="Q22" s="1262"/>
      <c r="R22" s="666"/>
      <c r="S22" s="667"/>
      <c r="T22" s="666"/>
      <c r="U22" s="667"/>
      <c r="V22" s="666"/>
      <c r="W22" s="667"/>
      <c r="X22" s="1264"/>
      <c r="Y22" s="339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4"/>
      <c r="Q23" s="1262" t="str">
        <f t="shared" ref="Q23:Q37" si="8">B23</f>
        <v>区域土地利用方向</v>
      </c>
      <c r="R23" s="666" t="s">
        <v>14</v>
      </c>
      <c r="S23" s="667">
        <f>F23</f>
        <v>100</v>
      </c>
      <c r="T23" s="666" t="s">
        <v>14</v>
      </c>
      <c r="U23" s="667">
        <f>H23</f>
        <v>100</v>
      </c>
      <c r="V23" s="666" t="s">
        <v>14</v>
      </c>
      <c r="W23" s="667">
        <f>J23</f>
        <v>100</v>
      </c>
      <c r="X23" s="1264"/>
      <c r="Y23" s="339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1"/>
      <c r="M24" s="2486"/>
      <c r="N24" s="2486"/>
      <c r="O24" s="2541"/>
      <c r="P24" s="3394"/>
      <c r="Q24" s="1262"/>
      <c r="R24" s="666"/>
      <c r="S24" s="667"/>
      <c r="T24" s="666"/>
      <c r="U24" s="667"/>
      <c r="V24" s="666"/>
      <c r="W24" s="667"/>
      <c r="X24" s="1264"/>
      <c r="Y24" s="3394"/>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4"/>
      <c r="Q25" s="1262" t="str">
        <f t="shared" si="8"/>
        <v>自然及人文环境状况</v>
      </c>
      <c r="R25" s="666" t="s">
        <v>14</v>
      </c>
      <c r="S25" s="667">
        <f>F25</f>
        <v>100</v>
      </c>
      <c r="T25" s="666" t="s">
        <v>14</v>
      </c>
      <c r="U25" s="667">
        <f>H25</f>
        <v>100</v>
      </c>
      <c r="V25" s="666" t="s">
        <v>14</v>
      </c>
      <c r="W25" s="667">
        <f>J25</f>
        <v>100</v>
      </c>
      <c r="X25" s="1264"/>
      <c r="Y25" s="339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94"/>
      <c r="Q26" s="1262"/>
      <c r="R26" s="666"/>
      <c r="S26" s="667"/>
      <c r="T26" s="666"/>
      <c r="U26" s="667"/>
      <c r="V26" s="666"/>
      <c r="W26" s="667"/>
      <c r="X26" s="1264"/>
      <c r="Y26" s="3394"/>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4"/>
      <c r="Q27" s="530" t="str">
        <f t="shared" si="8"/>
        <v>公共配套设施</v>
      </c>
      <c r="R27" s="663" t="s">
        <v>14</v>
      </c>
      <c r="S27" s="664">
        <f>F27</f>
        <v>100</v>
      </c>
      <c r="T27" s="663" t="s">
        <v>14</v>
      </c>
      <c r="U27" s="664">
        <f>H27</f>
        <v>100</v>
      </c>
      <c r="V27" s="663" t="s">
        <v>14</v>
      </c>
      <c r="W27" s="664">
        <f>J27</f>
        <v>100</v>
      </c>
      <c r="X27" s="665"/>
      <c r="Y27" s="339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9"/>
      <c r="N28" s="2439"/>
      <c r="O28" s="2539"/>
      <c r="P28" s="3394"/>
      <c r="Q28" s="530"/>
      <c r="R28" s="663"/>
      <c r="S28" s="664"/>
      <c r="T28" s="663"/>
      <c r="U28" s="664"/>
      <c r="V28" s="663"/>
      <c r="W28" s="664"/>
      <c r="X28" s="665"/>
      <c r="Y28" s="3394"/>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4"/>
      <c r="Q29" s="530" t="str">
        <f t="shared" ref="Q29" si="9">B29</f>
        <v>基础设施水平</v>
      </c>
      <c r="R29" s="663" t="s">
        <v>14</v>
      </c>
      <c r="S29" s="664">
        <f>F29</f>
        <v>100</v>
      </c>
      <c r="T29" s="663" t="s">
        <v>14</v>
      </c>
      <c r="U29" s="664">
        <f>H29</f>
        <v>100</v>
      </c>
      <c r="V29" s="663" t="s">
        <v>14</v>
      </c>
      <c r="W29" s="664">
        <f>J29</f>
        <v>100</v>
      </c>
      <c r="X29" s="665"/>
      <c r="Y29" s="339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9"/>
      <c r="N30" s="2439"/>
      <c r="O30" s="2539"/>
      <c r="P30" s="3394"/>
      <c r="Q30" s="530"/>
      <c r="R30" s="663"/>
      <c r="S30" s="664"/>
      <c r="T30" s="663"/>
      <c r="U30" s="664"/>
      <c r="V30" s="663"/>
      <c r="W30" s="664"/>
      <c r="X30" s="665"/>
      <c r="Y30" s="339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4"/>
      <c r="Q32" s="1262" t="str">
        <f t="shared" si="8"/>
        <v>毗邻道路的类型与等级</v>
      </c>
      <c r="R32" s="666" t="s">
        <v>14</v>
      </c>
      <c r="S32" s="667">
        <f t="shared" si="10"/>
        <v>100</v>
      </c>
      <c r="T32" s="666" t="s">
        <v>14</v>
      </c>
      <c r="U32" s="667">
        <f t="shared" si="11"/>
        <v>100</v>
      </c>
      <c r="V32" s="666" t="s">
        <v>14</v>
      </c>
      <c r="W32" s="667">
        <f t="shared" si="12"/>
        <v>100</v>
      </c>
      <c r="X32" s="1264"/>
      <c r="Y32" s="339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94"/>
      <c r="Q33" s="1262"/>
      <c r="R33" s="666"/>
      <c r="S33" s="667"/>
      <c r="T33" s="666"/>
      <c r="U33" s="667"/>
      <c r="V33" s="666"/>
      <c r="W33" s="667"/>
      <c r="X33" s="1264"/>
      <c r="Y33" s="339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4"/>
      <c r="Q34" s="1262" t="str">
        <f t="shared" si="8"/>
        <v>土地级别</v>
      </c>
      <c r="R34" s="666" t="s">
        <v>14</v>
      </c>
      <c r="S34" s="667">
        <f t="shared" si="10"/>
        <v>100</v>
      </c>
      <c r="T34" s="666" t="s">
        <v>14</v>
      </c>
      <c r="U34" s="667">
        <f t="shared" si="11"/>
        <v>100</v>
      </c>
      <c r="V34" s="666" t="s">
        <v>14</v>
      </c>
      <c r="W34" s="667">
        <f t="shared" si="12"/>
        <v>100</v>
      </c>
      <c r="X34" s="1264"/>
      <c r="Y34" s="339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4"/>
      <c r="Q35" s="1262">
        <f t="shared" si="8"/>
        <v>111</v>
      </c>
      <c r="R35" s="666" t="s">
        <v>14</v>
      </c>
      <c r="S35" s="667">
        <f t="shared" si="10"/>
        <v>100</v>
      </c>
      <c r="T35" s="666" t="s">
        <v>14</v>
      </c>
      <c r="U35" s="667">
        <f t="shared" si="11"/>
        <v>100</v>
      </c>
      <c r="V35" s="666" t="s">
        <v>14</v>
      </c>
      <c r="W35" s="667">
        <f t="shared" si="12"/>
        <v>100</v>
      </c>
      <c r="X35" s="1264"/>
      <c r="Y35" s="339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2">
        <f t="shared" si="8"/>
        <v>111</v>
      </c>
      <c r="R36" s="666" t="s">
        <v>14</v>
      </c>
      <c r="S36" s="667">
        <f t="shared" si="10"/>
        <v>100</v>
      </c>
      <c r="T36" s="666" t="s">
        <v>14</v>
      </c>
      <c r="U36" s="667">
        <f t="shared" si="11"/>
        <v>100</v>
      </c>
      <c r="V36" s="666" t="s">
        <v>14</v>
      </c>
      <c r="W36" s="667">
        <f t="shared" si="12"/>
        <v>100</v>
      </c>
      <c r="X36" s="1264"/>
      <c r="Y36" s="339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8"/>
      <c r="Q37" s="1262">
        <f t="shared" si="8"/>
        <v>111</v>
      </c>
      <c r="R37" s="668" t="s">
        <v>14</v>
      </c>
      <c r="S37" s="669">
        <f t="shared" si="10"/>
        <v>100</v>
      </c>
      <c r="T37" s="668" t="s">
        <v>14</v>
      </c>
      <c r="U37" s="669">
        <f t="shared" si="11"/>
        <v>100</v>
      </c>
      <c r="V37" s="668" t="s">
        <v>14</v>
      </c>
      <c r="W37" s="669">
        <f t="shared" si="12"/>
        <v>100</v>
      </c>
      <c r="X37" s="670"/>
      <c r="Y37" s="3398"/>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8"/>
      <c r="Q38" s="1262" t="str">
        <f>B38</f>
        <v>宗地面积</v>
      </c>
      <c r="R38" s="666" t="s">
        <v>14</v>
      </c>
      <c r="S38" s="667" t="e">
        <f t="shared" si="10"/>
        <v>#N/A</v>
      </c>
      <c r="T38" s="666" t="s">
        <v>14</v>
      </c>
      <c r="U38" s="667" t="e">
        <f t="shared" si="11"/>
        <v>#N/A</v>
      </c>
      <c r="V38" s="666" t="s">
        <v>14</v>
      </c>
      <c r="W38" s="667" t="e">
        <f t="shared" si="12"/>
        <v>#N/A</v>
      </c>
      <c r="X38" s="1264"/>
      <c r="Y38" s="339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98"/>
      <c r="Q39" s="1262" t="str">
        <f t="shared" ref="Q39:Q45" si="14">B39</f>
        <v>宗地形状</v>
      </c>
      <c r="R39" s="666" t="s">
        <v>14</v>
      </c>
      <c r="S39" s="667">
        <f t="shared" si="10"/>
        <v>100</v>
      </c>
      <c r="T39" s="666" t="s">
        <v>14</v>
      </c>
      <c r="U39" s="667">
        <f t="shared" si="11"/>
        <v>100</v>
      </c>
      <c r="V39" s="666" t="s">
        <v>14</v>
      </c>
      <c r="W39" s="667">
        <f t="shared" si="12"/>
        <v>100</v>
      </c>
      <c r="X39" s="1264"/>
      <c r="Y39" s="339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98"/>
      <c r="Q40" s="1262" t="str">
        <f t="shared" si="14"/>
        <v>临街宽度及深度</v>
      </c>
      <c r="R40" s="666" t="s">
        <v>14</v>
      </c>
      <c r="S40" s="667">
        <f t="shared" si="10"/>
        <v>100</v>
      </c>
      <c r="T40" s="666" t="s">
        <v>14</v>
      </c>
      <c r="U40" s="667">
        <f t="shared" si="11"/>
        <v>100</v>
      </c>
      <c r="V40" s="666" t="s">
        <v>14</v>
      </c>
      <c r="W40" s="667">
        <f t="shared" si="12"/>
        <v>100</v>
      </c>
      <c r="X40" s="1264"/>
      <c r="Y40" s="339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98"/>
      <c r="Q41" s="1262" t="str">
        <f t="shared" si="14"/>
        <v>宗地开发程度</v>
      </c>
      <c r="R41" s="663" t="s">
        <v>14</v>
      </c>
      <c r="S41" s="664">
        <f t="shared" si="10"/>
        <v>100</v>
      </c>
      <c r="T41" s="663" t="s">
        <v>14</v>
      </c>
      <c r="U41" s="664">
        <f t="shared" si="11"/>
        <v>100</v>
      </c>
      <c r="V41" s="663" t="s">
        <v>14</v>
      </c>
      <c r="W41" s="664">
        <f t="shared" si="12"/>
        <v>100</v>
      </c>
      <c r="X41" s="665"/>
      <c r="Y41" s="339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98" t="s">
        <v>1696</v>
      </c>
      <c r="Q42" s="1262" t="str">
        <f t="shared" si="14"/>
        <v>工程地质条件</v>
      </c>
      <c r="R42" s="666" t="s">
        <v>14</v>
      </c>
      <c r="S42" s="667">
        <f t="shared" si="10"/>
        <v>100</v>
      </c>
      <c r="T42" s="666" t="s">
        <v>14</v>
      </c>
      <c r="U42" s="667">
        <f t="shared" si="11"/>
        <v>100</v>
      </c>
      <c r="V42" s="666" t="s">
        <v>14</v>
      </c>
      <c r="W42" s="667">
        <f t="shared" si="12"/>
        <v>100</v>
      </c>
      <c r="X42" s="1264"/>
      <c r="Y42" s="339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8"/>
      <c r="Q43" s="1262">
        <f t="shared" si="14"/>
        <v>111</v>
      </c>
      <c r="R43" s="666" t="s">
        <v>14</v>
      </c>
      <c r="S43" s="667">
        <f t="shared" si="10"/>
        <v>100</v>
      </c>
      <c r="T43" s="666" t="s">
        <v>14</v>
      </c>
      <c r="U43" s="667">
        <f t="shared" si="11"/>
        <v>100</v>
      </c>
      <c r="V43" s="666" t="s">
        <v>14</v>
      </c>
      <c r="W43" s="667">
        <f t="shared" si="12"/>
        <v>100</v>
      </c>
      <c r="X43" s="1264"/>
      <c r="Y43" s="339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8"/>
      <c r="Q44" s="1262">
        <f t="shared" si="14"/>
        <v>111</v>
      </c>
      <c r="R44" s="666" t="s">
        <v>14</v>
      </c>
      <c r="S44" s="667">
        <f t="shared" si="10"/>
        <v>100</v>
      </c>
      <c r="T44" s="666" t="s">
        <v>14</v>
      </c>
      <c r="U44" s="667">
        <f t="shared" si="11"/>
        <v>100</v>
      </c>
      <c r="V44" s="666" t="s">
        <v>14</v>
      </c>
      <c r="W44" s="667">
        <f t="shared" si="12"/>
        <v>100</v>
      </c>
      <c r="X44" s="1264"/>
      <c r="Y44" s="3398"/>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8"/>
      <c r="Q45" s="1262">
        <f t="shared" si="14"/>
        <v>111</v>
      </c>
      <c r="R45" s="668" t="s">
        <v>14</v>
      </c>
      <c r="S45" s="669">
        <f t="shared" si="10"/>
        <v>100</v>
      </c>
      <c r="T45" s="668" t="s">
        <v>14</v>
      </c>
      <c r="U45" s="669">
        <f t="shared" si="11"/>
        <v>100</v>
      </c>
      <c r="V45" s="668" t="s">
        <v>14</v>
      </c>
      <c r="W45" s="669">
        <f t="shared" si="12"/>
        <v>100</v>
      </c>
      <c r="X45" s="670"/>
      <c r="Y45" s="3398"/>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3"/>
      <c r="M46" s="2486"/>
      <c r="N46" s="2486"/>
      <c r="O46" s="2486"/>
      <c r="P46" s="3400" t="str">
        <f>A46</f>
        <v>成交单价</v>
      </c>
      <c r="Q46" s="3400"/>
      <c r="R46" s="3361">
        <f>E46</f>
        <v>0</v>
      </c>
      <c r="S46" s="3361"/>
      <c r="T46" s="3361">
        <f>G46</f>
        <v>0</v>
      </c>
      <c r="U46" s="3361"/>
      <c r="V46" s="3361">
        <f>I46</f>
        <v>0</v>
      </c>
      <c r="W46" s="3361"/>
      <c r="X46" s="385"/>
      <c r="Y46" s="672"/>
      <c r="Z46" s="385"/>
      <c r="AA46" s="385"/>
      <c r="AB46" s="385"/>
      <c r="AC46" s="385"/>
    </row>
    <row r="47" spans="1:29" ht="15.75" thickBot="1">
      <c r="A47" s="423" t="s">
        <v>1793</v>
      </c>
      <c r="B47" s="603"/>
      <c r="C47" s="426" t="e">
        <f>R48</f>
        <v>#DIV/0!</v>
      </c>
      <c r="D47" s="2140" t="s">
        <v>2136</v>
      </c>
      <c r="E47" s="426" t="e">
        <f>R47</f>
        <v>#DIV/0!</v>
      </c>
      <c r="F47" s="2141"/>
      <c r="G47" s="425" t="e">
        <f>T47</f>
        <v>#DIV/0!</v>
      </c>
      <c r="H47" s="2141"/>
      <c r="I47" s="426" t="e">
        <f>V47</f>
        <v>#DIV/0!</v>
      </c>
      <c r="J47" s="2141"/>
      <c r="K47" s="2143">
        <f>F47+H47+J47</f>
        <v>0</v>
      </c>
      <c r="L47" s="2493"/>
      <c r="M47" s="2486"/>
      <c r="N47" s="2486"/>
      <c r="O47" s="2486"/>
      <c r="P47" s="3400" t="str">
        <f>A47</f>
        <v>比较价值（元/平方米）</v>
      </c>
      <c r="Q47" s="3400"/>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01" t="str">
        <f>A48</f>
        <v>估价对象XX用房的比较价值（楼面单价，元/平方米）</v>
      </c>
      <c r="Q48" s="3402"/>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6" t="s">
        <v>1886</v>
      </c>
      <c r="G55" s="3378" t="s">
        <v>1887</v>
      </c>
      <c r="H55" s="3446"/>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119.31</v>
      </c>
      <c r="F56" s="832" t="e">
        <f t="shared" ref="F56:F64" si="15">ROUND(B56*E56/10000,0)</f>
        <v>#DIV/0!</v>
      </c>
      <c r="G56" s="3377"/>
      <c r="H56" s="3400"/>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0">
        <v>0.25</v>
      </c>
      <c r="E57" s="614"/>
      <c r="F57" s="832" t="e">
        <f t="shared" si="15"/>
        <v>#DIV/0!</v>
      </c>
      <c r="G57" s="2749" t="s">
        <v>1892</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0">
        <v>0.25</v>
      </c>
      <c r="E58" s="614"/>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0">
        <v>0.25</v>
      </c>
      <c r="E59" s="614"/>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0">
        <v>0.25</v>
      </c>
      <c r="E63" s="209">
        <f>'数据-汇总表'!E14</f>
        <v>0</v>
      </c>
      <c r="F63" s="832" t="e">
        <f t="shared" si="15"/>
        <v>#DIV/0!</v>
      </c>
      <c r="G63" s="1834" t="s">
        <v>1892</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119.31</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64" t="s">
        <v>1771</v>
      </c>
      <c r="S4" s="3365"/>
      <c r="T4" s="3364" t="s">
        <v>1772</v>
      </c>
      <c r="U4" s="3365"/>
      <c r="V4" s="3361" t="s">
        <v>1773</v>
      </c>
      <c r="W4" s="3361"/>
      <c r="X4" s="1264"/>
      <c r="Y4" s="3364" t="s">
        <v>1775</v>
      </c>
      <c r="Z4" s="3365"/>
      <c r="AA4" s="3358" t="s">
        <v>1771</v>
      </c>
      <c r="AB4" s="3359" t="s">
        <v>1772</v>
      </c>
      <c r="AC4" s="3358" t="s">
        <v>1773</v>
      </c>
    </row>
    <row r="5" spans="1:29" ht="15">
      <c r="A5" s="348"/>
      <c r="B5" s="349"/>
      <c r="C5" s="3426" t="s">
        <v>1673</v>
      </c>
      <c r="D5" s="3371"/>
      <c r="E5" s="3425" t="s">
        <v>1674</v>
      </c>
      <c r="F5" s="3369"/>
      <c r="G5" s="3426" t="s">
        <v>1675</v>
      </c>
      <c r="H5" s="3371"/>
      <c r="I5" s="3426" t="s">
        <v>1676</v>
      </c>
      <c r="J5" s="3371"/>
      <c r="K5" s="537"/>
      <c r="L5" s="2485"/>
      <c r="M5" s="2486"/>
      <c r="N5" s="2486"/>
      <c r="O5" s="2486"/>
      <c r="P5" s="3384"/>
      <c r="Q5" s="3385"/>
      <c r="R5" s="3366"/>
      <c r="S5" s="3367"/>
      <c r="T5" s="3366"/>
      <c r="U5" s="3367"/>
      <c r="V5" s="3361"/>
      <c r="W5" s="3361"/>
      <c r="X5" s="1264"/>
      <c r="Y5" s="3366"/>
      <c r="Z5" s="3367"/>
      <c r="AA5" s="3359"/>
      <c r="AB5" s="3359"/>
      <c r="AC5" s="3359"/>
    </row>
    <row r="6" spans="1:29" ht="15.75" thickBot="1">
      <c r="A6" s="350"/>
      <c r="B6" s="351"/>
      <c r="C6" s="3447" t="s">
        <v>1919</v>
      </c>
      <c r="D6" s="3448"/>
      <c r="E6" s="3449" t="s">
        <v>1919</v>
      </c>
      <c r="F6" s="3450"/>
      <c r="G6" s="3447" t="s">
        <v>1919</v>
      </c>
      <c r="H6" s="3448"/>
      <c r="I6" s="3447" t="s">
        <v>1919</v>
      </c>
      <c r="J6" s="3448"/>
      <c r="K6" s="537" t="s">
        <v>1678</v>
      </c>
      <c r="L6" s="2485"/>
      <c r="M6" s="2486"/>
      <c r="N6" s="2486"/>
      <c r="O6" s="2486"/>
      <c r="P6" s="3386"/>
      <c r="Q6" s="3387"/>
      <c r="R6" s="3366"/>
      <c r="S6" s="3367"/>
      <c r="T6" s="3388"/>
      <c r="U6" s="3389"/>
      <c r="V6" s="3361"/>
      <c r="W6" s="3361"/>
      <c r="X6" s="1264"/>
      <c r="Y6" s="3388"/>
      <c r="Z6" s="3389"/>
      <c r="AA6" s="3360"/>
      <c r="AB6" s="3360"/>
      <c r="AC6" s="3360"/>
    </row>
    <row r="7" spans="1:29" s="102" customFormat="1" ht="15.75" thickBot="1">
      <c r="A7" s="352" t="s">
        <v>1679</v>
      </c>
      <c r="B7" s="353"/>
      <c r="C7" s="354">
        <f>'数据-取费表'!B2</f>
        <v>45611</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62" t="s">
        <v>1680</v>
      </c>
      <c r="Q7" s="3390"/>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2" t="s">
        <v>1683</v>
      </c>
      <c r="Q8" s="3363"/>
      <c r="R8" s="663" t="s">
        <v>14</v>
      </c>
      <c r="S8" s="664">
        <f t="shared" si="0"/>
        <v>0</v>
      </c>
      <c r="T8" s="663" t="s">
        <v>14</v>
      </c>
      <c r="U8" s="664">
        <f t="shared" si="1"/>
        <v>0</v>
      </c>
      <c r="V8" s="663" t="s">
        <v>14</v>
      </c>
      <c r="W8" s="664">
        <f t="shared" si="2"/>
        <v>0</v>
      </c>
      <c r="X8" s="665"/>
      <c r="Y8" s="3362" t="s">
        <v>1683</v>
      </c>
      <c r="Z8" s="336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00" t="s">
        <v>1686</v>
      </c>
      <c r="Q9" s="530" t="str">
        <f t="shared" ref="Q9:Q15" si="6">B9</f>
        <v>用途</v>
      </c>
      <c r="R9" s="663" t="s">
        <v>14</v>
      </c>
      <c r="S9" s="664">
        <f t="shared" si="0"/>
        <v>100</v>
      </c>
      <c r="T9" s="663" t="s">
        <v>14</v>
      </c>
      <c r="U9" s="664">
        <f t="shared" si="1"/>
        <v>100</v>
      </c>
      <c r="V9" s="663" t="s">
        <v>14</v>
      </c>
      <c r="W9" s="664">
        <f t="shared" si="2"/>
        <v>100</v>
      </c>
      <c r="X9" s="665"/>
      <c r="Y9" s="332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160</v>
      </c>
      <c r="G10" s="371"/>
      <c r="H10" s="119">
        <f>ROUND(100/'数据-取费表'!G16,0)</f>
        <v>160</v>
      </c>
      <c r="I10" s="371"/>
      <c r="J10" s="119">
        <f>ROUND(100/'数据-取费表'!G16,0)</f>
        <v>160</v>
      </c>
      <c r="K10" s="592"/>
      <c r="L10" s="2488"/>
      <c r="M10" s="2489"/>
      <c r="N10" s="2489"/>
      <c r="O10" s="2540"/>
      <c r="P10" s="3400"/>
      <c r="Q10" s="530" t="str">
        <f t="shared" si="6"/>
        <v>土地使用年限（年）</v>
      </c>
      <c r="R10" s="663" t="s">
        <v>14</v>
      </c>
      <c r="S10" s="664">
        <f t="shared" si="0"/>
        <v>160</v>
      </c>
      <c r="T10" s="663" t="s">
        <v>14</v>
      </c>
      <c r="U10" s="664">
        <f t="shared" si="1"/>
        <v>160</v>
      </c>
      <c r="V10" s="663" t="s">
        <v>14</v>
      </c>
      <c r="W10" s="664">
        <f t="shared" si="2"/>
        <v>160</v>
      </c>
      <c r="X10" s="665"/>
      <c r="Y10" s="3326"/>
      <c r="Z10" s="50" t="str">
        <f t="shared" si="7"/>
        <v>土地使用年限（年）</v>
      </c>
      <c r="AA10" s="50">
        <f t="shared" si="3"/>
        <v>0.625</v>
      </c>
      <c r="AB10" s="50">
        <f t="shared" si="4"/>
        <v>0.625</v>
      </c>
      <c r="AC10" s="50">
        <f t="shared" si="5"/>
        <v>0.625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0"/>
      <c r="Q11" s="530" t="str">
        <f t="shared" si="6"/>
        <v>容积率</v>
      </c>
      <c r="R11" s="663" t="s">
        <v>14</v>
      </c>
      <c r="S11" s="664" t="e">
        <f t="shared" si="0"/>
        <v>#N/A</v>
      </c>
      <c r="T11" s="663" t="s">
        <v>14</v>
      </c>
      <c r="U11" s="664" t="e">
        <f t="shared" si="1"/>
        <v>#N/A</v>
      </c>
      <c r="V11" s="663" t="s">
        <v>14</v>
      </c>
      <c r="W11" s="664" t="e">
        <f t="shared" si="2"/>
        <v>#N/A</v>
      </c>
      <c r="X11" s="665"/>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0"/>
      <c r="Q12" s="530">
        <f t="shared" si="6"/>
        <v>111</v>
      </c>
      <c r="R12" s="663" t="s">
        <v>14</v>
      </c>
      <c r="S12" s="664">
        <f t="shared" si="0"/>
        <v>100</v>
      </c>
      <c r="T12" s="663" t="s">
        <v>14</v>
      </c>
      <c r="U12" s="664">
        <f t="shared" si="1"/>
        <v>100</v>
      </c>
      <c r="V12" s="663" t="s">
        <v>14</v>
      </c>
      <c r="W12" s="664">
        <f t="shared" si="2"/>
        <v>100</v>
      </c>
      <c r="X12" s="665"/>
      <c r="Y12" s="33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0"/>
      <c r="Q13" s="530">
        <f t="shared" si="6"/>
        <v>111</v>
      </c>
      <c r="R13" s="663" t="s">
        <v>14</v>
      </c>
      <c r="S13" s="664">
        <f t="shared" si="0"/>
        <v>100</v>
      </c>
      <c r="T13" s="663" t="s">
        <v>14</v>
      </c>
      <c r="U13" s="664">
        <f t="shared" si="1"/>
        <v>100</v>
      </c>
      <c r="V13" s="663" t="s">
        <v>14</v>
      </c>
      <c r="W13" s="664">
        <f t="shared" si="2"/>
        <v>100</v>
      </c>
      <c r="X13" s="665"/>
      <c r="Y13" s="332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0"/>
      <c r="Q14" s="530">
        <f t="shared" si="6"/>
        <v>111</v>
      </c>
      <c r="R14" s="663" t="s">
        <v>14</v>
      </c>
      <c r="S14" s="664">
        <f t="shared" si="0"/>
        <v>100</v>
      </c>
      <c r="T14" s="663" t="s">
        <v>14</v>
      </c>
      <c r="U14" s="664">
        <f t="shared" si="1"/>
        <v>100</v>
      </c>
      <c r="V14" s="663" t="s">
        <v>14</v>
      </c>
      <c r="W14" s="664">
        <f t="shared" si="2"/>
        <v>100</v>
      </c>
      <c r="X14" s="665"/>
      <c r="Y14" s="332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94"/>
      <c r="Q16" s="1262"/>
      <c r="R16" s="666"/>
      <c r="S16" s="667"/>
      <c r="T16" s="666"/>
      <c r="U16" s="667"/>
      <c r="V16" s="666"/>
      <c r="W16" s="667"/>
      <c r="X16" s="1264"/>
      <c r="Y16" s="339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94"/>
      <c r="Q18" s="1262"/>
      <c r="R18" s="666"/>
      <c r="S18" s="667"/>
      <c r="T18" s="666"/>
      <c r="U18" s="667"/>
      <c r="V18" s="666"/>
      <c r="W18" s="667"/>
      <c r="X18" s="1264"/>
      <c r="Y18" s="339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4"/>
      <c r="Q19" s="1262" t="str">
        <f t="shared" ref="Q19:Q33" si="8">B19</f>
        <v>区域土地利用方向</v>
      </c>
      <c r="R19" s="666" t="s">
        <v>14</v>
      </c>
      <c r="S19" s="667">
        <f>F19</f>
        <v>100</v>
      </c>
      <c r="T19" s="666" t="s">
        <v>14</v>
      </c>
      <c r="U19" s="667">
        <f>H19</f>
        <v>100</v>
      </c>
      <c r="V19" s="666" t="s">
        <v>14</v>
      </c>
      <c r="W19" s="667">
        <f>J19</f>
        <v>100</v>
      </c>
      <c r="X19" s="1264"/>
      <c r="Y19" s="339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1"/>
      <c r="M20" s="2486"/>
      <c r="N20" s="2486"/>
      <c r="O20" s="2541"/>
      <c r="P20" s="3394"/>
      <c r="Q20" s="1262"/>
      <c r="R20" s="666"/>
      <c r="S20" s="667"/>
      <c r="T20" s="666"/>
      <c r="U20" s="667"/>
      <c r="V20" s="666"/>
      <c r="W20" s="667"/>
      <c r="X20" s="1264"/>
      <c r="Y20" s="339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4"/>
      <c r="Q21" s="1262" t="str">
        <f t="shared" si="8"/>
        <v>环境状况</v>
      </c>
      <c r="R21" s="666" t="s">
        <v>14</v>
      </c>
      <c r="S21" s="667">
        <f>F21</f>
        <v>100</v>
      </c>
      <c r="T21" s="666" t="s">
        <v>14</v>
      </c>
      <c r="U21" s="667">
        <f>H21</f>
        <v>100</v>
      </c>
      <c r="V21" s="666" t="s">
        <v>14</v>
      </c>
      <c r="W21" s="667">
        <f>J21</f>
        <v>100</v>
      </c>
      <c r="X21" s="1264"/>
      <c r="Y21" s="339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94"/>
      <c r="Q22" s="1262"/>
      <c r="R22" s="666"/>
      <c r="S22" s="667"/>
      <c r="T22" s="666"/>
      <c r="U22" s="667"/>
      <c r="V22" s="666"/>
      <c r="W22" s="667"/>
      <c r="X22" s="1264"/>
      <c r="Y22" s="339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4"/>
      <c r="Q23" s="530" t="str">
        <f t="shared" si="8"/>
        <v>公共配套设施</v>
      </c>
      <c r="R23" s="663" t="s">
        <v>14</v>
      </c>
      <c r="S23" s="664">
        <f>F23</f>
        <v>100</v>
      </c>
      <c r="T23" s="663" t="s">
        <v>14</v>
      </c>
      <c r="U23" s="664">
        <f>H23</f>
        <v>100</v>
      </c>
      <c r="V23" s="663" t="s">
        <v>14</v>
      </c>
      <c r="W23" s="664">
        <f>J23</f>
        <v>100</v>
      </c>
      <c r="X23" s="665"/>
      <c r="Y23" s="339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94"/>
      <c r="Q24" s="530"/>
      <c r="R24" s="663"/>
      <c r="S24" s="664"/>
      <c r="T24" s="663"/>
      <c r="U24" s="664"/>
      <c r="V24" s="663"/>
      <c r="W24" s="664"/>
      <c r="X24" s="665"/>
      <c r="Y24" s="339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4"/>
      <c r="Q25" s="530" t="str">
        <f t="shared" ref="Q25" si="9">B25</f>
        <v>基础设施水平</v>
      </c>
      <c r="R25" s="663" t="s">
        <v>14</v>
      </c>
      <c r="S25" s="664">
        <f>F25</f>
        <v>100</v>
      </c>
      <c r="T25" s="663" t="s">
        <v>14</v>
      </c>
      <c r="U25" s="664">
        <f>H25</f>
        <v>100</v>
      </c>
      <c r="V25" s="663" t="s">
        <v>14</v>
      </c>
      <c r="W25" s="664">
        <f>J25</f>
        <v>100</v>
      </c>
      <c r="X25" s="665"/>
      <c r="Y25" s="339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94"/>
      <c r="Q26" s="530"/>
      <c r="R26" s="663"/>
      <c r="S26" s="664"/>
      <c r="T26" s="663"/>
      <c r="U26" s="664"/>
      <c r="V26" s="663"/>
      <c r="W26" s="664"/>
      <c r="X26" s="665"/>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4"/>
      <c r="Q28" s="1262" t="str">
        <f t="shared" si="8"/>
        <v>毗邻道路的类型与等级</v>
      </c>
      <c r="R28" s="666" t="s">
        <v>14</v>
      </c>
      <c r="S28" s="667">
        <f t="shared" si="10"/>
        <v>100</v>
      </c>
      <c r="T28" s="666" t="s">
        <v>14</v>
      </c>
      <c r="U28" s="667">
        <f t="shared" si="11"/>
        <v>100</v>
      </c>
      <c r="V28" s="666" t="s">
        <v>14</v>
      </c>
      <c r="W28" s="667">
        <f t="shared" si="12"/>
        <v>100</v>
      </c>
      <c r="X28" s="1264"/>
      <c r="Y28" s="339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94"/>
      <c r="Q29" s="1262"/>
      <c r="R29" s="666"/>
      <c r="S29" s="667"/>
      <c r="T29" s="666"/>
      <c r="U29" s="667"/>
      <c r="V29" s="666"/>
      <c r="W29" s="667"/>
      <c r="X29" s="1264"/>
      <c r="Y29" s="339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4"/>
      <c r="Q30" s="1262" t="str">
        <f t="shared" si="8"/>
        <v>土地级别</v>
      </c>
      <c r="R30" s="666" t="s">
        <v>14</v>
      </c>
      <c r="S30" s="667">
        <f t="shared" si="10"/>
        <v>100</v>
      </c>
      <c r="T30" s="666" t="s">
        <v>14</v>
      </c>
      <c r="U30" s="667">
        <f t="shared" si="11"/>
        <v>100</v>
      </c>
      <c r="V30" s="666" t="s">
        <v>14</v>
      </c>
      <c r="W30" s="667">
        <f t="shared" si="12"/>
        <v>100</v>
      </c>
      <c r="X30" s="1264"/>
      <c r="Y30" s="339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4"/>
      <c r="Q31" s="1262">
        <f t="shared" si="8"/>
        <v>111</v>
      </c>
      <c r="R31" s="666" t="s">
        <v>14</v>
      </c>
      <c r="S31" s="667">
        <f t="shared" si="10"/>
        <v>100</v>
      </c>
      <c r="T31" s="666" t="s">
        <v>14</v>
      </c>
      <c r="U31" s="667">
        <f t="shared" si="11"/>
        <v>100</v>
      </c>
      <c r="V31" s="666" t="s">
        <v>14</v>
      </c>
      <c r="W31" s="667">
        <f t="shared" si="12"/>
        <v>100</v>
      </c>
      <c r="X31" s="1264"/>
      <c r="Y31" s="339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2">
        <f t="shared" si="8"/>
        <v>111</v>
      </c>
      <c r="R32" s="666" t="s">
        <v>14</v>
      </c>
      <c r="S32" s="667">
        <f t="shared" si="10"/>
        <v>100</v>
      </c>
      <c r="T32" s="666" t="s">
        <v>14</v>
      </c>
      <c r="U32" s="667">
        <f t="shared" si="11"/>
        <v>100</v>
      </c>
      <c r="V32" s="666" t="s">
        <v>14</v>
      </c>
      <c r="W32" s="667">
        <f t="shared" si="12"/>
        <v>100</v>
      </c>
      <c r="X32" s="1264"/>
      <c r="Y32" s="339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8"/>
      <c r="Q33" s="1262">
        <f t="shared" si="8"/>
        <v>111</v>
      </c>
      <c r="R33" s="668" t="s">
        <v>14</v>
      </c>
      <c r="S33" s="669">
        <f t="shared" si="10"/>
        <v>100</v>
      </c>
      <c r="T33" s="668" t="s">
        <v>14</v>
      </c>
      <c r="U33" s="669">
        <f t="shared" si="11"/>
        <v>100</v>
      </c>
      <c r="V33" s="668" t="s">
        <v>14</v>
      </c>
      <c r="W33" s="669">
        <f t="shared" si="12"/>
        <v>100</v>
      </c>
      <c r="X33" s="670"/>
      <c r="Y33" s="3398"/>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8"/>
      <c r="Q34" s="1262" t="str">
        <f>B34</f>
        <v>宗地面积</v>
      </c>
      <c r="R34" s="666" t="s">
        <v>14</v>
      </c>
      <c r="S34" s="667" t="e">
        <f t="shared" si="10"/>
        <v>#N/A</v>
      </c>
      <c r="T34" s="666" t="s">
        <v>14</v>
      </c>
      <c r="U34" s="667" t="e">
        <f t="shared" si="11"/>
        <v>#N/A</v>
      </c>
      <c r="V34" s="666" t="s">
        <v>14</v>
      </c>
      <c r="W34" s="667" t="e">
        <f t="shared" si="12"/>
        <v>#N/A</v>
      </c>
      <c r="X34" s="1264"/>
      <c r="Y34" s="339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98"/>
      <c r="Q35" s="1262" t="str">
        <f t="shared" ref="Q35:Q40" si="14">B35</f>
        <v>宗地形状</v>
      </c>
      <c r="R35" s="666" t="s">
        <v>14</v>
      </c>
      <c r="S35" s="667">
        <f t="shared" si="10"/>
        <v>100</v>
      </c>
      <c r="T35" s="666" t="s">
        <v>14</v>
      </c>
      <c r="U35" s="667">
        <f t="shared" si="11"/>
        <v>100</v>
      </c>
      <c r="V35" s="666" t="s">
        <v>14</v>
      </c>
      <c r="W35" s="667">
        <f t="shared" si="12"/>
        <v>100</v>
      </c>
      <c r="X35" s="1264"/>
      <c r="Y35" s="339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98"/>
      <c r="Q36" s="1262" t="str">
        <f t="shared" si="14"/>
        <v>宗地开发程度</v>
      </c>
      <c r="R36" s="663" t="s">
        <v>14</v>
      </c>
      <c r="S36" s="664">
        <f t="shared" si="10"/>
        <v>100</v>
      </c>
      <c r="T36" s="663" t="s">
        <v>14</v>
      </c>
      <c r="U36" s="664">
        <f t="shared" si="11"/>
        <v>100</v>
      </c>
      <c r="V36" s="663" t="s">
        <v>14</v>
      </c>
      <c r="W36" s="664">
        <f t="shared" si="12"/>
        <v>100</v>
      </c>
      <c r="X36" s="665"/>
      <c r="Y36" s="339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98" t="s">
        <v>1696</v>
      </c>
      <c r="Q37" s="1262" t="str">
        <f t="shared" si="14"/>
        <v>工程地质条件</v>
      </c>
      <c r="R37" s="666" t="s">
        <v>14</v>
      </c>
      <c r="S37" s="667">
        <f t="shared" si="10"/>
        <v>100</v>
      </c>
      <c r="T37" s="666" t="s">
        <v>14</v>
      </c>
      <c r="U37" s="667">
        <f t="shared" si="11"/>
        <v>100</v>
      </c>
      <c r="V37" s="666" t="s">
        <v>14</v>
      </c>
      <c r="W37" s="667">
        <f t="shared" si="12"/>
        <v>100</v>
      </c>
      <c r="X37" s="1264"/>
      <c r="Y37" s="339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8"/>
      <c r="Q38" s="1262">
        <f t="shared" si="14"/>
        <v>111</v>
      </c>
      <c r="R38" s="666" t="s">
        <v>14</v>
      </c>
      <c r="S38" s="667">
        <f t="shared" si="10"/>
        <v>100</v>
      </c>
      <c r="T38" s="666" t="s">
        <v>14</v>
      </c>
      <c r="U38" s="667">
        <f t="shared" si="11"/>
        <v>100</v>
      </c>
      <c r="V38" s="666" t="s">
        <v>14</v>
      </c>
      <c r="W38" s="667">
        <f t="shared" si="12"/>
        <v>100</v>
      </c>
      <c r="X38" s="1264"/>
      <c r="Y38" s="339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8"/>
      <c r="Q39" s="1262">
        <f t="shared" si="14"/>
        <v>111</v>
      </c>
      <c r="R39" s="666" t="s">
        <v>14</v>
      </c>
      <c r="S39" s="667">
        <f t="shared" si="10"/>
        <v>100</v>
      </c>
      <c r="T39" s="666" t="s">
        <v>14</v>
      </c>
      <c r="U39" s="667">
        <f t="shared" si="11"/>
        <v>100</v>
      </c>
      <c r="V39" s="666" t="s">
        <v>14</v>
      </c>
      <c r="W39" s="667">
        <f t="shared" si="12"/>
        <v>100</v>
      </c>
      <c r="X39" s="1264"/>
      <c r="Y39" s="3398"/>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8"/>
      <c r="Q40" s="1262">
        <f t="shared" si="14"/>
        <v>111</v>
      </c>
      <c r="R40" s="668" t="s">
        <v>14</v>
      </c>
      <c r="S40" s="669">
        <f t="shared" si="10"/>
        <v>100</v>
      </c>
      <c r="T40" s="668" t="s">
        <v>14</v>
      </c>
      <c r="U40" s="669">
        <f t="shared" si="11"/>
        <v>100</v>
      </c>
      <c r="V40" s="668" t="s">
        <v>14</v>
      </c>
      <c r="W40" s="669">
        <f t="shared" si="12"/>
        <v>100</v>
      </c>
      <c r="X40" s="670"/>
      <c r="Y40" s="3398"/>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3"/>
      <c r="M41" s="2486"/>
      <c r="N41" s="2486"/>
      <c r="O41" s="2486"/>
      <c r="P41" s="3400" t="str">
        <f>A41</f>
        <v>成交单价</v>
      </c>
      <c r="Q41" s="3400"/>
      <c r="R41" s="3361">
        <f>E41</f>
        <v>0</v>
      </c>
      <c r="S41" s="3361"/>
      <c r="T41" s="3361">
        <f>G41</f>
        <v>0</v>
      </c>
      <c r="U41" s="3361"/>
      <c r="V41" s="3361">
        <f>I41</f>
        <v>0</v>
      </c>
      <c r="W41" s="3361"/>
      <c r="X41" s="385"/>
      <c r="Y41" s="672"/>
      <c r="Z41" s="385"/>
      <c r="AA41" s="385"/>
      <c r="AB41" s="385"/>
      <c r="AC41" s="385"/>
    </row>
    <row r="42" spans="1:31" ht="15.75" thickBot="1">
      <c r="A42" s="423" t="s">
        <v>1793</v>
      </c>
      <c r="B42" s="603"/>
      <c r="C42" s="426" t="e">
        <f>R43</f>
        <v>#DIV/0!</v>
      </c>
      <c r="D42" s="2140" t="s">
        <v>2136</v>
      </c>
      <c r="E42" s="426" t="e">
        <f>R42</f>
        <v>#DIV/0!</v>
      </c>
      <c r="F42" s="2141"/>
      <c r="G42" s="425" t="e">
        <f>T42</f>
        <v>#DIV/0!</v>
      </c>
      <c r="H42" s="2141"/>
      <c r="I42" s="426" t="e">
        <f>V42</f>
        <v>#DIV/0!</v>
      </c>
      <c r="J42" s="2141"/>
      <c r="K42" s="2143">
        <f>F42+H42+J42</f>
        <v>0</v>
      </c>
      <c r="L42" s="2493"/>
      <c r="M42" s="2486"/>
      <c r="N42" s="2486"/>
      <c r="O42" s="2486"/>
      <c r="P42" s="3400" t="str">
        <f>A42</f>
        <v>比较价值（元/平方米）</v>
      </c>
      <c r="Q42" s="3400"/>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01" t="str">
        <f>A43</f>
        <v>估价对象XX用房的比较价值（楼面单价，元/平方米）</v>
      </c>
      <c r="Q43" s="3402"/>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78" t="s">
        <v>1887</v>
      </c>
      <c r="H50" s="3446"/>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119.31</v>
      </c>
      <c r="F51" s="611" t="e">
        <f t="shared" ref="F51:F60" si="15">ROUND(B51*E51/10000,0)</f>
        <v>#DIV/0!</v>
      </c>
      <c r="G51" s="3377"/>
      <c r="H51" s="3400"/>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0">
        <v>0.25</v>
      </c>
      <c r="E52" s="614"/>
      <c r="F52" s="611" t="e">
        <f t="shared" si="15"/>
        <v>#DIV/0!</v>
      </c>
      <c r="G52" s="2749" t="s">
        <v>1892</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0">
        <v>0.25</v>
      </c>
      <c r="E53" s="614"/>
      <c r="F53" s="611"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0">
        <v>0.25</v>
      </c>
      <c r="E54" s="614"/>
      <c r="F54" s="611"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0">
        <v>0.25</v>
      </c>
      <c r="E59" s="209">
        <f>'数据-汇总表'!E14</f>
        <v>0</v>
      </c>
      <c r="F59" s="611" t="e">
        <f t="shared" si="15"/>
        <v>#DIV/0!</v>
      </c>
      <c r="G59" s="1834" t="s">
        <v>1892</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54" t="s">
        <v>2084</v>
      </c>
      <c r="D1" s="3455"/>
      <c r="E1" s="3455"/>
      <c r="F1" s="3455"/>
      <c r="G1" s="3455"/>
      <c r="H1" s="3455"/>
      <c r="I1" s="3455"/>
      <c r="J1" s="3455"/>
      <c r="K1" s="3455"/>
      <c r="L1" s="3455"/>
      <c r="M1" s="3455"/>
      <c r="N1" s="3455"/>
      <c r="O1" s="3455"/>
      <c r="P1" s="3455"/>
      <c r="Q1" s="3455"/>
      <c r="R1" s="3455"/>
      <c r="S1" s="3456"/>
      <c r="T1" s="928" t="s">
        <v>2085</v>
      </c>
    </row>
    <row r="2" spans="1:45" s="625" customFormat="1" ht="38.25">
      <c r="A2" s="929"/>
      <c r="B2" s="622" t="s">
        <v>2086</v>
      </c>
      <c r="C2" s="14" t="str">
        <f t="shared" ref="C2:L2" si="0">C3&amp;"(含)"&amp;"-"&amp;D3</f>
        <v>0(含)-50</v>
      </c>
      <c r="D2" s="623" t="str">
        <f t="shared" si="0"/>
        <v>50(含)-150</v>
      </c>
      <c r="E2" s="623" t="str">
        <f t="shared" si="0"/>
        <v>150(含)-250</v>
      </c>
      <c r="F2" s="623" t="str">
        <f t="shared" si="0"/>
        <v>250(含)-350</v>
      </c>
      <c r="G2" s="623" t="str">
        <f t="shared" si="0"/>
        <v>350(含)-450</v>
      </c>
      <c r="H2" s="623" t="str">
        <f t="shared" si="0"/>
        <v>450(含)-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v>
      </c>
      <c r="E3" s="6">
        <v>150</v>
      </c>
      <c r="F3" s="6">
        <v>250</v>
      </c>
      <c r="G3" s="6">
        <v>350</v>
      </c>
      <c r="H3" s="6">
        <v>450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C4-2</f>
        <v>98</v>
      </c>
      <c r="E4" s="467">
        <f t="shared" ref="E4:H4" si="7">D4-2</f>
        <v>96</v>
      </c>
      <c r="F4" s="467">
        <f t="shared" si="7"/>
        <v>94</v>
      </c>
      <c r="G4" s="467">
        <f t="shared" si="7"/>
        <v>92</v>
      </c>
      <c r="H4" s="467">
        <f t="shared" si="7"/>
        <v>90</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3162" t="s">
        <v>3468</v>
      </c>
      <c r="C13" s="939" t="s">
        <v>3469</v>
      </c>
      <c r="D13" s="940" t="s">
        <v>3470</v>
      </c>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f>'比较法-商业'!N15</f>
        <v>100</v>
      </c>
      <c r="D14" s="846">
        <v>65</v>
      </c>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706.37</v>
      </c>
      <c r="C22" s="3451" t="s">
        <v>27</v>
      </c>
      <c r="D22" s="3452"/>
      <c r="E22" s="3452"/>
      <c r="F22" s="3452"/>
      <c r="G22" s="3452"/>
      <c r="H22" s="3452"/>
      <c r="I22" s="3452"/>
      <c r="J22" s="3452"/>
      <c r="K22" s="3452"/>
      <c r="L22" s="3452"/>
      <c r="M22" s="3452"/>
      <c r="N22" s="3452"/>
      <c r="O22" s="3452"/>
      <c r="P22" s="3452"/>
      <c r="Q22" s="3453"/>
      <c r="R22" s="21">
        <f ca="1">ROUND(S22*10000/B22,0)</f>
        <v>32023</v>
      </c>
      <c r="S22" s="21">
        <f ca="1">SUM(S24:S10000)</f>
        <v>2262</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楼层</v>
      </c>
      <c r="M23" s="8" t="s">
        <v>2101</v>
      </c>
      <c r="N23" s="8" t="str">
        <f>B15</f>
        <v>修正项7</v>
      </c>
      <c r="O23" s="8" t="s">
        <v>2101</v>
      </c>
      <c r="P23" s="8" t="str">
        <f>B17</f>
        <v>楼层</v>
      </c>
      <c r="Q23" s="8" t="s">
        <v>2101</v>
      </c>
      <c r="R23" s="8" t="s">
        <v>2102</v>
      </c>
      <c r="S23" s="8" t="s">
        <v>2103</v>
      </c>
      <c r="T23" s="687"/>
      <c r="U23" s="683"/>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B106</v>
      </c>
      <c r="B24" s="632">
        <f>'数据-基础表'!G13</f>
        <v>119.31</v>
      </c>
      <c r="C24" s="2569">
        <v>1</v>
      </c>
      <c r="D24" s="2570"/>
      <c r="E24" s="2569">
        <v>1</v>
      </c>
      <c r="F24" s="2570"/>
      <c r="G24" s="2569">
        <v>1</v>
      </c>
      <c r="H24" s="2570"/>
      <c r="I24" s="2569">
        <v>1</v>
      </c>
      <c r="J24" s="2570"/>
      <c r="K24" s="2569">
        <v>1</v>
      </c>
      <c r="L24" s="2570" t="s">
        <v>3462</v>
      </c>
      <c r="M24" s="2569">
        <v>1</v>
      </c>
      <c r="N24" s="2570"/>
      <c r="O24" s="2569">
        <v>1</v>
      </c>
      <c r="P24" s="2570"/>
      <c r="Q24" s="2569">
        <v>1</v>
      </c>
      <c r="R24" s="632">
        <f ca="1">结果表!H102</f>
        <v>46767</v>
      </c>
      <c r="S24" s="633">
        <f t="shared" ref="S24:S54" ca="1" si="12">ROUND(R24*B24/10000,0)</f>
        <v>558</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'数据-基础表'!C14</f>
        <v>B207</v>
      </c>
      <c r="B25" s="632">
        <f>'数据-基础表'!G14</f>
        <v>367.16</v>
      </c>
      <c r="C25" s="21">
        <f>IF(B25="",1,(LOOKUP(B25,$3:$3,$4:$4)-LOOKUP($B$24,$3:$3,$4:$4)+100)/100)</f>
        <v>0.94</v>
      </c>
      <c r="D25" s="634"/>
      <c r="E25" s="21">
        <f>(SUMIF($5:$5,D25,$6:$6)-SUMIF($5:$5,$D$24,$6:$6)+100)/100</f>
        <v>1</v>
      </c>
      <c r="F25" s="634"/>
      <c r="G25" s="21">
        <f>(SUMIF($7:$7,F25,$8:$8)-SUMIF($7:$7,$F$24,$8:$8)+100)/100</f>
        <v>1</v>
      </c>
      <c r="H25" s="634"/>
      <c r="I25" s="21">
        <f>(SUMIF($9:$9,H25,$10:$10)-SUMIF($9:$9,$H$24,$10:$10)+100)/100</f>
        <v>1</v>
      </c>
      <c r="J25" s="634"/>
      <c r="K25" s="21">
        <f>(SUMIF($11:$11,J25,$12:$12)-SUMIF($11:$11,$J$24,$12:$12)+100)/100</f>
        <v>1</v>
      </c>
      <c r="L25" s="634" t="s">
        <v>3471</v>
      </c>
      <c r="M25" s="21">
        <f>(SUMIF($13:$13,L25,$14:$14)-SUMIF($13:$13,$L$24,$14:$14)+100)/100</f>
        <v>0.65</v>
      </c>
      <c r="N25" s="634"/>
      <c r="O25" s="21">
        <f>(SUMIF($15:$15,N25,$16:$16)-SUMIF($15:$15,$N$24,$16:$16)+100)/100</f>
        <v>1</v>
      </c>
      <c r="P25" s="634"/>
      <c r="Q25" s="21">
        <f>(SUMIF($17:$17,P25,$18:$18)-SUMIF($17:$17,$P$24,$18:$18)+100)/100</f>
        <v>1</v>
      </c>
      <c r="R25" s="21">
        <f ca="1">IF(B25="",0,ROUND($R$24*C25*E25*G25*I25*K25*M25*O25*Q25,0))</f>
        <v>28575</v>
      </c>
      <c r="S25" s="308">
        <f t="shared" ca="1" si="12"/>
        <v>1049</v>
      </c>
    </row>
    <row r="26" spans="1:45">
      <c r="A26" s="142" t="str">
        <f>'数据-基础表'!C15</f>
        <v>B202</v>
      </c>
      <c r="B26" s="632">
        <f>'数据-基础表'!G15</f>
        <v>219.9</v>
      </c>
      <c r="C26" s="21">
        <f t="shared" ref="C26:C89" si="13">IF(B26="",1,(LOOKUP(B26,$3:$3,$4:$4)-LOOKUP($B$24,$3:$3,$4:$4)+100)/100)</f>
        <v>0.98</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t="s">
        <v>3471</v>
      </c>
      <c r="M26" s="21">
        <f t="shared" ref="M26:M89" si="18">(SUMIF($13:$13,L26,$14:$14)-SUMIF($13:$13,$L$24,$14:$14)+100)/100</f>
        <v>0.65</v>
      </c>
      <c r="N26" s="634"/>
      <c r="O26" s="21">
        <f t="shared" ref="O26:O89" si="19">(SUMIF($15:$15,N26,$16:$16)-SUMIF($15:$15,$N$24,$16:$16)+100)/100</f>
        <v>1</v>
      </c>
      <c r="P26" s="634"/>
      <c r="Q26" s="21">
        <f t="shared" ref="Q26:Q89" si="20">(SUMIF($17:$17,P26,$18:$18)-SUMIF($17:$17,$P$24,$18:$18)+100)/100</f>
        <v>1</v>
      </c>
      <c r="R26" s="21">
        <f t="shared" ref="R26:R89" ca="1" si="21">IF(B26="",0,ROUND($R$24*C26*E26*G26*I26*K26*M26*O26*Q26,0))</f>
        <v>29791</v>
      </c>
      <c r="S26" s="308">
        <f t="shared" ca="1" si="12"/>
        <v>655</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0</v>
      </c>
      <c r="N27" s="634"/>
      <c r="O27" s="21">
        <f t="shared" si="19"/>
        <v>1</v>
      </c>
      <c r="P27" s="634"/>
      <c r="Q27" s="21">
        <f t="shared" si="20"/>
        <v>1</v>
      </c>
      <c r="R27" s="21">
        <f t="shared" si="21"/>
        <v>0</v>
      </c>
      <c r="S27" s="308">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0</v>
      </c>
      <c r="N28" s="634"/>
      <c r="O28" s="21">
        <f t="shared" si="19"/>
        <v>1</v>
      </c>
      <c r="P28" s="634"/>
      <c r="Q28" s="21">
        <f t="shared" si="20"/>
        <v>1</v>
      </c>
      <c r="R28" s="21">
        <f t="shared" si="21"/>
        <v>0</v>
      </c>
      <c r="S28" s="308">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0</v>
      </c>
      <c r="N29" s="634"/>
      <c r="O29" s="21">
        <f t="shared" si="19"/>
        <v>1</v>
      </c>
      <c r="P29" s="634"/>
      <c r="Q29" s="21">
        <f t="shared" si="20"/>
        <v>1</v>
      </c>
      <c r="R29" s="21">
        <f t="shared" si="21"/>
        <v>0</v>
      </c>
      <c r="S29" s="308">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0</v>
      </c>
      <c r="N30" s="634"/>
      <c r="O30" s="21">
        <f t="shared" si="19"/>
        <v>1</v>
      </c>
      <c r="P30" s="634"/>
      <c r="Q30" s="21">
        <f t="shared" si="20"/>
        <v>1</v>
      </c>
      <c r="R30" s="21">
        <f t="shared" si="21"/>
        <v>0</v>
      </c>
      <c r="S30" s="308">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0</v>
      </c>
      <c r="N31" s="634"/>
      <c r="O31" s="21">
        <f t="shared" si="19"/>
        <v>1</v>
      </c>
      <c r="P31" s="634"/>
      <c r="Q31" s="21">
        <f t="shared" si="20"/>
        <v>1</v>
      </c>
      <c r="R31" s="21">
        <f t="shared" si="21"/>
        <v>0</v>
      </c>
      <c r="S31" s="308">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0</v>
      </c>
      <c r="N32" s="634"/>
      <c r="O32" s="21">
        <f t="shared" si="19"/>
        <v>1</v>
      </c>
      <c r="P32" s="634"/>
      <c r="Q32" s="21">
        <f t="shared" si="20"/>
        <v>1</v>
      </c>
      <c r="R32" s="21">
        <f t="shared" si="21"/>
        <v>0</v>
      </c>
      <c r="S32" s="308">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0</v>
      </c>
      <c r="N33" s="634"/>
      <c r="O33" s="21">
        <f t="shared" si="19"/>
        <v>1</v>
      </c>
      <c r="P33" s="634"/>
      <c r="Q33" s="21">
        <f t="shared" si="20"/>
        <v>1</v>
      </c>
      <c r="R33" s="21">
        <f t="shared" si="21"/>
        <v>0</v>
      </c>
      <c r="S33" s="308">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0</v>
      </c>
      <c r="N34" s="634"/>
      <c r="O34" s="21">
        <f t="shared" si="19"/>
        <v>1</v>
      </c>
      <c r="P34" s="634"/>
      <c r="Q34" s="21">
        <f t="shared" si="20"/>
        <v>1</v>
      </c>
      <c r="R34" s="21">
        <f t="shared" si="21"/>
        <v>0</v>
      </c>
      <c r="S34" s="308">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0</v>
      </c>
      <c r="N35" s="634"/>
      <c r="O35" s="21">
        <f t="shared" si="19"/>
        <v>1</v>
      </c>
      <c r="P35" s="634"/>
      <c r="Q35" s="21">
        <f t="shared" si="20"/>
        <v>1</v>
      </c>
      <c r="R35" s="21">
        <f t="shared" si="21"/>
        <v>0</v>
      </c>
      <c r="S35" s="308">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0</v>
      </c>
      <c r="N36" s="634"/>
      <c r="O36" s="21">
        <f t="shared" si="19"/>
        <v>1</v>
      </c>
      <c r="P36" s="634"/>
      <c r="Q36" s="21">
        <f t="shared" si="20"/>
        <v>1</v>
      </c>
      <c r="R36" s="21">
        <f t="shared" si="21"/>
        <v>0</v>
      </c>
      <c r="S36" s="308">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0</v>
      </c>
      <c r="N37" s="634"/>
      <c r="O37" s="21">
        <f t="shared" si="19"/>
        <v>1</v>
      </c>
      <c r="P37" s="634"/>
      <c r="Q37" s="21">
        <f t="shared" si="20"/>
        <v>1</v>
      </c>
      <c r="R37" s="21">
        <f t="shared" si="21"/>
        <v>0</v>
      </c>
      <c r="S37" s="308">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0</v>
      </c>
      <c r="N38" s="634"/>
      <c r="O38" s="21">
        <f t="shared" si="19"/>
        <v>1</v>
      </c>
      <c r="P38" s="634"/>
      <c r="Q38" s="21">
        <f t="shared" si="20"/>
        <v>1</v>
      </c>
      <c r="R38" s="21">
        <f t="shared" si="21"/>
        <v>0</v>
      </c>
      <c r="S38" s="308">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0</v>
      </c>
      <c r="N39" s="634"/>
      <c r="O39" s="21">
        <f t="shared" si="19"/>
        <v>1</v>
      </c>
      <c r="P39" s="634"/>
      <c r="Q39" s="21">
        <f t="shared" si="20"/>
        <v>1</v>
      </c>
      <c r="R39" s="21">
        <f t="shared" si="21"/>
        <v>0</v>
      </c>
      <c r="S39" s="308">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0</v>
      </c>
      <c r="N40" s="634"/>
      <c r="O40" s="21">
        <f t="shared" si="19"/>
        <v>1</v>
      </c>
      <c r="P40" s="634"/>
      <c r="Q40" s="21">
        <f t="shared" si="20"/>
        <v>1</v>
      </c>
      <c r="R40" s="21">
        <f t="shared" si="21"/>
        <v>0</v>
      </c>
      <c r="S40" s="308">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0</v>
      </c>
      <c r="N41" s="634"/>
      <c r="O41" s="21">
        <f t="shared" si="19"/>
        <v>1</v>
      </c>
      <c r="P41" s="634"/>
      <c r="Q41" s="21">
        <f t="shared" si="20"/>
        <v>1</v>
      </c>
      <c r="R41" s="21">
        <f t="shared" si="21"/>
        <v>0</v>
      </c>
      <c r="S41" s="308">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0</v>
      </c>
      <c r="N42" s="634"/>
      <c r="O42" s="21">
        <f t="shared" si="19"/>
        <v>1</v>
      </c>
      <c r="P42" s="634"/>
      <c r="Q42" s="21">
        <f t="shared" si="20"/>
        <v>1</v>
      </c>
      <c r="R42" s="21">
        <f t="shared" si="21"/>
        <v>0</v>
      </c>
      <c r="S42" s="308">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0</v>
      </c>
      <c r="N43" s="634"/>
      <c r="O43" s="21">
        <f t="shared" si="19"/>
        <v>1</v>
      </c>
      <c r="P43" s="634"/>
      <c r="Q43" s="21">
        <f t="shared" si="20"/>
        <v>1</v>
      </c>
      <c r="R43" s="21">
        <f t="shared" si="21"/>
        <v>0</v>
      </c>
      <c r="S43" s="308">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0</v>
      </c>
      <c r="N44" s="634"/>
      <c r="O44" s="21">
        <f t="shared" si="19"/>
        <v>1</v>
      </c>
      <c r="P44" s="634"/>
      <c r="Q44" s="21">
        <f t="shared" si="20"/>
        <v>1</v>
      </c>
      <c r="R44" s="21">
        <f t="shared" si="21"/>
        <v>0</v>
      </c>
      <c r="S44" s="308">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0</v>
      </c>
      <c r="N45" s="634"/>
      <c r="O45" s="21">
        <f t="shared" si="19"/>
        <v>1</v>
      </c>
      <c r="P45" s="634"/>
      <c r="Q45" s="21">
        <f t="shared" si="20"/>
        <v>1</v>
      </c>
      <c r="R45" s="21">
        <f t="shared" si="21"/>
        <v>0</v>
      </c>
      <c r="S45" s="308">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0</v>
      </c>
      <c r="N46" s="634"/>
      <c r="O46" s="21">
        <f t="shared" si="19"/>
        <v>1</v>
      </c>
      <c r="P46" s="634"/>
      <c r="Q46" s="21">
        <f t="shared" si="20"/>
        <v>1</v>
      </c>
      <c r="R46" s="21">
        <f t="shared" si="21"/>
        <v>0</v>
      </c>
      <c r="S46" s="308">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0</v>
      </c>
      <c r="N47" s="634"/>
      <c r="O47" s="21">
        <f t="shared" si="19"/>
        <v>1</v>
      </c>
      <c r="P47" s="634"/>
      <c r="Q47" s="21">
        <f t="shared" si="20"/>
        <v>1</v>
      </c>
      <c r="R47" s="21">
        <f t="shared" si="21"/>
        <v>0</v>
      </c>
      <c r="S47" s="308">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0</v>
      </c>
      <c r="N48" s="634"/>
      <c r="O48" s="21">
        <f t="shared" si="19"/>
        <v>1</v>
      </c>
      <c r="P48" s="634"/>
      <c r="Q48" s="21">
        <f t="shared" si="20"/>
        <v>1</v>
      </c>
      <c r="R48" s="21">
        <f t="shared" si="21"/>
        <v>0</v>
      </c>
      <c r="S48" s="308">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0</v>
      </c>
      <c r="N49" s="634"/>
      <c r="O49" s="21">
        <f t="shared" si="19"/>
        <v>1</v>
      </c>
      <c r="P49" s="634"/>
      <c r="Q49" s="21">
        <f t="shared" si="20"/>
        <v>1</v>
      </c>
      <c r="R49" s="21">
        <f t="shared" si="21"/>
        <v>0</v>
      </c>
      <c r="S49" s="308">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0</v>
      </c>
      <c r="N50" s="634"/>
      <c r="O50" s="21">
        <f t="shared" si="19"/>
        <v>1</v>
      </c>
      <c r="P50" s="634"/>
      <c r="Q50" s="21">
        <f t="shared" si="20"/>
        <v>1</v>
      </c>
      <c r="R50" s="21">
        <f t="shared" si="21"/>
        <v>0</v>
      </c>
      <c r="S50" s="308">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0</v>
      </c>
      <c r="N51" s="634"/>
      <c r="O51" s="21">
        <f t="shared" si="19"/>
        <v>1</v>
      </c>
      <c r="P51" s="634"/>
      <c r="Q51" s="21">
        <f t="shared" si="20"/>
        <v>1</v>
      </c>
      <c r="R51" s="21">
        <f t="shared" si="21"/>
        <v>0</v>
      </c>
      <c r="S51" s="308">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0</v>
      </c>
      <c r="N52" s="634"/>
      <c r="O52" s="21">
        <f t="shared" si="19"/>
        <v>1</v>
      </c>
      <c r="P52" s="634"/>
      <c r="Q52" s="21">
        <f t="shared" si="20"/>
        <v>1</v>
      </c>
      <c r="R52" s="21">
        <f t="shared" si="21"/>
        <v>0</v>
      </c>
      <c r="S52" s="308">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0</v>
      </c>
      <c r="N53" s="634"/>
      <c r="O53" s="21">
        <f t="shared" si="19"/>
        <v>1</v>
      </c>
      <c r="P53" s="634"/>
      <c r="Q53" s="21">
        <f t="shared" si="20"/>
        <v>1</v>
      </c>
      <c r="R53" s="21">
        <f t="shared" si="21"/>
        <v>0</v>
      </c>
      <c r="S53" s="308">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0</v>
      </c>
      <c r="N54" s="634"/>
      <c r="O54" s="21">
        <f t="shared" si="19"/>
        <v>1</v>
      </c>
      <c r="P54" s="634"/>
      <c r="Q54" s="21">
        <f t="shared" si="20"/>
        <v>1</v>
      </c>
      <c r="R54" s="21">
        <f t="shared" si="21"/>
        <v>0</v>
      </c>
      <c r="S54" s="308">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0</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0</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0</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0</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0</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0</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0</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0</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0</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0</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0</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0</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0</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0</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0</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0</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0</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0</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0</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0</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0</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0</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0</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0</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0</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0</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0</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0</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0</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0</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0</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0</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0</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0</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0</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0</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0</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0</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0</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0</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0</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0</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0</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0</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0</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0</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0</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0</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0</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0</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0</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0</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0</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0</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0</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0</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0</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0</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0</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0</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0</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0</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0</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0</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0</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0</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0</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0</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0</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0</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0</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0</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0</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0</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0</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0</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0</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0</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0</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0</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0</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0</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0</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0</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0</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0</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0</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0</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0</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0</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0</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0</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0</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0</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0</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0</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0</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0</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0</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0</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0</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0</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0</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0</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0</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0</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0</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0</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0</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0</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0</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0</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0</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0</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0</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0</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0</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0</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0</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0</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0</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0</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0</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0</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0</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0</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0</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0</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0</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0</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0</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0</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0</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0</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0</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0</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0</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0</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0</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0</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0</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0</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0</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0</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0</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0</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0</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0</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0</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0</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0</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0</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0</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0</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0</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0</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0</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0</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0</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0</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0</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0</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0</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0</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0</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0</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0</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0</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0</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0</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0</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0</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0</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0</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0</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0</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0</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0</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0</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0</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0</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0</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0</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0</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0</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0</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0</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0</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0</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0</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0</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0</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0</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0</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0</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0</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0</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0</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0</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0</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0</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0</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0</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0</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0</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0</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0</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0</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0</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0</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0</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0</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0</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0</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0</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0</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0</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0</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0</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0</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0</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0</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0</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0</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0</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0</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0</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0</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0</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0</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0</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0</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0</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0</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0</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0</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0</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0</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0</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0</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0</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0</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0</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0</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0</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0</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0</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0</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0</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0</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0</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0</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0</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0</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0</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0</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0</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0</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0</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0</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0</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0</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0</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0</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0</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0</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0</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0</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0</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0</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0</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0</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0</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0</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0</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0</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0</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0</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0</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0</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0</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0</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0</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0</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0</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0</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0</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0</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0</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0</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0</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0</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0</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0</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0</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0</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0</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0</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0</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0</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0</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0</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0</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0</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0</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0</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0</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0</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0</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0</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0</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0</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0</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0</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0</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0</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0</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0</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0</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0</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0</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0</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0</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0</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0</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0</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0</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0</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0</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0</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0</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0</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0</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0</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0</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0</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0</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0</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0</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0</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0</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0</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0</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0</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0</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0</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0</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0</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0</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0</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0</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0</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0</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0</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0</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0</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0</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0</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0</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0</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0</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0</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0</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0</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0</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0</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0</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0</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0</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0</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0</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0</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0</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0</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0</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0</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0</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0</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0</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0</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0</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0</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0</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0</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0</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0</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0</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0</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0</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0</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0</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0</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0</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0</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0</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0</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0</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0</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0</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0</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0</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0</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0</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0</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0</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0</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0</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0</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0</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0</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0</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0</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0</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0</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0</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0</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0</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0</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0</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0</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0</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0</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0</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0</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0</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0</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0</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0</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0</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0</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0</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0</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0</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0</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0</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0</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0</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0</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0</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0</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0</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0</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0</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0</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0</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0</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0</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0</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0</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0</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0</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0</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0</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0</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0</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0</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0</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0</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0</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0</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0</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0</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0</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0</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0</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0</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0</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0</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0</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0</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E10" sqref="E1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3395</v>
      </c>
      <c r="C1" s="1716" t="s">
        <v>1563</v>
      </c>
      <c r="D1" s="190"/>
      <c r="E1" s="190"/>
      <c r="F1" s="190"/>
      <c r="G1" s="1061">
        <f>MATCH(B1,'数据-取费表'!A6:A16,0)+5</f>
        <v>6</v>
      </c>
      <c r="H1" s="997" t="str">
        <f>IF(ISERROR(FIND("住宅",B1)),"非住宅","住宅")</f>
        <v>非住宅</v>
      </c>
    </row>
    <row r="2" spans="1:8" s="192" customFormat="1" ht="18" customHeight="1">
      <c r="A2" s="193" t="s">
        <v>1462</v>
      </c>
      <c r="B2" s="3121">
        <f ca="1">ROUND(IF(D2="——",C52/10000,C52/10000-E2),4)</f>
        <v>542.87390000000005</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45501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3412212</v>
      </c>
      <c r="D5" s="203" t="s">
        <v>1469</v>
      </c>
      <c r="E5" s="204" t="s">
        <v>1470</v>
      </c>
      <c r="F5" s="204" t="s">
        <v>1471</v>
      </c>
      <c r="G5" s="205"/>
    </row>
    <row r="6" spans="1:8" s="206" customFormat="1" ht="13.5" customHeight="1">
      <c r="A6" s="731" t="s">
        <v>1472</v>
      </c>
      <c r="B6" s="207" t="s">
        <v>1473</v>
      </c>
      <c r="C6" s="208">
        <f>ROUND(基准地价修正!T2*基准地价修正!U2,0)</f>
        <v>3288064</v>
      </c>
      <c r="D6" s="209"/>
      <c r="E6" s="210"/>
      <c r="F6" s="210"/>
      <c r="G6" s="211"/>
    </row>
    <row r="7" spans="1:8" s="206" customFormat="1" ht="13.5" customHeight="1">
      <c r="A7" s="731" t="s">
        <v>1474</v>
      </c>
      <c r="B7" s="207" t="s">
        <v>1475</v>
      </c>
      <c r="C7" s="212">
        <f>ROUND(C6*F7,0)</f>
        <v>100286</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23862</v>
      </c>
      <c r="D8" s="214"/>
      <c r="E8" s="212"/>
      <c r="F8" s="213"/>
      <c r="G8" s="1713" t="s">
        <v>3431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23862</v>
      </c>
      <c r="D10" s="794">
        <f ca="1">IF(B1="",'数据-汇总表'!E6,IF(INDIRECT("'数据-取费表'!c"&amp;$G$1)="住宅",INDIRECT("'数据-取费表'!s"&amp;$G$1),INDIRECT("'数据-取费表'!k"&amp;$G$1)+INDIRECT("'数据-取费表'!s"&amp;$G$1)))</f>
        <v>119.31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119.31</v>
      </c>
      <c r="E19" s="203">
        <f>'数据-取费表'!B31</f>
        <v>200</v>
      </c>
      <c r="F19" s="223"/>
      <c r="G19" s="1713" t="s">
        <v>3432</v>
      </c>
    </row>
    <row r="20" spans="1:7" s="206" customFormat="1" ht="13.5" customHeight="1">
      <c r="A20" s="247" t="s">
        <v>1574</v>
      </c>
      <c r="B20" s="202" t="s">
        <v>1575</v>
      </c>
      <c r="C20" s="224">
        <f ca="1">ROUND((C5+C19)*F20,0)</f>
        <v>68244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216952</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214836</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2116</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696091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696091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4764667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650240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596550</v>
      </c>
      <c r="D34" s="209"/>
      <c r="E34" s="212"/>
      <c r="F34" s="249"/>
      <c r="G34" s="211"/>
    </row>
    <row r="35" spans="1:7" ht="13.5" customHeight="1">
      <c r="A35" s="733" t="s">
        <v>351</v>
      </c>
      <c r="B35" s="207" t="s">
        <v>1527</v>
      </c>
      <c r="C35" s="212">
        <f ca="1">ROUND(C34*F35,0)</f>
        <v>17897</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23862</v>
      </c>
      <c r="D37" s="209">
        <f ca="1">D19</f>
        <v>119.31</v>
      </c>
      <c r="E37" s="241">
        <f>'数据-取费表'!B35</f>
        <v>200</v>
      </c>
      <c r="F37" s="251"/>
      <c r="G37" s="253"/>
    </row>
    <row r="38" spans="1:7" ht="13.5" customHeight="1">
      <c r="A38" s="733" t="s">
        <v>354</v>
      </c>
      <c r="B38" s="207" t="s">
        <v>1533</v>
      </c>
      <c r="C38" s="212">
        <f ca="1">ROUND(C34*F38,0)</f>
        <v>11931</v>
      </c>
      <c r="D38" s="212"/>
      <c r="E38" s="212"/>
      <c r="F38" s="251">
        <f>'数据-取费表'!B36</f>
        <v>0.02</v>
      </c>
      <c r="G38" s="211" t="s">
        <v>1528</v>
      </c>
    </row>
    <row r="39" spans="1:7" s="206" customFormat="1" ht="13.5" customHeight="1">
      <c r="A39" s="247" t="s">
        <v>1534</v>
      </c>
      <c r="B39" s="202" t="s">
        <v>1535</v>
      </c>
      <c r="C39" s="224">
        <f ca="1">ROUND(C33*F20,0)</f>
        <v>13005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20560</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20157</v>
      </c>
      <c r="D42" s="230"/>
      <c r="E42" s="230"/>
      <c r="F42" s="231"/>
      <c r="G42" s="3350" t="s">
        <v>1591</v>
      </c>
    </row>
    <row r="43" spans="1:7" ht="13.5" customHeight="1">
      <c r="A43" s="733" t="s">
        <v>347</v>
      </c>
      <c r="B43" s="207" t="s">
        <v>1545</v>
      </c>
      <c r="C43" s="230">
        <f ca="1">ROUND(IF('数据-取费表'!B22&lt;=1,C39*F22*'数据-取费表'!B20/2,C39*(POWER((1+F22),'数据-取费表'!B20/2)-1)),0)</f>
        <v>403</v>
      </c>
      <c r="D43" s="230"/>
      <c r="E43" s="230"/>
      <c r="F43" s="231"/>
      <c r="G43" s="3351"/>
    </row>
    <row r="44" spans="1:7" ht="13.5" customHeight="1">
      <c r="A44" s="733"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132649</v>
      </c>
      <c r="D45" s="227">
        <f ca="1">C47</f>
        <v>4.0000000000000001E-3</v>
      </c>
      <c r="E45" s="228" t="s">
        <v>1539</v>
      </c>
      <c r="F45" s="238">
        <f ca="1">F27</f>
        <v>0.2</v>
      </c>
      <c r="G45" s="239" t="s">
        <v>1548</v>
      </c>
    </row>
    <row r="46" spans="1:7" s="206" customFormat="1" ht="13.5" customHeight="1">
      <c r="A46" s="733" t="s">
        <v>346</v>
      </c>
      <c r="B46" s="240" t="s">
        <v>1549</v>
      </c>
      <c r="C46" s="241">
        <f ca="1">ROUND((C33+C39)*F27,0)</f>
        <v>132649</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885429</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664072</v>
      </c>
      <c r="D51" s="224"/>
      <c r="E51" s="224"/>
      <c r="F51" s="256"/>
      <c r="G51" s="226" t="s">
        <v>1560</v>
      </c>
    </row>
    <row r="52" spans="1:7" s="200" customFormat="1" ht="16.5" thickBot="1">
      <c r="A52" s="257" t="s">
        <v>1561</v>
      </c>
      <c r="B52" s="258"/>
      <c r="C52" s="259">
        <f ca="1">C31+C51</f>
        <v>5428739</v>
      </c>
      <c r="D52" s="258"/>
      <c r="E52" s="258"/>
      <c r="F52" s="258"/>
      <c r="G52" s="260"/>
    </row>
    <row r="55" spans="1:7" ht="15">
      <c r="B55" s="262" t="s">
        <v>1562</v>
      </c>
      <c r="C55" s="263"/>
    </row>
    <row r="56" spans="1:7">
      <c r="B56" s="265" t="s">
        <v>802</v>
      </c>
      <c r="C56" s="267">
        <f ca="1">1-C57</f>
        <v>0.878</v>
      </c>
    </row>
    <row r="57" spans="1:7">
      <c r="B57" s="265" t="s">
        <v>803</v>
      </c>
      <c r="C57" s="266">
        <f ca="1">ROUND(C51/C52,3)</f>
        <v>0.122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329</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329</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I1" zoomScaleNormal="80" zoomScaleSheetLayoutView="100" workbookViewId="0">
      <selection activeCell="U4" sqref="U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329</v>
      </c>
      <c r="C2" s="1845" t="s">
        <v>1935</v>
      </c>
      <c r="D2" s="162" t="s">
        <v>1936</v>
      </c>
      <c r="E2" s="3119"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27559</v>
      </c>
      <c r="U2" s="1129">
        <f>'数据-汇总表'!E19</f>
        <v>119.31</v>
      </c>
      <c r="V2" s="3062">
        <f>ROUND(T2*U2/10000,0)</f>
        <v>329</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t="s">
        <v>2439</v>
      </c>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26660</v>
      </c>
      <c r="N3" s="812">
        <f>SUMPRODUCT((因素修正幅度!B30:B54=I2)*(因素修正幅度!C3:G3=E2)*(因素修正幅度!C30:G54))</f>
        <v>7.3999999999999996E-2</v>
      </c>
      <c r="O3" s="1055"/>
      <c r="P3" s="1055"/>
      <c r="Q3" s="1055"/>
      <c r="R3" s="1128">
        <v>2</v>
      </c>
      <c r="S3" s="3062">
        <f>ROUND(SUMPRODUCT((B106:B110=R3)*(C105:N105=G2)*(C106:N110)),4)</f>
        <v>1.1838</v>
      </c>
      <c r="T3" s="3062">
        <f t="shared" si="0"/>
        <v>21722</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64"/>
      <c r="B4" s="3465"/>
      <c r="C4" s="3465"/>
      <c r="D4" s="3466"/>
      <c r="E4" s="3466"/>
      <c r="F4" s="3466"/>
      <c r="G4" s="3466"/>
      <c r="H4" s="3466"/>
      <c r="I4" s="3466"/>
      <c r="J4" s="346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18358</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26660</v>
      </c>
      <c r="D5" s="1251">
        <f>ROUND(C6*C17+C20,0)</f>
        <v>26660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16191</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26660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15560</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三级</v>
      </c>
      <c r="Y7" s="1130" t="s">
        <v>1956</v>
      </c>
      <c r="Z7" s="1131">
        <f>G3</f>
        <v>0</v>
      </c>
      <c r="AA7" s="1132"/>
      <c r="AB7" s="1132"/>
      <c r="AC7" s="1133"/>
      <c r="AD7" s="1134"/>
      <c r="AE7" s="1134"/>
      <c r="AF7" s="1134"/>
      <c r="AG7" s="1134"/>
      <c r="AH7" s="1134"/>
      <c r="AI7" s="1134"/>
      <c r="AJ7" s="1135"/>
    </row>
    <row r="8" spans="1:36" ht="25.5">
      <c r="A8" s="3008"/>
      <c r="B8" s="162" t="s">
        <v>1957</v>
      </c>
      <c r="C8" s="1869" t="s">
        <v>3424</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61" t="s">
        <v>1960</v>
      </c>
      <c r="X8" s="346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6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1"/>
      <c r="AJ19" s="561"/>
      <c r="AK19" s="1898"/>
    </row>
    <row r="20" spans="1:37" s="1857" customFormat="1" ht="14.25">
      <c r="A20" s="3468" t="s">
        <v>3254</v>
      </c>
      <c r="B20" s="159" t="s">
        <v>1994</v>
      </c>
      <c r="C20" s="3030">
        <f>ROUND(IF(F21="与级别开发程度一致",0,(G21-E21)/C21),0)</f>
        <v>0</v>
      </c>
      <c r="D20" s="3045" t="s">
        <v>1998</v>
      </c>
      <c r="E20" s="3046"/>
      <c r="F20" s="3474" t="s">
        <v>1995</v>
      </c>
      <c r="G20" s="3475"/>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69"/>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2002</v>
      </c>
      <c r="E23" s="716">
        <v>44197</v>
      </c>
      <c r="F23" s="1895" t="s">
        <v>2003</v>
      </c>
      <c r="G23" s="717">
        <f>'数据-取费表'!B2</f>
        <v>45611</v>
      </c>
      <c r="H23" s="3047" t="s">
        <v>3256</v>
      </c>
      <c r="I23" s="3048" t="str">
        <f>IF(H23="季度增幅（自定义）",SUMIF(N25:N28,E2,O25:O28),"")</f>
        <v/>
      </c>
      <c r="J23" s="3140" t="s">
        <v>3255</v>
      </c>
      <c r="K23" s="1060"/>
      <c r="L23" s="1896" t="s">
        <v>2004</v>
      </c>
      <c r="M23" s="1240">
        <f>ROUND(SUMIF(地价!B2:G2,E2,地价!B16:G16),0)</f>
        <v>350</v>
      </c>
      <c r="N23" s="1897" t="s">
        <v>2005</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0.64419999999999999</v>
      </c>
      <c r="D24" s="1901" t="s">
        <v>2007</v>
      </c>
      <c r="E24" s="1247">
        <f>存贷款利率!E27/100</f>
        <v>4.3499999999999997E-2</v>
      </c>
      <c r="F24" s="1901" t="s">
        <v>1999</v>
      </c>
      <c r="G24" s="723">
        <f>SUMIF(M30:Q30,E2,M33:Q33)</f>
        <v>5.5E-2</v>
      </c>
      <c r="H24" s="1901" t="s">
        <v>2008</v>
      </c>
      <c r="I24" s="724">
        <f>SUMIF('数据-取费表'!C6:C15,E2,'数据-取费表'!F6:F15)/COUNTIF('数据-取费表'!C6:C15,E2)</f>
        <v>15.7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3426</v>
      </c>
      <c r="C25" s="461">
        <f>IF(B25="容积率修正",IF(G3&lt;10,D26,J26),C27)</f>
        <v>0</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1.0226</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329</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0</v>
      </c>
      <c r="D33" s="1939"/>
      <c r="E33" s="726">
        <f>ROUND(C33*D33/10000,0)</f>
        <v>0</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2"/>
      <c r="B37" s="1954" t="s">
        <v>2036</v>
      </c>
      <c r="C37" s="167">
        <f>ROUND(D5*C22*C23*C24*C28*F37,0)</f>
        <v>11010</v>
      </c>
      <c r="D37" s="1939"/>
      <c r="E37" s="163">
        <f>ROUND(C37*D37/10000,0)</f>
        <v>0</v>
      </c>
      <c r="F37" s="163">
        <f>SUMIF(修正!A57:A68,G2,修正!B57:B68)</f>
        <v>0.6</v>
      </c>
      <c r="G37" s="163">
        <f>ROUND(IF(E2="工业",C37*$M$42,C37*$M$41),0)</f>
        <v>2753</v>
      </c>
      <c r="H37" s="163">
        <f>D37</f>
        <v>0</v>
      </c>
      <c r="I37" s="163">
        <f>ROUND(G37*H37/10000,0)</f>
        <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3"/>
      <c r="B38" s="1883" t="s">
        <v>2037</v>
      </c>
      <c r="C38" s="167">
        <f>ROUND(D5*C22*C23*C24*C28*F38,0)</f>
        <v>5505</v>
      </c>
      <c r="D38" s="1939"/>
      <c r="E38" s="163">
        <f t="shared" ref="E38:E42" si="4">ROUND(C38*D38/10000,0)</f>
        <v>0</v>
      </c>
      <c r="F38" s="163">
        <f>SUMIF(修正!A57:A68,G2,修正!C57:C68)</f>
        <v>0.3</v>
      </c>
      <c r="G38" s="163">
        <f>ROUND(IF(E2="工业",C38*$M$42,C38*$M$41),0)</f>
        <v>1376</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3"/>
      <c r="B39" s="1883" t="s">
        <v>3259</v>
      </c>
      <c r="C39" s="167">
        <f>ROUND(D5*C22*C23*C24*C28*F39,0)</f>
        <v>4587</v>
      </c>
      <c r="D39" s="1939"/>
      <c r="E39" s="163">
        <f t="shared" si="4"/>
        <v>0</v>
      </c>
      <c r="F39" s="163">
        <f>SUMIF(修正!A57:A68,G2,修正!D57:D68)</f>
        <v>0.25</v>
      </c>
      <c r="G39" s="163">
        <f>ROUND(IF(E2="工业",C39*$M$42,C39*$M$41),0)</f>
        <v>1147</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4587</v>
      </c>
      <c r="D40" s="1939"/>
      <c r="E40" s="163">
        <f t="shared" si="4"/>
        <v>0</v>
      </c>
      <c r="F40" s="167">
        <f>SUMIF(修正!A57:A68,G2,修正!E57:E68)</f>
        <v>0.25</v>
      </c>
      <c r="G40" s="163">
        <f>ROUND(IF(E2="工业",C40*$M$42,C40*$M$41),0)</f>
        <v>1147</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4347</v>
      </c>
      <c r="D41" s="1939"/>
      <c r="E41" s="163">
        <f t="shared" si="4"/>
        <v>0</v>
      </c>
      <c r="F41" s="167">
        <f>SUMIF(修正!A57:A68,G2,修正!F57:F68)</f>
        <v>0.25</v>
      </c>
      <c r="G41" s="163">
        <f>ROUND(IF(E2="工业",C41*$M$42,C41*$M$41),0)</f>
        <v>1087</v>
      </c>
      <c r="H41" s="163">
        <f t="shared" si="5"/>
        <v>0</v>
      </c>
      <c r="I41" s="163">
        <f t="shared" si="6"/>
        <v>0</v>
      </c>
      <c r="J41" s="938"/>
      <c r="L41" s="3061"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2608</v>
      </c>
      <c r="D42" s="1944"/>
      <c r="E42" s="179">
        <f t="shared" si="4"/>
        <v>0</v>
      </c>
      <c r="F42" s="722">
        <f>SUMIF(修正!A57:A68,G2,修正!G57:G68)</f>
        <v>0.15</v>
      </c>
      <c r="G42" s="179">
        <f>ROUND(IF(E2="工业",C42*$M$42,C42*$M$41),0)</f>
        <v>652</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3">
        <f>ROUND(POWER(1+E44,H44-G44)*(POWER(1+E44,G44)-1)/(POWER(1+E44,H44)-1),4)</f>
        <v>0.61050000000000004</v>
      </c>
      <c r="D44" s="163" t="s">
        <v>1999</v>
      </c>
      <c r="E44" s="1990">
        <f>G24</f>
        <v>5.5E-2</v>
      </c>
      <c r="F44" s="163" t="s">
        <v>2008</v>
      </c>
      <c r="G44" s="175">
        <f>项目基本情况!D15</f>
        <v>15.7</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1.0226</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3427</v>
      </c>
      <c r="D50" s="1001">
        <f t="shared" ref="D50:D58" si="7">SUMIF($J$49:$N$49,C50,J50:N50)</f>
        <v>0</v>
      </c>
      <c r="E50" s="701">
        <f>ROUND(SUM(D50:D58),4)</f>
        <v>2.2599999999999999E-2</v>
      </c>
      <c r="F50" s="1674">
        <f>IF(E2="商业",SUMIF(L1:L12,G2,N1:N12),"——")</f>
        <v>7.3999999999999996E-2</v>
      </c>
      <c r="G50" s="999">
        <v>1.11E-2</v>
      </c>
      <c r="H50" s="1002">
        <f t="shared" ref="H50:H58" si="8">IFERROR(ROUNDDOWN($F$50*I50/2,4),"——")</f>
        <v>1.11E-2</v>
      </c>
      <c r="I50" s="3067">
        <v>0.3</v>
      </c>
      <c r="J50" s="1000">
        <f t="shared" ref="J50:J58" si="9">K50+$G50</f>
        <v>2.2200000000000001E-2</v>
      </c>
      <c r="K50" s="1000">
        <f t="shared" ref="K50:K58" si="10">$L50+$G50</f>
        <v>1.11E-2</v>
      </c>
      <c r="L50" s="1000">
        <v>0</v>
      </c>
      <c r="M50" s="1000">
        <f t="shared" ref="M50:N58" si="11">L50-$G50</f>
        <v>-1.11E-2</v>
      </c>
      <c r="N50" s="1000">
        <f t="shared" si="11"/>
        <v>-2.2200000000000001E-2</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3428</v>
      </c>
      <c r="D51" s="1001">
        <f t="shared" si="7"/>
        <v>8.0999999999999996E-3</v>
      </c>
      <c r="E51" s="702"/>
      <c r="F51" s="1674"/>
      <c r="G51" s="999">
        <v>8.0999999999999996E-3</v>
      </c>
      <c r="H51" s="1002">
        <f t="shared" si="8"/>
        <v>8.0999999999999996E-3</v>
      </c>
      <c r="I51" s="3067">
        <v>0.22</v>
      </c>
      <c r="J51" s="1000">
        <f t="shared" si="9"/>
        <v>1.6199999999999999E-2</v>
      </c>
      <c r="K51" s="1000">
        <f t="shared" si="10"/>
        <v>8.0999999999999996E-3</v>
      </c>
      <c r="L51" s="1000">
        <v>0</v>
      </c>
      <c r="M51" s="1000">
        <f t="shared" si="11"/>
        <v>-8.0999999999999996E-3</v>
      </c>
      <c r="N51" s="1000">
        <f t="shared" si="11"/>
        <v>-1.6199999999999999E-2</v>
      </c>
      <c r="AA51" s="1056"/>
      <c r="AB51" s="1056"/>
      <c r="AC51" s="1056"/>
      <c r="AD51" s="1056"/>
      <c r="AE51" s="1056"/>
      <c r="AF51" s="1056"/>
      <c r="AG51" s="1056"/>
      <c r="AH51" s="1056"/>
      <c r="AI51" s="1056"/>
      <c r="AJ51" s="1056"/>
      <c r="AK51" s="1056"/>
    </row>
    <row r="52" spans="1:37" s="1055" customFormat="1" ht="36">
      <c r="A52" s="3069" t="s">
        <v>3269</v>
      </c>
      <c r="B52" s="1261">
        <f>估价对象房地状况!C19</f>
        <v>0</v>
      </c>
      <c r="C52" s="1886" t="s">
        <v>3428</v>
      </c>
      <c r="D52" s="1001">
        <f t="shared" si="7"/>
        <v>4.4000000000000003E-3</v>
      </c>
      <c r="E52" s="702"/>
      <c r="F52" s="1674"/>
      <c r="G52" s="999">
        <v>4.4000000000000003E-3</v>
      </c>
      <c r="H52" s="1002">
        <f t="shared" si="8"/>
        <v>4.4000000000000003E-3</v>
      </c>
      <c r="I52" s="3067">
        <v>0.12</v>
      </c>
      <c r="J52" s="1000">
        <f t="shared" si="9"/>
        <v>8.8000000000000005E-3</v>
      </c>
      <c r="K52" s="1000">
        <f t="shared" si="10"/>
        <v>4.4000000000000003E-3</v>
      </c>
      <c r="L52" s="1000">
        <v>0</v>
      </c>
      <c r="M52" s="1000">
        <f t="shared" si="11"/>
        <v>-4.4000000000000003E-3</v>
      </c>
      <c r="N52" s="1000">
        <f t="shared" si="11"/>
        <v>-8.8000000000000005E-3</v>
      </c>
      <c r="AA52" s="1056"/>
      <c r="AB52" s="1056"/>
      <c r="AC52" s="1056"/>
      <c r="AD52" s="1056"/>
      <c r="AE52" s="1056"/>
      <c r="AF52" s="1056"/>
      <c r="AG52" s="1056"/>
      <c r="AH52" s="1056"/>
      <c r="AI52" s="1056"/>
      <c r="AJ52" s="1056"/>
      <c r="AK52" s="1056"/>
    </row>
    <row r="53" spans="1:37" s="1055" customFormat="1" ht="36.75">
      <c r="A53" s="1969" t="s">
        <v>2054</v>
      </c>
      <c r="B53" s="1973" t="s">
        <v>2055</v>
      </c>
      <c r="C53" s="1886" t="s">
        <v>3428</v>
      </c>
      <c r="D53" s="1001">
        <f t="shared" si="7"/>
        <v>1.8E-3</v>
      </c>
      <c r="E53" s="702"/>
      <c r="F53" s="1674"/>
      <c r="G53" s="999">
        <v>1.8E-3</v>
      </c>
      <c r="H53" s="1002">
        <f t="shared" si="8"/>
        <v>1.8E-3</v>
      </c>
      <c r="I53" s="3067">
        <v>0.05</v>
      </c>
      <c r="J53" s="1000">
        <f t="shared" si="9"/>
        <v>3.5999999999999999E-3</v>
      </c>
      <c r="K53" s="1000">
        <f t="shared" si="10"/>
        <v>1.8E-3</v>
      </c>
      <c r="L53" s="1000">
        <v>0</v>
      </c>
      <c r="M53" s="1000">
        <f t="shared" si="11"/>
        <v>-1.8E-3</v>
      </c>
      <c r="N53" s="1000">
        <f t="shared" si="11"/>
        <v>-3.5999999999999999E-3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3429</v>
      </c>
      <c r="D54" s="1001">
        <f t="shared" si="7"/>
        <v>-2.8999999999999998E-3</v>
      </c>
      <c r="E54" s="702"/>
      <c r="F54" s="1674"/>
      <c r="G54" s="999">
        <v>2.8999999999999998E-3</v>
      </c>
      <c r="H54" s="1002">
        <f t="shared" si="8"/>
        <v>2.8999999999999998E-3</v>
      </c>
      <c r="I54" s="3067">
        <v>0.08</v>
      </c>
      <c r="J54" s="1000">
        <f t="shared" si="9"/>
        <v>5.7999999999999996E-3</v>
      </c>
      <c r="K54" s="1000">
        <f t="shared" si="10"/>
        <v>2.8999999999999998E-3</v>
      </c>
      <c r="L54" s="1000">
        <v>0</v>
      </c>
      <c r="M54" s="1000">
        <f t="shared" si="11"/>
        <v>-2.8999999999999998E-3</v>
      </c>
      <c r="N54" s="1000">
        <f t="shared" si="11"/>
        <v>-5.7999999999999996E-3</v>
      </c>
      <c r="AA54" s="1056"/>
      <c r="AB54" s="1056"/>
      <c r="AC54" s="1056"/>
      <c r="AD54" s="1056"/>
      <c r="AE54" s="1056"/>
      <c r="AF54" s="1056"/>
      <c r="AG54" s="1056"/>
      <c r="AH54" s="1056"/>
      <c r="AI54" s="1056"/>
      <c r="AJ54" s="1056"/>
      <c r="AK54" s="1056"/>
    </row>
    <row r="55" spans="1:37" s="1055" customFormat="1" ht="24">
      <c r="A55" s="1969" t="s">
        <v>2057</v>
      </c>
      <c r="B55" s="1974" t="s">
        <v>2058</v>
      </c>
      <c r="C55" s="1886" t="s">
        <v>3428</v>
      </c>
      <c r="D55" s="1001">
        <f t="shared" si="7"/>
        <v>1.8E-3</v>
      </c>
      <c r="E55" s="702"/>
      <c r="F55" s="1674"/>
      <c r="G55" s="999">
        <v>1.8E-3</v>
      </c>
      <c r="H55" s="1002">
        <f t="shared" si="8"/>
        <v>1.8E-3</v>
      </c>
      <c r="I55" s="3067">
        <v>0.05</v>
      </c>
      <c r="J55" s="1000">
        <f t="shared" si="9"/>
        <v>3.5999999999999999E-3</v>
      </c>
      <c r="K55" s="1000">
        <f t="shared" si="10"/>
        <v>1.8E-3</v>
      </c>
      <c r="L55" s="1000">
        <v>0</v>
      </c>
      <c r="M55" s="1000">
        <f t="shared" si="11"/>
        <v>-1.8E-3</v>
      </c>
      <c r="N55" s="1000">
        <f t="shared" si="11"/>
        <v>-3.5999999999999999E-3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3428</v>
      </c>
      <c r="D56" s="1001">
        <f t="shared" si="7"/>
        <v>1.8E-3</v>
      </c>
      <c r="E56" s="702"/>
      <c r="F56" s="1674"/>
      <c r="G56" s="999">
        <v>1.8E-3</v>
      </c>
      <c r="H56" s="1002">
        <f t="shared" si="8"/>
        <v>1.8E-3</v>
      </c>
      <c r="I56" s="3067">
        <v>0.05</v>
      </c>
      <c r="J56" s="1000">
        <f t="shared" si="9"/>
        <v>3.5999999999999999E-3</v>
      </c>
      <c r="K56" s="1000">
        <f t="shared" si="10"/>
        <v>1.8E-3</v>
      </c>
      <c r="L56" s="1000">
        <v>0</v>
      </c>
      <c r="M56" s="1000">
        <f t="shared" si="11"/>
        <v>-1.8E-3</v>
      </c>
      <c r="N56" s="1000">
        <f t="shared" si="11"/>
        <v>-3.5999999999999999E-3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3430</v>
      </c>
      <c r="D57" s="1001">
        <f t="shared" si="7"/>
        <v>5.7999999999999996E-3</v>
      </c>
      <c r="E57" s="702"/>
      <c r="F57" s="1674"/>
      <c r="G57" s="999">
        <v>2.8999999999999998E-3</v>
      </c>
      <c r="H57" s="1002">
        <f t="shared" si="8"/>
        <v>2.8999999999999998E-3</v>
      </c>
      <c r="I57" s="3067">
        <v>0.08</v>
      </c>
      <c r="J57" s="1000">
        <f t="shared" si="9"/>
        <v>5.7999999999999996E-3</v>
      </c>
      <c r="K57" s="1000">
        <f t="shared" si="10"/>
        <v>2.8999999999999998E-3</v>
      </c>
      <c r="L57" s="1000">
        <v>0</v>
      </c>
      <c r="M57" s="1000">
        <f t="shared" si="11"/>
        <v>-2.8999999999999998E-3</v>
      </c>
      <c r="N57" s="1000">
        <f t="shared" si="11"/>
        <v>-5.7999999999999996E-3</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3428</v>
      </c>
      <c r="D58" s="1001">
        <f t="shared" si="7"/>
        <v>1.8E-3</v>
      </c>
      <c r="E58" s="703"/>
      <c r="F58" s="1674"/>
      <c r="G58" s="999">
        <v>1.8E-3</v>
      </c>
      <c r="H58" s="1002">
        <f t="shared" si="8"/>
        <v>1.8E-3</v>
      </c>
      <c r="I58" s="3068">
        <v>0.05</v>
      </c>
      <c r="J58" s="1000">
        <f t="shared" si="9"/>
        <v>3.5999999999999999E-3</v>
      </c>
      <c r="K58" s="1000">
        <f t="shared" si="10"/>
        <v>1.8E-3</v>
      </c>
      <c r="L58" s="1000">
        <v>0</v>
      </c>
      <c r="M58" s="1000">
        <f t="shared" si="11"/>
        <v>-1.8E-3</v>
      </c>
      <c r="N58" s="1000">
        <f t="shared" si="11"/>
        <v>-3.5999999999999999E-3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36">
      <c r="A85" s="3069" t="s">
        <v>3270</v>
      </c>
      <c r="B85" s="1261">
        <f>估价对象房地状况!G17</f>
        <v>0</v>
      </c>
      <c r="C85" s="1886"/>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0" t="s">
        <v>3294</v>
      </c>
      <c r="B103" s="3470"/>
      <c r="C103" s="3470"/>
      <c r="D103" s="3470"/>
      <c r="E103" s="3470"/>
      <c r="F103" s="3470"/>
      <c r="G103" s="3470"/>
      <c r="H103" s="3470"/>
      <c r="I103" s="3470"/>
      <c r="J103" s="3470"/>
      <c r="K103" s="1666"/>
      <c r="L103" s="1666"/>
      <c r="M103" s="1666"/>
      <c r="N103" s="1666"/>
    </row>
    <row r="104" spans="1:14">
      <c r="A104" s="3471" t="s">
        <v>3295</v>
      </c>
      <c r="B104" s="3471" t="s">
        <v>3296</v>
      </c>
      <c r="C104" s="3089" t="s">
        <v>3297</v>
      </c>
      <c r="D104" s="3090"/>
      <c r="E104" s="3090"/>
      <c r="F104" s="3090"/>
      <c r="G104" s="3090"/>
      <c r="H104" s="3090"/>
      <c r="I104" s="3090"/>
      <c r="J104" s="3091"/>
      <c r="K104" s="3092"/>
      <c r="L104" s="3092"/>
      <c r="M104" s="3092"/>
      <c r="N104" s="3092"/>
    </row>
    <row r="105" spans="1:14">
      <c r="A105" s="3471"/>
      <c r="B105" s="347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3311</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三级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3" t="s">
        <v>2607</v>
      </c>
      <c r="B20" s="3476" t="s">
        <v>2628</v>
      </c>
      <c r="C20" s="2841" t="s">
        <v>2439</v>
      </c>
      <c r="D20" s="2842"/>
      <c r="E20" s="2843">
        <v>1</v>
      </c>
      <c r="F20" s="2844" t="s">
        <v>2440</v>
      </c>
      <c r="G20" s="2844"/>
    </row>
    <row r="21" spans="1:13" ht="19.5" customHeight="1">
      <c r="A21" s="3484"/>
      <c r="B21" s="3477"/>
      <c r="C21" s="2845" t="s">
        <v>2441</v>
      </c>
      <c r="D21" s="2846"/>
      <c r="E21" s="2847">
        <v>1</v>
      </c>
      <c r="F21" s="2844" t="s">
        <v>2442</v>
      </c>
      <c r="G21" s="2844"/>
    </row>
    <row r="22" spans="1:13" ht="19.5" customHeight="1">
      <c r="A22" s="3484"/>
      <c r="B22" s="3477"/>
      <c r="C22" s="2845" t="s">
        <v>2443</v>
      </c>
      <c r="D22" s="2846"/>
      <c r="E22" s="2847">
        <v>0.9</v>
      </c>
      <c r="F22" s="2844" t="s">
        <v>2444</v>
      </c>
      <c r="G22" s="2844"/>
    </row>
    <row r="23" spans="1:13" ht="19.5" customHeight="1">
      <c r="A23" s="3484"/>
      <c r="B23" s="3477"/>
      <c r="C23" s="2845" t="s">
        <v>2445</v>
      </c>
      <c r="D23" s="2846"/>
      <c r="E23" s="2847">
        <v>0.9</v>
      </c>
      <c r="F23" s="2844" t="s">
        <v>2446</v>
      </c>
      <c r="G23" s="2844"/>
    </row>
    <row r="24" spans="1:13" ht="19.5" customHeight="1">
      <c r="A24" s="3484"/>
      <c r="B24" s="3477"/>
      <c r="C24" s="2845" t="s">
        <v>2447</v>
      </c>
      <c r="D24" s="2846"/>
      <c r="E24" s="2847">
        <v>0.8</v>
      </c>
      <c r="F24" s="2844" t="s">
        <v>2448</v>
      </c>
      <c r="G24" s="2844"/>
    </row>
    <row r="25" spans="1:13" ht="19.5" customHeight="1" thickBot="1">
      <c r="A25" s="3485"/>
      <c r="B25" s="347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9" t="s">
        <v>2631</v>
      </c>
      <c r="B27" s="3476" t="s">
        <v>2612</v>
      </c>
      <c r="C27" s="2841" t="s">
        <v>2452</v>
      </c>
      <c r="D27" s="2842"/>
      <c r="E27" s="2843">
        <v>1</v>
      </c>
      <c r="F27" s="2844" t="s">
        <v>2453</v>
      </c>
      <c r="G27" s="2844"/>
    </row>
    <row r="28" spans="1:13" ht="19.5" customHeight="1">
      <c r="A28" s="3480"/>
      <c r="B28" s="3477"/>
      <c r="C28" s="2845" t="s">
        <v>2454</v>
      </c>
      <c r="D28" s="2846"/>
      <c r="E28" s="2847">
        <v>1</v>
      </c>
      <c r="F28" s="2844" t="s">
        <v>2455</v>
      </c>
      <c r="G28" s="2844"/>
    </row>
    <row r="29" spans="1:13" ht="19.5" customHeight="1">
      <c r="A29" s="3480"/>
      <c r="B29" s="3477"/>
      <c r="C29" s="2845" t="s">
        <v>2456</v>
      </c>
      <c r="D29" s="2846"/>
      <c r="E29" s="2847">
        <v>0.8</v>
      </c>
      <c r="F29" s="2844" t="s">
        <v>2457</v>
      </c>
      <c r="G29" s="2844"/>
    </row>
    <row r="30" spans="1:13" ht="19.5" customHeight="1">
      <c r="A30" s="3480"/>
      <c r="B30" s="3477"/>
      <c r="C30" s="2845" t="s">
        <v>2458</v>
      </c>
      <c r="D30" s="2846"/>
      <c r="E30" s="2847">
        <v>0.8</v>
      </c>
      <c r="F30" s="2844" t="s">
        <v>2459</v>
      </c>
      <c r="G30" s="2844"/>
    </row>
    <row r="31" spans="1:13" ht="19.5" customHeight="1">
      <c r="A31" s="3480"/>
      <c r="B31" s="3477"/>
      <c r="C31" s="2845" t="s">
        <v>2460</v>
      </c>
      <c r="D31" s="2846"/>
      <c r="E31" s="2847">
        <v>0.8</v>
      </c>
      <c r="F31" s="2844" t="s">
        <v>2461</v>
      </c>
      <c r="G31" s="2844"/>
    </row>
    <row r="32" spans="1:13" ht="19.5" customHeight="1">
      <c r="A32" s="3480"/>
      <c r="B32" s="3477"/>
      <c r="C32" s="2845" t="s">
        <v>2462</v>
      </c>
      <c r="D32" s="2846"/>
      <c r="E32" s="2847">
        <v>0.7</v>
      </c>
      <c r="F32" s="2844" t="s">
        <v>2463</v>
      </c>
      <c r="G32" s="2844"/>
    </row>
    <row r="33" spans="1:7" ht="19.5" customHeight="1">
      <c r="A33" s="3480"/>
      <c r="B33" s="3477"/>
      <c r="C33" s="2845" t="s">
        <v>2464</v>
      </c>
      <c r="D33" s="2846"/>
      <c r="E33" s="2847">
        <v>0.8</v>
      </c>
      <c r="F33" s="2844" t="s">
        <v>2465</v>
      </c>
      <c r="G33" s="2844"/>
    </row>
    <row r="34" spans="1:7" ht="19.5" customHeight="1">
      <c r="A34" s="3480"/>
      <c r="B34" s="3477"/>
      <c r="C34" s="2845" t="s">
        <v>2466</v>
      </c>
      <c r="D34" s="2846"/>
      <c r="E34" s="2847">
        <v>0.6</v>
      </c>
      <c r="F34" s="2844" t="s">
        <v>2467</v>
      </c>
      <c r="G34" s="2844"/>
    </row>
    <row r="35" spans="1:7" ht="19.5" customHeight="1">
      <c r="A35" s="3480"/>
      <c r="B35" s="3477"/>
      <c r="C35" s="2845" t="s">
        <v>2468</v>
      </c>
      <c r="D35" s="2846"/>
      <c r="E35" s="2847">
        <v>0.2</v>
      </c>
      <c r="F35" s="2844" t="s">
        <v>2469</v>
      </c>
      <c r="G35" s="2844"/>
    </row>
    <row r="36" spans="1:7" ht="19.5" customHeight="1">
      <c r="A36" s="3480"/>
      <c r="B36" s="3477"/>
      <c r="C36" s="2845" t="s">
        <v>2470</v>
      </c>
      <c r="D36" s="2846"/>
      <c r="E36" s="2847">
        <v>0.2</v>
      </c>
      <c r="F36" s="2844" t="s">
        <v>2471</v>
      </c>
      <c r="G36" s="2844"/>
    </row>
    <row r="37" spans="1:7" ht="19.5" customHeight="1">
      <c r="A37" s="3480"/>
      <c r="B37" s="3482" t="s">
        <v>2632</v>
      </c>
      <c r="C37" s="2845" t="s">
        <v>2472</v>
      </c>
      <c r="D37" s="2846"/>
      <c r="E37" s="2847">
        <v>0.6</v>
      </c>
      <c r="F37" s="2844" t="s">
        <v>2473</v>
      </c>
      <c r="G37" s="2844"/>
    </row>
    <row r="38" spans="1:7" ht="19.5" customHeight="1">
      <c r="A38" s="3480"/>
      <c r="B38" s="3477"/>
      <c r="C38" s="2845" t="s">
        <v>2474</v>
      </c>
      <c r="D38" s="2846"/>
      <c r="E38" s="2847">
        <v>0.6</v>
      </c>
      <c r="F38" s="2844" t="s">
        <v>2475</v>
      </c>
      <c r="G38" s="2844"/>
    </row>
    <row r="39" spans="1:7" ht="19.5" customHeight="1" thickBot="1">
      <c r="A39" s="3481"/>
      <c r="B39" s="347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3" t="s">
        <v>2610</v>
      </c>
      <c r="B41" s="3476" t="s">
        <v>2634</v>
      </c>
      <c r="C41" s="2841" t="s">
        <v>2479</v>
      </c>
      <c r="D41" s="2842"/>
      <c r="E41" s="2843">
        <v>1</v>
      </c>
      <c r="F41" s="2844" t="s">
        <v>2480</v>
      </c>
      <c r="G41" s="2844"/>
    </row>
    <row r="42" spans="1:7" ht="19.5" customHeight="1">
      <c r="A42" s="3484"/>
      <c r="B42" s="3477"/>
      <c r="C42" s="2845" t="s">
        <v>2481</v>
      </c>
      <c r="D42" s="2846"/>
      <c r="E42" s="2847">
        <v>1</v>
      </c>
      <c r="F42" s="2844" t="s">
        <v>2482</v>
      </c>
      <c r="G42" s="2844"/>
    </row>
    <row r="43" spans="1:7" ht="19.5" customHeight="1">
      <c r="A43" s="3484"/>
      <c r="B43" s="3486"/>
      <c r="C43" s="2845" t="s">
        <v>2483</v>
      </c>
      <c r="D43" s="2846"/>
      <c r="E43" s="2847">
        <v>1.5</v>
      </c>
      <c r="F43" s="2844" t="s">
        <v>2484</v>
      </c>
      <c r="G43" s="2844"/>
    </row>
    <row r="44" spans="1:7" ht="19.5" customHeight="1">
      <c r="A44" s="3484"/>
      <c r="B44" s="2856" t="s">
        <v>2635</v>
      </c>
      <c r="C44" s="2845" t="s">
        <v>2636</v>
      </c>
      <c r="D44" s="2846"/>
      <c r="E44" s="2847">
        <v>2</v>
      </c>
      <c r="F44" s="2844" t="s">
        <v>2485</v>
      </c>
      <c r="G44" s="2844"/>
    </row>
    <row r="45" spans="1:7" ht="19.5" customHeight="1">
      <c r="A45" s="3484"/>
      <c r="B45" s="3482" t="s">
        <v>2637</v>
      </c>
      <c r="C45" s="2845" t="s">
        <v>2486</v>
      </c>
      <c r="D45" s="2846"/>
      <c r="E45" s="2847">
        <v>1</v>
      </c>
      <c r="F45" s="2844" t="s">
        <v>2487</v>
      </c>
      <c r="G45" s="2844"/>
    </row>
    <row r="46" spans="1:7" ht="19.5" customHeight="1">
      <c r="A46" s="3484"/>
      <c r="B46" s="3477"/>
      <c r="C46" s="2845" t="s">
        <v>2488</v>
      </c>
      <c r="D46" s="2846"/>
      <c r="E46" s="2847">
        <v>1</v>
      </c>
      <c r="F46" s="2844" t="s">
        <v>2489</v>
      </c>
      <c r="G46" s="2844"/>
    </row>
    <row r="47" spans="1:7" ht="19.5" customHeight="1">
      <c r="A47" s="3484"/>
      <c r="B47" s="3477"/>
      <c r="C47" s="2845" t="s">
        <v>2490</v>
      </c>
      <c r="D47" s="2846"/>
      <c r="E47" s="2847">
        <v>1</v>
      </c>
      <c r="F47" s="2844" t="s">
        <v>2491</v>
      </c>
      <c r="G47" s="2844"/>
    </row>
    <row r="48" spans="1:7" ht="19.5" customHeight="1">
      <c r="A48" s="3484"/>
      <c r="B48" s="3477"/>
      <c r="C48" s="2845" t="s">
        <v>2492</v>
      </c>
      <c r="D48" s="2846"/>
      <c r="E48" s="2847">
        <v>1</v>
      </c>
      <c r="F48" s="2844" t="s">
        <v>2493</v>
      </c>
      <c r="G48" s="2844"/>
    </row>
    <row r="49" spans="1:7" ht="19.5" customHeight="1">
      <c r="A49" s="3484"/>
      <c r="B49" s="3477"/>
      <c r="C49" s="2845" t="s">
        <v>2494</v>
      </c>
      <c r="D49" s="2846"/>
      <c r="E49" s="2847">
        <v>1</v>
      </c>
      <c r="F49" s="2844" t="s">
        <v>2495</v>
      </c>
      <c r="G49" s="2844"/>
    </row>
    <row r="50" spans="1:7" ht="19.5" customHeight="1">
      <c r="A50" s="3484"/>
      <c r="B50" s="3477"/>
      <c r="C50" s="2845" t="s">
        <v>2496</v>
      </c>
      <c r="D50" s="2846"/>
      <c r="E50" s="2847">
        <v>1</v>
      </c>
      <c r="F50" s="2844" t="s">
        <v>2497</v>
      </c>
      <c r="G50" s="2844"/>
    </row>
    <row r="51" spans="1:7" ht="19.5" customHeight="1" thickBot="1">
      <c r="A51" s="3485"/>
      <c r="B51" s="347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2" t="s">
        <v>2651</v>
      </c>
      <c r="C73" s="2830" t="s">
        <v>2652</v>
      </c>
      <c r="D73" s="2830" t="s">
        <v>2653</v>
      </c>
      <c r="E73" s="2856">
        <v>0.2</v>
      </c>
      <c r="F73" s="2856">
        <v>25</v>
      </c>
    </row>
    <row r="74" spans="1:7" ht="24">
      <c r="A74" s="2856">
        <v>2</v>
      </c>
      <c r="B74" s="3477"/>
      <c r="C74" s="2830" t="s">
        <v>2654</v>
      </c>
      <c r="D74" s="2830" t="s">
        <v>2655</v>
      </c>
      <c r="E74" s="2856">
        <v>0.2</v>
      </c>
      <c r="F74" s="2856">
        <v>25</v>
      </c>
    </row>
    <row r="75" spans="1:7" ht="24">
      <c r="A75" s="2856">
        <v>3</v>
      </c>
      <c r="B75" s="3477"/>
      <c r="C75" s="2830" t="s">
        <v>2656</v>
      </c>
      <c r="D75" s="2830" t="s">
        <v>2657</v>
      </c>
      <c r="E75" s="2856">
        <v>0.2</v>
      </c>
      <c r="F75" s="2856">
        <v>25</v>
      </c>
    </row>
    <row r="76" spans="1:7" ht="13.5">
      <c r="A76" s="2856">
        <v>4</v>
      </c>
      <c r="B76" s="3477"/>
      <c r="C76" s="2830" t="s">
        <v>2658</v>
      </c>
      <c r="D76" s="2830" t="s">
        <v>2659</v>
      </c>
      <c r="E76" s="2856">
        <v>0.15</v>
      </c>
      <c r="F76" s="2856">
        <v>20</v>
      </c>
    </row>
    <row r="77" spans="1:7" ht="24">
      <c r="A77" s="2856">
        <v>5</v>
      </c>
      <c r="B77" s="3477"/>
      <c r="C77" s="2830" t="s">
        <v>2660</v>
      </c>
      <c r="D77" s="2830" t="s">
        <v>2661</v>
      </c>
      <c r="E77" s="2856">
        <v>0.15</v>
      </c>
      <c r="F77" s="2856">
        <v>20</v>
      </c>
    </row>
    <row r="78" spans="1:7" ht="24">
      <c r="A78" s="2856">
        <v>6</v>
      </c>
      <c r="B78" s="3477"/>
      <c r="C78" s="2830" t="s">
        <v>2662</v>
      </c>
      <c r="D78" s="2830" t="s">
        <v>2663</v>
      </c>
      <c r="E78" s="2856">
        <v>0.15</v>
      </c>
      <c r="F78" s="2856">
        <v>20</v>
      </c>
    </row>
    <row r="79" spans="1:7" ht="24">
      <c r="A79" s="2856">
        <v>7</v>
      </c>
      <c r="B79" s="3477"/>
      <c r="C79" s="2830" t="s">
        <v>2664</v>
      </c>
      <c r="D79" s="2830" t="s">
        <v>2665</v>
      </c>
      <c r="E79" s="2856">
        <v>0.15</v>
      </c>
      <c r="F79" s="2856">
        <v>20</v>
      </c>
    </row>
    <row r="80" spans="1:7" ht="24">
      <c r="A80" s="2856">
        <v>8</v>
      </c>
      <c r="B80" s="3477"/>
      <c r="C80" s="2830" t="s">
        <v>2666</v>
      </c>
      <c r="D80" s="2830" t="s">
        <v>2667</v>
      </c>
      <c r="E80" s="2856">
        <v>0.1</v>
      </c>
      <c r="F80" s="2856">
        <v>15</v>
      </c>
    </row>
    <row r="81" spans="1:6" ht="24">
      <c r="A81" s="2856">
        <v>9</v>
      </c>
      <c r="B81" s="3477"/>
      <c r="C81" s="2830" t="s">
        <v>2668</v>
      </c>
      <c r="D81" s="2830" t="s">
        <v>2669</v>
      </c>
      <c r="E81" s="2856">
        <v>0.1</v>
      </c>
      <c r="F81" s="2856">
        <v>15</v>
      </c>
    </row>
    <row r="82" spans="1:6" ht="24">
      <c r="A82" s="2856">
        <v>10</v>
      </c>
      <c r="B82" s="3477"/>
      <c r="C82" s="2830" t="s">
        <v>2670</v>
      </c>
      <c r="D82" s="2830" t="s">
        <v>2671</v>
      </c>
      <c r="E82" s="2856">
        <v>0.1</v>
      </c>
      <c r="F82" s="2856">
        <v>15</v>
      </c>
    </row>
    <row r="83" spans="1:6" ht="24">
      <c r="A83" s="2856">
        <v>11</v>
      </c>
      <c r="B83" s="3477"/>
      <c r="C83" s="2830" t="s">
        <v>2672</v>
      </c>
      <c r="D83" s="2830" t="s">
        <v>2673</v>
      </c>
      <c r="E83" s="2856">
        <v>0.1</v>
      </c>
      <c r="F83" s="2856">
        <v>15</v>
      </c>
    </row>
    <row r="84" spans="1:6" ht="24">
      <c r="A84" s="2856">
        <v>12</v>
      </c>
      <c r="B84" s="3477"/>
      <c r="C84" s="2830" t="s">
        <v>2674</v>
      </c>
      <c r="D84" s="2830" t="s">
        <v>2675</v>
      </c>
      <c r="E84" s="2856">
        <v>0.1</v>
      </c>
      <c r="F84" s="2856">
        <v>15</v>
      </c>
    </row>
    <row r="85" spans="1:6" ht="13.5">
      <c r="A85" s="2856">
        <v>13</v>
      </c>
      <c r="B85" s="3477"/>
      <c r="C85" s="2830" t="s">
        <v>2676</v>
      </c>
      <c r="D85" s="2830" t="s">
        <v>2677</v>
      </c>
      <c r="E85" s="2856">
        <v>0.1</v>
      </c>
      <c r="F85" s="2856">
        <v>15</v>
      </c>
    </row>
    <row r="86" spans="1:6" ht="13.5">
      <c r="A86" s="2856">
        <v>14</v>
      </c>
      <c r="B86" s="3477"/>
      <c r="C86" s="2830" t="s">
        <v>2678</v>
      </c>
      <c r="D86" s="2830" t="s">
        <v>2679</v>
      </c>
      <c r="E86" s="2856">
        <v>0.1</v>
      </c>
      <c r="F86" s="2856">
        <v>15</v>
      </c>
    </row>
    <row r="87" spans="1:6" ht="13.5">
      <c r="A87" s="2856">
        <v>15</v>
      </c>
      <c r="B87" s="3477"/>
      <c r="C87" s="2830" t="s">
        <v>2680</v>
      </c>
      <c r="D87" s="2830" t="s">
        <v>2681</v>
      </c>
      <c r="E87" s="2856">
        <v>0.1</v>
      </c>
      <c r="F87" s="2856">
        <v>15</v>
      </c>
    </row>
    <row r="88" spans="1:6" ht="24">
      <c r="A88" s="2856">
        <v>16</v>
      </c>
      <c r="B88" s="3477"/>
      <c r="C88" s="2830" t="s">
        <v>2682</v>
      </c>
      <c r="D88" s="2830" t="s">
        <v>2683</v>
      </c>
      <c r="E88" s="2856">
        <v>0.1</v>
      </c>
      <c r="F88" s="2856">
        <v>15</v>
      </c>
    </row>
    <row r="89" spans="1:6" ht="24">
      <c r="A89" s="2856">
        <v>17</v>
      </c>
      <c r="B89" s="3486"/>
      <c r="C89" s="2830" t="s">
        <v>2684</v>
      </c>
      <c r="D89" s="2830" t="s">
        <v>2685</v>
      </c>
      <c r="E89" s="2856">
        <v>0.1</v>
      </c>
      <c r="F89" s="2856">
        <v>15</v>
      </c>
    </row>
    <row r="90" spans="1:6" ht="13.5">
      <c r="A90" s="2856">
        <v>18</v>
      </c>
      <c r="B90" s="3482" t="s">
        <v>2686</v>
      </c>
      <c r="C90" s="2830" t="s">
        <v>2687</v>
      </c>
      <c r="D90" s="2830" t="s">
        <v>2688</v>
      </c>
      <c r="E90" s="2856">
        <v>0.2</v>
      </c>
      <c r="F90" s="2856">
        <v>25</v>
      </c>
    </row>
    <row r="91" spans="1:6" ht="24">
      <c r="A91" s="2856">
        <v>19</v>
      </c>
      <c r="B91" s="3477"/>
      <c r="C91" s="2830" t="s">
        <v>2689</v>
      </c>
      <c r="D91" s="2830" t="s">
        <v>2690</v>
      </c>
      <c r="E91" s="2856">
        <v>0.2</v>
      </c>
      <c r="F91" s="2856">
        <v>25</v>
      </c>
    </row>
    <row r="92" spans="1:6" ht="13.5">
      <c r="A92" s="2856">
        <v>20</v>
      </c>
      <c r="B92" s="3477"/>
      <c r="C92" s="2830" t="s">
        <v>2691</v>
      </c>
      <c r="D92" s="2830" t="s">
        <v>2692</v>
      </c>
      <c r="E92" s="2856">
        <v>0.15</v>
      </c>
      <c r="F92" s="2856">
        <v>20</v>
      </c>
    </row>
    <row r="93" spans="1:6" ht="13.5">
      <c r="A93" s="2856">
        <v>21</v>
      </c>
      <c r="B93" s="3477"/>
      <c r="C93" s="2830" t="s">
        <v>2693</v>
      </c>
      <c r="D93" s="2830" t="s">
        <v>2694</v>
      </c>
      <c r="E93" s="2856">
        <v>0.15</v>
      </c>
      <c r="F93" s="2856">
        <v>20</v>
      </c>
    </row>
    <row r="94" spans="1:6" ht="13.5">
      <c r="A94" s="2856">
        <v>22</v>
      </c>
      <c r="B94" s="3477"/>
      <c r="C94" s="2830" t="s">
        <v>2695</v>
      </c>
      <c r="D94" s="2830" t="s">
        <v>2696</v>
      </c>
      <c r="E94" s="2856">
        <v>0.15</v>
      </c>
      <c r="F94" s="2856">
        <v>20</v>
      </c>
    </row>
    <row r="95" spans="1:6" ht="36">
      <c r="A95" s="2856">
        <v>23</v>
      </c>
      <c r="B95" s="3477"/>
      <c r="C95" s="2830" t="s">
        <v>2697</v>
      </c>
      <c r="D95" s="2830" t="s">
        <v>2698</v>
      </c>
      <c r="E95" s="2856">
        <v>0.15</v>
      </c>
      <c r="F95" s="2856">
        <v>20</v>
      </c>
    </row>
    <row r="96" spans="1:6" ht="13.5">
      <c r="A96" s="2856">
        <v>24</v>
      </c>
      <c r="B96" s="3477"/>
      <c r="C96" s="2830" t="s">
        <v>2699</v>
      </c>
      <c r="D96" s="2830" t="s">
        <v>2700</v>
      </c>
      <c r="E96" s="2856">
        <v>0.1</v>
      </c>
      <c r="F96" s="2856">
        <v>15</v>
      </c>
    </row>
    <row r="97" spans="1:6" ht="13.5">
      <c r="A97" s="2856">
        <v>25</v>
      </c>
      <c r="B97" s="3477"/>
      <c r="C97" s="2830" t="s">
        <v>2701</v>
      </c>
      <c r="D97" s="2830" t="s">
        <v>2702</v>
      </c>
      <c r="E97" s="2856">
        <v>0.1</v>
      </c>
      <c r="F97" s="2856">
        <v>15</v>
      </c>
    </row>
    <row r="98" spans="1:6" ht="24">
      <c r="A98" s="2856">
        <v>26</v>
      </c>
      <c r="B98" s="3477"/>
      <c r="C98" s="2830" t="s">
        <v>2703</v>
      </c>
      <c r="D98" s="2830" t="s">
        <v>2704</v>
      </c>
      <c r="E98" s="2856">
        <v>0.1</v>
      </c>
      <c r="F98" s="2856">
        <v>15</v>
      </c>
    </row>
    <row r="99" spans="1:6" ht="24">
      <c r="A99" s="2856">
        <v>27</v>
      </c>
      <c r="B99" s="3477"/>
      <c r="C99" s="2830" t="s">
        <v>2705</v>
      </c>
      <c r="D99" s="2830" t="s">
        <v>2706</v>
      </c>
      <c r="E99" s="2856">
        <v>0.1</v>
      </c>
      <c r="F99" s="2856">
        <v>15</v>
      </c>
    </row>
    <row r="100" spans="1:6" ht="13.5">
      <c r="A100" s="2856">
        <v>28</v>
      </c>
      <c r="B100" s="3477"/>
      <c r="C100" s="2830" t="s">
        <v>2707</v>
      </c>
      <c r="D100" s="2830" t="s">
        <v>2708</v>
      </c>
      <c r="E100" s="2856">
        <v>0.1</v>
      </c>
      <c r="F100" s="2856">
        <v>15</v>
      </c>
    </row>
    <row r="101" spans="1:6" ht="13.5">
      <c r="A101" s="2856">
        <v>29</v>
      </c>
      <c r="B101" s="3477"/>
      <c r="C101" s="2830" t="s">
        <v>2709</v>
      </c>
      <c r="D101" s="2830" t="s">
        <v>2710</v>
      </c>
      <c r="E101" s="2856">
        <v>0.1</v>
      </c>
      <c r="F101" s="2856">
        <v>15</v>
      </c>
    </row>
    <row r="102" spans="1:6" ht="13.5">
      <c r="A102" s="2856">
        <v>30</v>
      </c>
      <c r="B102" s="3477"/>
      <c r="C102" s="2830" t="s">
        <v>2711</v>
      </c>
      <c r="D102" s="2830" t="s">
        <v>2712</v>
      </c>
      <c r="E102" s="2856">
        <v>0.1</v>
      </c>
      <c r="F102" s="2856">
        <v>15</v>
      </c>
    </row>
    <row r="103" spans="1:6" ht="24">
      <c r="A103" s="2856">
        <v>31</v>
      </c>
      <c r="B103" s="3477"/>
      <c r="C103" s="2830" t="s">
        <v>2713</v>
      </c>
      <c r="D103" s="2830" t="s">
        <v>2714</v>
      </c>
      <c r="E103" s="2856">
        <v>0.1</v>
      </c>
      <c r="F103" s="2856">
        <v>15</v>
      </c>
    </row>
    <row r="104" spans="1:6" ht="24">
      <c r="A104" s="2856">
        <v>32</v>
      </c>
      <c r="B104" s="3477"/>
      <c r="C104" s="2830" t="s">
        <v>2715</v>
      </c>
      <c r="D104" s="2830" t="s">
        <v>2716</v>
      </c>
      <c r="E104" s="2856">
        <v>0.1</v>
      </c>
      <c r="F104" s="2856">
        <v>15</v>
      </c>
    </row>
    <row r="105" spans="1:6" ht="24">
      <c r="A105" s="2856">
        <v>33</v>
      </c>
      <c r="B105" s="3477"/>
      <c r="C105" s="2830" t="s">
        <v>2717</v>
      </c>
      <c r="D105" s="2830" t="s">
        <v>2718</v>
      </c>
      <c r="E105" s="2856">
        <v>0.1</v>
      </c>
      <c r="F105" s="2856">
        <v>15</v>
      </c>
    </row>
    <row r="106" spans="1:6" ht="24">
      <c r="A106" s="2856">
        <v>34</v>
      </c>
      <c r="B106" s="3486"/>
      <c r="C106" s="2830" t="s">
        <v>2719</v>
      </c>
      <c r="D106" s="2830" t="s">
        <v>2720</v>
      </c>
      <c r="E106" s="2856">
        <v>0.1</v>
      </c>
      <c r="F106" s="2856">
        <v>15</v>
      </c>
    </row>
    <row r="107" spans="1:6" ht="24">
      <c r="A107" s="2856">
        <v>35</v>
      </c>
      <c r="B107" s="3482" t="s">
        <v>2721</v>
      </c>
      <c r="C107" s="2856" t="s">
        <v>2722</v>
      </c>
      <c r="D107" s="2830" t="s">
        <v>2723</v>
      </c>
      <c r="E107" s="2856">
        <v>0.15</v>
      </c>
      <c r="F107" s="2856">
        <v>20</v>
      </c>
    </row>
    <row r="108" spans="1:6" ht="13.5">
      <c r="A108" s="2856">
        <v>36</v>
      </c>
      <c r="B108" s="3477"/>
      <c r="C108" s="2856" t="s">
        <v>2724</v>
      </c>
      <c r="D108" s="2830" t="s">
        <v>2725</v>
      </c>
      <c r="E108" s="2856">
        <v>0.15</v>
      </c>
      <c r="F108" s="2856">
        <v>20</v>
      </c>
    </row>
    <row r="109" spans="1:6" ht="13.5">
      <c r="A109" s="2856">
        <v>37</v>
      </c>
      <c r="B109" s="3477"/>
      <c r="C109" s="2856" t="s">
        <v>2726</v>
      </c>
      <c r="D109" s="2830" t="s">
        <v>2727</v>
      </c>
      <c r="E109" s="2856">
        <v>0.15</v>
      </c>
      <c r="F109" s="2856">
        <v>20</v>
      </c>
    </row>
    <row r="110" spans="1:6" ht="13.5">
      <c r="A110" s="2856">
        <v>38</v>
      </c>
      <c r="B110" s="3477"/>
      <c r="C110" s="2856" t="s">
        <v>2728</v>
      </c>
      <c r="D110" s="2830" t="s">
        <v>2729</v>
      </c>
      <c r="E110" s="2856">
        <v>0.1</v>
      </c>
      <c r="F110" s="2856">
        <v>15</v>
      </c>
    </row>
    <row r="111" spans="1:6" ht="24">
      <c r="A111" s="2856">
        <v>39</v>
      </c>
      <c r="B111" s="3477"/>
      <c r="C111" s="2856" t="s">
        <v>2730</v>
      </c>
      <c r="D111" s="2830" t="s">
        <v>2731</v>
      </c>
      <c r="E111" s="2856">
        <v>0.1</v>
      </c>
      <c r="F111" s="2856">
        <v>15</v>
      </c>
    </row>
    <row r="112" spans="1:6" ht="24">
      <c r="A112" s="2856">
        <v>40</v>
      </c>
      <c r="B112" s="3486"/>
      <c r="C112" s="2856" t="s">
        <v>2732</v>
      </c>
      <c r="D112" s="2830" t="s">
        <v>2733</v>
      </c>
      <c r="E112" s="2856">
        <v>0.1</v>
      </c>
      <c r="F112" s="2856">
        <v>15</v>
      </c>
    </row>
    <row r="113" spans="1:6" ht="13.5">
      <c r="A113" s="2856">
        <v>41</v>
      </c>
      <c r="B113" s="3487" t="s">
        <v>2734</v>
      </c>
      <c r="C113" s="2856" t="s">
        <v>2735</v>
      </c>
      <c r="D113" s="2830" t="s">
        <v>2736</v>
      </c>
      <c r="E113" s="2856">
        <v>0.1</v>
      </c>
      <c r="F113" s="2856">
        <v>15</v>
      </c>
    </row>
    <row r="114" spans="1:6" ht="13.5">
      <c r="A114" s="2856">
        <v>42</v>
      </c>
      <c r="B114" s="3487"/>
      <c r="C114" s="2856" t="s">
        <v>2737</v>
      </c>
      <c r="D114" s="2830" t="s">
        <v>2738</v>
      </c>
      <c r="E114" s="2856">
        <v>0.1</v>
      </c>
      <c r="F114" s="2856">
        <v>15</v>
      </c>
    </row>
    <row r="115" spans="1:6" ht="24">
      <c r="A115" s="2856">
        <v>43</v>
      </c>
      <c r="B115" s="3487"/>
      <c r="C115" s="2856" t="s">
        <v>2739</v>
      </c>
      <c r="D115" s="2830" t="s">
        <v>2740</v>
      </c>
      <c r="E115" s="2856">
        <v>0.1</v>
      </c>
      <c r="F115" s="2856">
        <v>15</v>
      </c>
    </row>
    <row r="116" spans="1:6" ht="13.5">
      <c r="A116" s="2856">
        <v>44</v>
      </c>
      <c r="B116" s="3482" t="s">
        <v>2741</v>
      </c>
      <c r="C116" s="2856" t="s">
        <v>2742</v>
      </c>
      <c r="D116" s="2830" t="s">
        <v>2743</v>
      </c>
      <c r="E116" s="2856">
        <v>0.1</v>
      </c>
      <c r="F116" s="2856">
        <v>15</v>
      </c>
    </row>
    <row r="117" spans="1:6" ht="24">
      <c r="A117" s="2856">
        <v>45</v>
      </c>
      <c r="B117" s="3486"/>
      <c r="C117" s="2830" t="s">
        <v>2744</v>
      </c>
      <c r="D117" s="2830" t="s">
        <v>2745</v>
      </c>
      <c r="E117" s="2856">
        <v>0.1</v>
      </c>
      <c r="F117" s="2856">
        <v>15</v>
      </c>
    </row>
    <row r="118" spans="1:6" ht="24">
      <c r="A118" s="2856">
        <v>46</v>
      </c>
      <c r="B118" s="3482" t="s">
        <v>2746</v>
      </c>
      <c r="C118" s="2856" t="s">
        <v>2747</v>
      </c>
      <c r="D118" s="2830" t="s">
        <v>2748</v>
      </c>
      <c r="E118" s="2856">
        <v>0.1</v>
      </c>
      <c r="F118" s="2856">
        <v>15</v>
      </c>
    </row>
    <row r="119" spans="1:6" ht="24">
      <c r="A119" s="2856">
        <v>47</v>
      </c>
      <c r="B119" s="3486"/>
      <c r="C119" s="2856" t="s">
        <v>2749</v>
      </c>
      <c r="D119" s="2830" t="s">
        <v>2750</v>
      </c>
      <c r="E119" s="2856">
        <v>0.1</v>
      </c>
      <c r="F119" s="2856">
        <v>15</v>
      </c>
    </row>
    <row r="120" spans="1:6" ht="13.5">
      <c r="A120" s="2856">
        <v>48</v>
      </c>
      <c r="B120" s="3482" t="s">
        <v>2751</v>
      </c>
      <c r="C120" s="2856" t="s">
        <v>2752</v>
      </c>
      <c r="D120" s="2830" t="s">
        <v>2753</v>
      </c>
      <c r="E120" s="2856">
        <v>0.1</v>
      </c>
      <c r="F120" s="2856">
        <v>15</v>
      </c>
    </row>
    <row r="121" spans="1:6" ht="13.5">
      <c r="A121" s="2856">
        <v>49</v>
      </c>
      <c r="B121" s="3486"/>
      <c r="C121" s="2856" t="s">
        <v>2754</v>
      </c>
      <c r="D121" s="2830" t="s">
        <v>2755</v>
      </c>
      <c r="E121" s="2856">
        <v>0.1</v>
      </c>
      <c r="F121" s="2856">
        <v>15</v>
      </c>
    </row>
    <row r="122" spans="1:6" ht="24">
      <c r="A122" s="2856">
        <v>50</v>
      </c>
      <c r="B122" s="3487" t="s">
        <v>2756</v>
      </c>
      <c r="C122" s="2856" t="s">
        <v>2757</v>
      </c>
      <c r="D122" s="2830" t="s">
        <v>2758</v>
      </c>
      <c r="E122" s="2856">
        <v>0.1</v>
      </c>
      <c r="F122" s="2856">
        <v>15</v>
      </c>
    </row>
    <row r="123" spans="1:6" ht="24">
      <c r="A123" s="2856">
        <v>51</v>
      </c>
      <c r="B123" s="3487"/>
      <c r="C123" s="2856" t="s">
        <v>2759</v>
      </c>
      <c r="D123" s="2830" t="s">
        <v>2760</v>
      </c>
      <c r="E123" s="2856">
        <v>0.1</v>
      </c>
      <c r="F123" s="2856">
        <v>15</v>
      </c>
    </row>
    <row r="124" spans="1:6" ht="24">
      <c r="A124" s="2856">
        <v>52</v>
      </c>
      <c r="B124" s="3487" t="s">
        <v>2761</v>
      </c>
      <c r="C124" s="2856" t="s">
        <v>2762</v>
      </c>
      <c r="D124" s="2830" t="s">
        <v>2763</v>
      </c>
      <c r="E124" s="2856">
        <v>0.1</v>
      </c>
      <c r="F124" s="2856">
        <v>15</v>
      </c>
    </row>
    <row r="125" spans="1:6" ht="24">
      <c r="A125" s="2856">
        <v>53</v>
      </c>
      <c r="B125" s="3487"/>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87" t="s">
        <v>2769</v>
      </c>
      <c r="C127" s="2856" t="s">
        <v>2770</v>
      </c>
      <c r="D127" s="2830" t="s">
        <v>2771</v>
      </c>
      <c r="E127" s="2856">
        <v>0.1</v>
      </c>
      <c r="F127" s="2856">
        <v>15</v>
      </c>
    </row>
    <row r="128" spans="1:6" ht="13.5">
      <c r="A128" s="2856">
        <v>56</v>
      </c>
      <c r="B128" s="3487"/>
      <c r="C128" s="2856" t="s">
        <v>2772</v>
      </c>
      <c r="D128" s="2830" t="s">
        <v>2773</v>
      </c>
      <c r="E128" s="2856">
        <v>0.1</v>
      </c>
      <c r="F128" s="2856">
        <v>15</v>
      </c>
    </row>
    <row r="129" spans="1:6" ht="24">
      <c r="A129" s="2856">
        <v>57</v>
      </c>
      <c r="B129" s="3487"/>
      <c r="C129" s="2856" t="s">
        <v>2774</v>
      </c>
      <c r="D129" s="2830" t="s">
        <v>2775</v>
      </c>
      <c r="E129" s="2856">
        <v>0.1</v>
      </c>
      <c r="F129" s="2856">
        <v>15</v>
      </c>
    </row>
    <row r="130" spans="1:6" ht="24">
      <c r="A130" s="2856">
        <v>58</v>
      </c>
      <c r="B130" s="3487" t="s">
        <v>2776</v>
      </c>
      <c r="C130" s="2856" t="s">
        <v>2777</v>
      </c>
      <c r="D130" s="2830" t="s">
        <v>2778</v>
      </c>
      <c r="E130" s="2856">
        <v>0.1</v>
      </c>
      <c r="F130" s="2856">
        <v>15</v>
      </c>
    </row>
    <row r="131" spans="1:6" ht="13.5">
      <c r="A131" s="2856">
        <v>59</v>
      </c>
      <c r="B131" s="3487"/>
      <c r="C131" s="2856" t="s">
        <v>2779</v>
      </c>
      <c r="D131" s="2830" t="s">
        <v>2780</v>
      </c>
      <c r="E131" s="2856">
        <v>0.1</v>
      </c>
      <c r="F131" s="2856">
        <v>15</v>
      </c>
    </row>
    <row r="132" spans="1:6" ht="13.5">
      <c r="A132" s="2856">
        <v>60</v>
      </c>
      <c r="B132" s="3482" t="s">
        <v>2781</v>
      </c>
      <c r="C132" s="2856" t="s">
        <v>2782</v>
      </c>
      <c r="D132" s="2830" t="s">
        <v>2783</v>
      </c>
      <c r="E132" s="2856">
        <v>0.1</v>
      </c>
      <c r="F132" s="2856">
        <v>15</v>
      </c>
    </row>
    <row r="133" spans="1:6" ht="13.5">
      <c r="A133" s="2856">
        <v>61</v>
      </c>
      <c r="B133" s="3486"/>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87" t="s">
        <v>2789</v>
      </c>
      <c r="C135" s="2856" t="s">
        <v>2790</v>
      </c>
      <c r="D135" s="2830" t="s">
        <v>2791</v>
      </c>
      <c r="E135" s="2856">
        <v>0.1</v>
      </c>
      <c r="F135" s="2856">
        <v>15</v>
      </c>
    </row>
    <row r="136" spans="1:6" ht="13.5">
      <c r="A136" s="2856">
        <v>64</v>
      </c>
      <c r="B136" s="3487"/>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28849</v>
      </c>
      <c r="C2" s="2" t="s">
        <v>106</v>
      </c>
      <c r="D2" s="191"/>
      <c r="E2" s="191"/>
      <c r="F2" s="191"/>
      <c r="G2" s="191"/>
    </row>
    <row r="3" spans="1:7" s="192" customFormat="1" ht="18" customHeight="1" thickBot="1">
      <c r="A3" s="195" t="s">
        <v>58</v>
      </c>
      <c r="B3" s="196">
        <f ca="1">ROUND(B2*10000/'数据-汇总表'!E3,0)</f>
        <v>2417987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119.31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119.31</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60</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119.31</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50" t="s">
        <v>94</v>
      </c>
    </row>
    <row r="43" spans="1:7" ht="13.5" customHeight="1">
      <c r="A43" s="733" t="s">
        <v>347</v>
      </c>
      <c r="B43" s="207" t="s">
        <v>426</v>
      </c>
      <c r="C43" s="230">
        <f ca="1">ROUND(IF('数据-取费表'!B22&lt;=1,C39*F22*'数据-取费表'!B21/2,C39*(POWER((1+F22),'数据-取费表'!B21/2)-1)),0)</f>
        <v>0</v>
      </c>
      <c r="D43" s="230"/>
      <c r="E43" s="230"/>
      <c r="F43" s="231"/>
      <c r="G43" s="3351"/>
    </row>
    <row r="44" spans="1:7" ht="13.5" customHeight="1">
      <c r="A44" s="733"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0" t="s">
        <v>341</v>
      </c>
      <c r="B45" s="236" t="s">
        <v>85</v>
      </c>
      <c r="C45" s="237">
        <f>C46</f>
        <v>13</v>
      </c>
      <c r="D45" s="227">
        <f>C47</f>
        <v>4.0000000000000001E-3</v>
      </c>
      <c r="E45" s="228" t="s">
        <v>102</v>
      </c>
      <c r="F45" s="238"/>
      <c r="G45" s="239" t="s">
        <v>434</v>
      </c>
    </row>
    <row r="46" spans="1:7" s="206" customFormat="1" ht="13.5" customHeight="1">
      <c r="A46" s="733" t="s">
        <v>349</v>
      </c>
      <c r="B46" s="240" t="s">
        <v>427</v>
      </c>
      <c r="C46" s="241">
        <f>ROUND((C33+C39)*F27,0)</f>
        <v>13</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88</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66</v>
      </c>
      <c r="D51" s="224"/>
      <c r="E51" s="224"/>
      <c r="F51" s="256"/>
      <c r="G51" s="226" t="s">
        <v>37</v>
      </c>
    </row>
    <row r="52" spans="1:7" s="200" customFormat="1" ht="16.5" thickBot="1">
      <c r="A52" s="257" t="s">
        <v>38</v>
      </c>
      <c r="B52" s="258"/>
      <c r="C52" s="259">
        <f ca="1">C31+C51</f>
        <v>28849</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390"/>
      <c r="B4" s="3168" t="s">
        <v>917</v>
      </c>
      <c r="C4" s="3168"/>
      <c r="D4" s="3168"/>
      <c r="E4" s="1390"/>
    </row>
    <row r="5" spans="1:5" ht="16.5" thickTop="1">
      <c r="B5" s="3166" t="s">
        <v>909</v>
      </c>
      <c r="C5" s="1391" t="s">
        <v>910</v>
      </c>
      <c r="D5" s="796">
        <f ca="1">结果表!H101</f>
        <v>558</v>
      </c>
    </row>
    <row r="6" spans="1:5" ht="15.75">
      <c r="B6" s="3166"/>
      <c r="C6" s="1391" t="s">
        <v>911</v>
      </c>
      <c r="D6" s="796" t="str">
        <f ca="1">NUMBERSTRING(INT(D5*10000),2)&amp;"元整"</f>
        <v>伍佰伍拾捌万元整</v>
      </c>
    </row>
    <row r="7" spans="1:5" ht="15.75">
      <c r="B7" s="3171"/>
      <c r="C7" s="1392" t="s">
        <v>912</v>
      </c>
      <c r="D7" s="797">
        <f ca="1">结果表!H102</f>
        <v>46767</v>
      </c>
    </row>
    <row r="8" spans="1:5" ht="15.75">
      <c r="B8" s="3172" t="str">
        <f>结果表!E103</f>
        <v>2.估价师知悉的法定优先受偿款</v>
      </c>
      <c r="C8" s="1393" t="s">
        <v>913</v>
      </c>
      <c r="D8" s="797">
        <f>结果表!H103</f>
        <v>0</v>
      </c>
    </row>
    <row r="9" spans="1:5" ht="15.75">
      <c r="B9" s="317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5" t="str">
        <f>结果表!E107</f>
        <v>3.房地产抵押价值</v>
      </c>
      <c r="C13" s="1396" t="s">
        <v>910</v>
      </c>
      <c r="D13" s="799">
        <f ca="1">结果表!H107</f>
        <v>558</v>
      </c>
    </row>
    <row r="14" spans="1:5" ht="15.75">
      <c r="B14" s="3166"/>
      <c r="C14" s="1391" t="s">
        <v>911</v>
      </c>
      <c r="D14" s="796" t="str">
        <f ca="1">NUMBERSTRING(INT(D13*10000),2)&amp;"元整"</f>
        <v>伍佰伍拾捌万元整</v>
      </c>
    </row>
    <row r="15" spans="1:5" ht="15">
      <c r="B15" s="3171"/>
      <c r="C15" s="1392" t="s">
        <v>921</v>
      </c>
      <c r="D15" s="805">
        <f ca="1">结果表!H108</f>
        <v>46767</v>
      </c>
    </row>
    <row r="16" spans="1:5" ht="15">
      <c r="B16" s="3172" t="str">
        <f>结果表!E109</f>
        <v>——</v>
      </c>
      <c r="C16" s="1396" t="s">
        <v>922</v>
      </c>
      <c r="D16" s="1397" t="str">
        <f>结果表!H109</f>
        <v>——</v>
      </c>
    </row>
    <row r="17" spans="1:5" ht="15.75">
      <c r="B17" s="3173"/>
      <c r="C17" s="1391" t="s">
        <v>923</v>
      </c>
      <c r="D17" s="796" t="e">
        <f>NUMBERSTRING(INT(D16*10000),2)&amp;"元整"</f>
        <v>#VALUE!</v>
      </c>
    </row>
    <row r="18" spans="1:5" ht="15">
      <c r="B18" s="3174"/>
      <c r="C18" s="1392" t="s">
        <v>912</v>
      </c>
      <c r="D18" s="805" t="str">
        <f>结果表!H110</f>
        <v>——</v>
      </c>
    </row>
    <row r="19" spans="1:5" ht="15.75">
      <c r="B19" s="3165" t="str">
        <f>结果表!E111</f>
        <v>——</v>
      </c>
      <c r="C19" s="1396" t="s">
        <v>910</v>
      </c>
      <c r="D19" s="797" t="str">
        <f>结果表!H111</f>
        <v>——</v>
      </c>
    </row>
    <row r="20" spans="1:5" ht="15.75">
      <c r="B20" s="3166"/>
      <c r="C20" s="1391" t="s">
        <v>923</v>
      </c>
      <c r="D20" s="796" t="e">
        <f>NUMBERSTRING(INT(D19*10000),2)&amp;"元整"</f>
        <v>#VALUE!</v>
      </c>
    </row>
    <row r="21" spans="1:5" ht="15.75" thickBot="1">
      <c r="B21" s="316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21B6-0599-4069-9D04-7673430A4C1E}">
  <sheetPr>
    <tabColor rgb="FFFFFF00"/>
  </sheetPr>
  <dimension ref="L5:P70"/>
  <sheetViews>
    <sheetView workbookViewId="0">
      <selection activeCell="N3" sqref="N3"/>
    </sheetView>
  </sheetViews>
  <sheetFormatPr defaultRowHeight="13.5"/>
  <cols>
    <col min="13" max="13" width="11.625" bestFit="1" customWidth="1"/>
  </cols>
  <sheetData>
    <row r="5" spans="12:16">
      <c r="L5" s="1404" t="s">
        <v>3464</v>
      </c>
    </row>
    <row r="6" spans="12:16">
      <c r="L6" s="1404" t="s">
        <v>3465</v>
      </c>
      <c r="M6">
        <v>60000</v>
      </c>
      <c r="N6" s="1404" t="s">
        <v>654</v>
      </c>
      <c r="O6">
        <v>8</v>
      </c>
      <c r="P6" s="1404" t="s">
        <v>3466</v>
      </c>
    </row>
    <row r="7" spans="12:16">
      <c r="L7" s="1404" t="s">
        <v>3475</v>
      </c>
    </row>
    <row r="8" spans="12:16">
      <c r="L8" s="1404" t="s">
        <v>3467</v>
      </c>
    </row>
    <row r="61" spans="13:16" ht="14.45" customHeight="1">
      <c r="M61" s="3488" t="s">
        <v>3437</v>
      </c>
      <c r="N61" s="3488"/>
      <c r="O61" s="3488"/>
      <c r="P61" s="3488"/>
    </row>
    <row r="62" spans="13:16">
      <c r="M62" s="3488"/>
      <c r="N62" s="3488"/>
      <c r="O62" s="3488"/>
      <c r="P62" s="3488"/>
    </row>
    <row r="63" spans="13:16">
      <c r="M63" s="3488"/>
      <c r="N63" s="3488"/>
      <c r="O63" s="3488"/>
      <c r="P63" s="3488"/>
    </row>
    <row r="64" spans="13:16">
      <c r="M64" s="3488"/>
      <c r="N64" s="3488"/>
      <c r="O64" s="3488"/>
      <c r="P64" s="3488"/>
    </row>
    <row r="65" spans="13:16">
      <c r="M65" s="3488"/>
      <c r="N65" s="3488"/>
      <c r="O65" s="3488"/>
      <c r="P65" s="3488"/>
    </row>
    <row r="66" spans="13:16">
      <c r="M66" s="3488"/>
      <c r="N66" s="3488"/>
      <c r="O66" s="3488"/>
      <c r="P66" s="3488"/>
    </row>
    <row r="67" spans="13:16">
      <c r="M67" s="3488"/>
      <c r="N67" s="3488"/>
      <c r="O67" s="3488"/>
      <c r="P67" s="3488"/>
    </row>
    <row r="68" spans="13:16">
      <c r="M68" s="3488"/>
      <c r="N68" s="3488"/>
      <c r="O68" s="3488"/>
      <c r="P68" s="3488"/>
    </row>
    <row r="70" spans="13:16" ht="14.25">
      <c r="M70" s="2486">
        <f>ROUND(72993*'比较法-商业'!N17/100,0)</f>
        <v>58394</v>
      </c>
    </row>
  </sheetData>
  <mergeCells count="1">
    <mergeCell ref="M61:P68"/>
  </mergeCells>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EFCA-8439-413A-B5C6-41BC1048CE7D}">
  <sheetPr>
    <tabColor rgb="FFFFFF00"/>
  </sheetPr>
  <dimension ref="A1"/>
  <sheetViews>
    <sheetView topLeftCell="A16" workbookViewId="0">
      <selection activeCell="T60" sqref="T60"/>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1" t="s">
        <v>2839</v>
      </c>
      <c r="B1" s="3491"/>
      <c r="C1" s="3491"/>
      <c r="D1" s="3491"/>
      <c r="E1" s="3491"/>
      <c r="F1" s="3491"/>
      <c r="G1" s="349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9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3" t="s">
        <v>3181</v>
      </c>
      <c r="B1" s="3493"/>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94" t="s">
        <v>3232</v>
      </c>
      <c r="B1" s="3494"/>
      <c r="C1" s="3494"/>
      <c r="D1" s="3494"/>
      <c r="E1" s="3494"/>
      <c r="F1" s="349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45611</v>
      </c>
      <c r="B1" s="2928" t="s">
        <v>3381</v>
      </c>
      <c r="C1" s="2929"/>
      <c r="D1" s="2929"/>
      <c r="E1" s="2929"/>
      <c r="F1" s="2929"/>
      <c r="G1" s="2929"/>
      <c r="H1" s="2929"/>
      <c r="I1" s="2929"/>
      <c r="J1" s="2895"/>
      <c r="K1" s="2929" t="s">
        <v>454</v>
      </c>
      <c r="L1" s="2929"/>
      <c r="M1" s="2929"/>
      <c r="N1" s="2929"/>
      <c r="O1" s="2929"/>
      <c r="P1" s="2929"/>
      <c r="Q1" s="2895"/>
      <c r="R1" s="3496" t="s">
        <v>456</v>
      </c>
      <c r="S1" s="3497"/>
      <c r="T1" s="3497"/>
      <c r="U1" s="3497"/>
      <c r="V1" s="3497"/>
      <c r="W1" s="3497"/>
      <c r="X1" s="2895"/>
      <c r="Y1" s="3496" t="s">
        <v>457</v>
      </c>
      <c r="Z1" s="3497"/>
      <c r="AA1" s="3497"/>
      <c r="AB1" s="3497"/>
      <c r="AC1" s="3497"/>
      <c r="AD1" s="3497"/>
    </row>
    <row r="2" spans="1:30"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row>
    <row r="3" spans="1:30" s="2885" customFormat="1" ht="12.75">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3377</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3386</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3385</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3378</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3374</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3370</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3369</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3367</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3366</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3365</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3363</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3354</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2820</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2821</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2822</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2823</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3384</v>
      </c>
    </row>
    <row r="24" spans="1:30">
      <c r="I24" s="1404" t="s">
        <v>2825</v>
      </c>
    </row>
    <row r="26" spans="1:30" s="2008" customFormat="1" ht="12.75">
      <c r="B26" s="2928" t="s">
        <v>3382</v>
      </c>
      <c r="C26" s="2929"/>
      <c r="D26" s="2929"/>
      <c r="E26" s="2929"/>
      <c r="F26" s="2929"/>
      <c r="G26" s="2929"/>
      <c r="H26" s="2929"/>
      <c r="I26" s="2929"/>
      <c r="J26" s="2895"/>
      <c r="K26" s="2929" t="s">
        <v>2826</v>
      </c>
      <c r="L26" s="2929"/>
      <c r="M26" s="2929"/>
      <c r="N26" s="2929"/>
      <c r="O26" s="2929"/>
      <c r="P26" s="2929"/>
      <c r="Q26" s="2895"/>
      <c r="R26" s="3496" t="s">
        <v>2827</v>
      </c>
      <c r="S26" s="3497"/>
      <c r="T26" s="3497"/>
      <c r="U26" s="3497"/>
      <c r="V26" s="3497"/>
      <c r="W26" s="3497"/>
      <c r="X26" s="2895"/>
      <c r="Y26" s="3496" t="s">
        <v>2828</v>
      </c>
      <c r="Z26" s="3497"/>
      <c r="AA26" s="3497"/>
      <c r="AB26" s="3497"/>
      <c r="AC26" s="3497"/>
      <c r="AD26" s="3497"/>
    </row>
    <row r="27" spans="1:30" s="2009" customFormat="1" ht="14.25" thickBot="1">
      <c r="B27" s="2880"/>
      <c r="C27" s="2881"/>
      <c r="D27" s="2010" t="s">
        <v>2829</v>
      </c>
      <c r="E27" s="2011" t="s">
        <v>2830</v>
      </c>
      <c r="F27" s="2011" t="s">
        <v>2831</v>
      </c>
      <c r="G27" s="2011" t="s">
        <v>2832</v>
      </c>
      <c r="H27" s="2011"/>
      <c r="I27" s="2011" t="s">
        <v>2833</v>
      </c>
      <c r="J27" s="2882"/>
      <c r="K27" s="2010" t="s">
        <v>2829</v>
      </c>
      <c r="L27" s="2011" t="s">
        <v>2830</v>
      </c>
      <c r="M27" s="2011" t="s">
        <v>2831</v>
      </c>
      <c r="N27" s="2011" t="s">
        <v>2832</v>
      </c>
      <c r="O27" s="2011"/>
      <c r="P27" s="2011" t="s">
        <v>2833</v>
      </c>
      <c r="Q27" s="2882"/>
      <c r="R27" s="2010" t="s">
        <v>2829</v>
      </c>
      <c r="S27" s="2011" t="s">
        <v>2830</v>
      </c>
      <c r="T27" s="2011" t="s">
        <v>2831</v>
      </c>
      <c r="U27" s="2011" t="s">
        <v>2832</v>
      </c>
      <c r="V27" s="2011"/>
      <c r="W27" s="2011" t="s">
        <v>2833</v>
      </c>
      <c r="X27" s="2882"/>
      <c r="Y27" s="2010" t="s">
        <v>2829</v>
      </c>
      <c r="Z27" s="2011" t="s">
        <v>2830</v>
      </c>
      <c r="AA27" s="2011" t="s">
        <v>2831</v>
      </c>
      <c r="AB27" s="2011" t="s">
        <v>2832</v>
      </c>
      <c r="AC27" s="2011"/>
      <c r="AD27" s="2011" t="s">
        <v>2833</v>
      </c>
    </row>
    <row r="28" spans="1:30" s="2885" customFormat="1" ht="12.75">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3377</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3379</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3372</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3380</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3373</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3371</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3369</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3368</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3366</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3365</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3364</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3354</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2835</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2836</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2837</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2838</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45611</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7"/>
      <c r="B3" s="3177"/>
      <c r="C3" s="3177"/>
      <c r="D3" s="800" t="s">
        <v>925</v>
      </c>
      <c r="E3" s="800" t="s">
        <v>931</v>
      </c>
      <c r="F3" s="800" t="s">
        <v>925</v>
      </c>
      <c r="G3" s="800" t="s">
        <v>926</v>
      </c>
      <c r="H3" s="800" t="s">
        <v>925</v>
      </c>
      <c r="I3" s="800" t="s">
        <v>926</v>
      </c>
    </row>
    <row r="4" spans="1:9" ht="30">
      <c r="A4" s="1402" t="str">
        <f>项目基本情况!S2</f>
        <v>北京市朝阳区青年沟路8号楼房地产</v>
      </c>
      <c r="B4" s="800">
        <f>项目基本情况!C17</f>
        <v>119.31</v>
      </c>
      <c r="C4" s="800">
        <f>项目基本情况!C18</f>
        <v>0</v>
      </c>
      <c r="D4" s="800">
        <f>结果表!D118</f>
        <v>0</v>
      </c>
      <c r="E4" s="800">
        <f>结果表!E118</f>
        <v>0</v>
      </c>
      <c r="F4" s="800">
        <f>结果表!F118</f>
        <v>0</v>
      </c>
      <c r="G4" s="800">
        <f>结果表!G118</f>
        <v>0</v>
      </c>
      <c r="H4" s="800">
        <f ca="1">结果表!H118</f>
        <v>558</v>
      </c>
      <c r="I4" s="800">
        <f ca="1">结果表!I118</f>
        <v>46767</v>
      </c>
    </row>
    <row r="5" spans="1:9" ht="30" customHeight="1">
      <c r="A5" s="3177" t="s">
        <v>927</v>
      </c>
      <c r="B5" s="3177"/>
      <c r="C5" s="3177"/>
      <c r="D5" s="3177" t="str">
        <f>结果表!D119</f>
        <v>零元整</v>
      </c>
      <c r="E5" s="3177"/>
      <c r="F5" s="3177" t="str">
        <f>结果表!F119</f>
        <v>零元整</v>
      </c>
      <c r="G5" s="3177"/>
      <c r="H5" s="3177" t="str">
        <f ca="1">结果表!H119</f>
        <v>伍佰伍拾捌万元整</v>
      </c>
      <c r="I5" s="3177"/>
    </row>
    <row r="6" spans="1:9" ht="15.75">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房地产抵押价值</v>
      </c>
      <c r="B8" s="3178"/>
      <c r="C8" s="3178"/>
      <c r="D8" s="3178">
        <f ca="1">结果表!D122</f>
        <v>558</v>
      </c>
      <c r="E8" s="3178"/>
      <c r="F8" s="3178"/>
      <c r="G8" s="3178"/>
      <c r="H8" s="3178"/>
      <c r="I8" s="3178"/>
    </row>
    <row r="9" spans="1:9" ht="15">
      <c r="A9" s="3177" t="s">
        <v>927</v>
      </c>
      <c r="B9" s="3177"/>
      <c r="C9" s="3177"/>
      <c r="D9" s="3177" t="str">
        <f ca="1">结果表!D123</f>
        <v>伍佰伍拾捌万元整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8" t="s">
        <v>956</v>
      </c>
      <c r="B15" s="3193" t="s">
        <v>109</v>
      </c>
      <c r="C15" s="3194"/>
    </row>
    <row r="16" spans="1:7" ht="13.5">
      <c r="A16" s="3199"/>
      <c r="B16" s="3193" t="s">
        <v>42</v>
      </c>
      <c r="C16" s="3194"/>
    </row>
    <row r="17" spans="1:3" ht="13.5">
      <c r="A17" s="3199"/>
      <c r="B17" s="3196" t="s">
        <v>957</v>
      </c>
      <c r="C17" s="1428" t="s">
        <v>956</v>
      </c>
    </row>
    <row r="18" spans="1:3" ht="13.5">
      <c r="A18" s="3199"/>
      <c r="B18" s="3196"/>
      <c r="C18" s="1428" t="s">
        <v>958</v>
      </c>
    </row>
    <row r="19" spans="1:3" ht="13.5">
      <c r="A19" s="3199"/>
      <c r="B19" s="3196"/>
      <c r="C19" s="1428" t="s">
        <v>959</v>
      </c>
    </row>
    <row r="20" spans="1:3" ht="13.5">
      <c r="A20" s="3200"/>
      <c r="B20" s="3195" t="s">
        <v>960</v>
      </c>
      <c r="C20" s="3194"/>
    </row>
    <row r="21" spans="1:3" ht="13.5">
      <c r="A21" s="1429" t="s">
        <v>961</v>
      </c>
      <c r="B21" s="1430"/>
      <c r="C21" s="1431"/>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8" t="s">
        <v>967</v>
      </c>
    </row>
    <row r="26" spans="1:3" ht="13.5">
      <c r="A26" s="3197"/>
      <c r="B26" s="3196"/>
      <c r="C26" s="1428" t="s">
        <v>968</v>
      </c>
    </row>
    <row r="27" spans="1:3" ht="13.5">
      <c r="A27" s="3197"/>
      <c r="B27" s="3196"/>
      <c r="C27" s="1428" t="s">
        <v>969</v>
      </c>
    </row>
    <row r="28" spans="1:3" ht="13.5">
      <c r="A28" s="3197"/>
      <c r="B28" s="3196"/>
      <c r="C28" s="1428" t="s">
        <v>970</v>
      </c>
    </row>
    <row r="29" spans="1:3" ht="13.5">
      <c r="A29" s="3197"/>
      <c r="B29" s="3196"/>
      <c r="C29" s="1428" t="s">
        <v>971</v>
      </c>
    </row>
    <row r="30" spans="1:3" ht="13.5">
      <c r="A30" s="3197"/>
      <c r="B30" s="3196"/>
      <c r="C30" s="1428" t="s">
        <v>972</v>
      </c>
    </row>
    <row r="31" spans="1:3" ht="13.5">
      <c r="A31" s="3197"/>
      <c r="B31" s="3196"/>
      <c r="C31" s="1428" t="s">
        <v>973</v>
      </c>
    </row>
    <row r="32" spans="1:3" ht="13.5">
      <c r="A32" s="3197"/>
      <c r="B32" s="3196"/>
      <c r="C32" s="1428" t="s">
        <v>974</v>
      </c>
    </row>
    <row r="33" spans="1:3" ht="13.5">
      <c r="A33" s="3197"/>
      <c r="B33" s="319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45611</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1" t="s">
        <v>2158</v>
      </c>
      <c r="B17" s="3201"/>
      <c r="C17" s="3201"/>
      <c r="D17" s="3201"/>
      <c r="E17" s="3201"/>
      <c r="F17" s="3201"/>
      <c r="G17" s="3201"/>
      <c r="H17" s="3201"/>
    </row>
    <row r="18" spans="1:8" ht="24" customHeight="1">
      <c r="A18" s="3202" t="s">
        <v>2159</v>
      </c>
      <c r="B18" s="3202"/>
      <c r="C18" s="3202"/>
      <c r="D18" s="2159"/>
      <c r="E18" s="3203" t="s">
        <v>2160</v>
      </c>
      <c r="F18" s="3202"/>
      <c r="G18" s="320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成本法 (元)</vt:lpstr>
      <vt:lpstr>基准地价（汇总）</vt:lpstr>
      <vt:lpstr>基准地价修正</vt:lpstr>
      <vt:lpstr>修正</vt:lpstr>
      <vt:lpstr>容积率修正</vt:lpstr>
      <vt:lpstr>成本法（废）</vt:lpstr>
      <vt:lpstr>售价案例</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2024-11-15T06:59:11Z</dcterms:modified>
</cp:coreProperties>
</file>