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北保\北保-首创美伦湾商业出让\"/>
    </mc:Choice>
  </mc:AlternateContent>
  <bookViews>
    <workbookView xWindow="0" yWindow="0" windowWidth="18912" windowHeight="12996" tabRatio="899" firstSheet="13" activeTab="3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成本法 (元)" sheetId="69" state="hidden" r:id="rId19"/>
    <sheet name="假设开发法" sheetId="12" state="hidden" r:id="rId20"/>
    <sheet name="收益法" sheetId="15" state="hidden" r:id="rId21"/>
    <sheet name="收益法-商业" sheetId="67"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Sheet3" sheetId="82" r:id="rId30"/>
    <sheet name="收益法-仓储" sheetId="80" r:id="rId31"/>
    <sheet name="Sheet2" sheetId="81"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Sheet4" sheetId="83" r:id="rId42"/>
    <sheet name="区片价" sheetId="44" r:id="rId43"/>
    <sheet name="因素修正幅度" sheetId="65" state="hidden" r:id="rId44"/>
    <sheet name="区片价（范围）" sheetId="75" state="hidden" r:id="rId45"/>
    <sheet name="结果表" sheetId="9" r:id="rId46"/>
    <sheet name="地价-分区" sheetId="79" r:id="rId47"/>
    <sheet name="地价" sheetId="71" r:id="rId48"/>
    <sheet name="存贷款利率" sheetId="73" r:id="rId49"/>
  </sheets>
  <externalReferences>
    <externalReference r:id="rId50"/>
  </externalReferences>
  <definedNames>
    <definedName name="_xlnm._FilterDatabase" localSheetId="26" hidden="1">'比较法-办公'!$A$1:$L$50</definedName>
    <definedName name="_xlnm._FilterDatabase" localSheetId="32"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2">'比较法-仓储'!$A$1:$K$42,'比较法-仓储'!$A$45:$M$96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45">结果表!$A$1:$I$127</definedName>
    <definedName name="_xlnm.Print_Area" localSheetId="20">收益法!$A$1:$F$43,收益法!$H$3:$M$29,收益法!$A$46:$F$71,收益法!$I$46:$N$65</definedName>
    <definedName name="_xlnm.Print_Area" localSheetId="23">'收益法（汇总）'!$A$1:$F$13</definedName>
    <definedName name="_xlnm.Print_Area" localSheetId="30">'收益法-仓储'!$A$1:$F$43,'收益法-仓储'!$H$3:$M$29,'收益法-仓储'!$A$45:$F$71,'收益法-仓储'!$I$46:$N$65</definedName>
    <definedName name="_xlnm.Print_Area" localSheetId="21">'收益法-商业'!$A$1:$F$43,'收益法-商业'!$H$3:$M$29,'收益法-商业'!$A$45:$F$71,'收益法-商业'!$I$46:$N$65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C50" i="33" l="1"/>
  <c r="D79" i="33"/>
  <c r="F17" i="33"/>
  <c r="AA17" i="33"/>
  <c r="D81" i="33"/>
  <c r="F19" i="33"/>
  <c r="AA19" i="33"/>
  <c r="D77" i="33"/>
  <c r="E77" i="33"/>
  <c r="F15" i="33"/>
  <c r="AA15" i="33"/>
  <c r="D91" i="33"/>
  <c r="F27" i="33"/>
  <c r="AA27" i="33"/>
  <c r="F8" i="33"/>
  <c r="AA8" i="33"/>
  <c r="R48" i="33"/>
  <c r="H17" i="33"/>
  <c r="AB17" i="33"/>
  <c r="H19" i="33"/>
  <c r="AB19" i="33"/>
  <c r="H15" i="33"/>
  <c r="AB15" i="33"/>
  <c r="H27" i="33"/>
  <c r="AB27" i="33"/>
  <c r="H8" i="33"/>
  <c r="AB8" i="33"/>
  <c r="T48" i="33"/>
  <c r="J17" i="33"/>
  <c r="AC17" i="33"/>
  <c r="J19" i="33"/>
  <c r="AC19" i="33"/>
  <c r="J15" i="33"/>
  <c r="AC15" i="33"/>
  <c r="J27" i="33"/>
  <c r="AC27" i="33"/>
  <c r="J8" i="33"/>
  <c r="AC8" i="33"/>
  <c r="V48" i="33"/>
  <c r="R49" i="33"/>
  <c r="C49" i="33"/>
  <c r="F6" i="80"/>
  <c r="F8" i="80"/>
  <c r="F7" i="80"/>
  <c r="F9" i="80"/>
  <c r="C6" i="80"/>
  <c r="F4" i="73"/>
  <c r="I1" i="73"/>
  <c r="B39" i="1"/>
  <c r="F11" i="80"/>
  <c r="C10" i="80"/>
  <c r="C5" i="80"/>
  <c r="C32" i="80"/>
  <c r="C33" i="80"/>
  <c r="R7" i="1"/>
  <c r="F35" i="80"/>
  <c r="C34" i="80"/>
  <c r="C31" i="80"/>
  <c r="F43" i="80"/>
  <c r="C14" i="80"/>
  <c r="C15" i="80"/>
  <c r="F16" i="80"/>
  <c r="C16" i="80"/>
  <c r="C17" i="80"/>
  <c r="C18" i="80"/>
  <c r="C19" i="80"/>
  <c r="F20" i="80"/>
  <c r="C20" i="80"/>
  <c r="D5" i="73"/>
  <c r="G1" i="73"/>
  <c r="B40" i="1"/>
  <c r="F24" i="80"/>
  <c r="C23" i="80"/>
  <c r="F26" i="80"/>
  <c r="C26" i="80"/>
  <c r="F21" i="80"/>
  <c r="C24" i="80"/>
  <c r="C27" i="80"/>
  <c r="C29" i="80"/>
  <c r="F36" i="80"/>
  <c r="C36" i="80"/>
  <c r="F13" i="80"/>
  <c r="C13" i="80"/>
  <c r="F37" i="80"/>
  <c r="C37" i="80"/>
  <c r="F38" i="80"/>
  <c r="C38" i="80"/>
  <c r="C30" i="80"/>
  <c r="C39" i="80"/>
  <c r="F42" i="80"/>
  <c r="F40" i="80"/>
  <c r="G15" i="4"/>
  <c r="F7" i="1"/>
  <c r="L48" i="80"/>
  <c r="J53" i="80"/>
  <c r="F1" i="80"/>
  <c r="AE7" i="1"/>
  <c r="F41" i="80"/>
  <c r="C40" i="80"/>
  <c r="M6" i="80"/>
  <c r="M8" i="80"/>
  <c r="M7" i="80"/>
  <c r="M9" i="80"/>
  <c r="J6" i="80"/>
  <c r="M11" i="80"/>
  <c r="J10" i="80"/>
  <c r="J5" i="80"/>
  <c r="J26" i="80"/>
  <c r="J29" i="80"/>
  <c r="J57" i="80"/>
  <c r="J55" i="80"/>
  <c r="J58" i="80"/>
  <c r="J59" i="80"/>
  <c r="J60" i="80"/>
  <c r="L46" i="80"/>
  <c r="D2" i="80"/>
  <c r="B3" i="80"/>
  <c r="R47" i="33"/>
  <c r="F28" i="33"/>
  <c r="AA28" i="33"/>
  <c r="H28" i="33"/>
  <c r="AB28" i="33"/>
  <c r="J28" i="33"/>
  <c r="AC28" i="33"/>
  <c r="D14" i="74"/>
  <c r="B14" i="74"/>
  <c r="C30" i="36"/>
  <c r="I7" i="36"/>
  <c r="G7" i="36"/>
  <c r="E7" i="36"/>
  <c r="I7" i="33"/>
  <c r="G7" i="33"/>
  <c r="E7" i="33"/>
  <c r="AH7" i="1"/>
  <c r="AH6" i="1"/>
  <c r="B59" i="1"/>
  <c r="G20" i="6"/>
  <c r="F19" i="6"/>
  <c r="D3" i="4"/>
  <c r="A6" i="1"/>
  <c r="A7" i="1"/>
  <c r="G1" i="80"/>
  <c r="E19" i="6"/>
  <c r="K6" i="1"/>
  <c r="E20" i="6"/>
  <c r="K7" i="1"/>
  <c r="K8" i="1"/>
  <c r="F27" i="6"/>
  <c r="E27" i="6"/>
  <c r="K19" i="6"/>
  <c r="S6" i="1"/>
  <c r="K20" i="6"/>
  <c r="S7" i="1"/>
  <c r="S8" i="1"/>
  <c r="F15" i="80"/>
  <c r="F17" i="80"/>
  <c r="F18" i="80"/>
  <c r="C1" i="73"/>
  <c r="J1" i="73"/>
  <c r="D3" i="73"/>
  <c r="B22" i="1"/>
  <c r="E1" i="73"/>
  <c r="K1" i="73"/>
  <c r="F23" i="80"/>
  <c r="B43" i="1"/>
  <c r="B41" i="1"/>
  <c r="F28" i="80"/>
  <c r="B2" i="1"/>
  <c r="C42" i="1"/>
  <c r="C28" i="80"/>
  <c r="L1" i="73"/>
  <c r="F32" i="80"/>
  <c r="F33" i="80"/>
  <c r="B52" i="1"/>
  <c r="F34" i="80"/>
  <c r="L19" i="6"/>
  <c r="M19" i="6"/>
  <c r="I19" i="6"/>
  <c r="H19" i="6"/>
  <c r="D19" i="6"/>
  <c r="R19" i="6"/>
  <c r="R6" i="1"/>
  <c r="L20" i="6"/>
  <c r="M20" i="6"/>
  <c r="I20" i="6"/>
  <c r="H20" i="6"/>
  <c r="D20" i="6"/>
  <c r="R20" i="6"/>
  <c r="R8" i="1"/>
  <c r="F31" i="80"/>
  <c r="AE6" i="1"/>
  <c r="M47" i="80"/>
  <c r="J50" i="80"/>
  <c r="J51" i="80"/>
  <c r="AE8" i="1"/>
  <c r="C83" i="80"/>
  <c r="C82" i="80"/>
  <c r="C76" i="80"/>
  <c r="C75" i="80"/>
  <c r="C80" i="80"/>
  <c r="C79" i="80"/>
  <c r="Q65" i="80"/>
  <c r="D15" i="4"/>
  <c r="F6" i="1"/>
  <c r="L51" i="80"/>
  <c r="L57" i="80"/>
  <c r="D6" i="1"/>
  <c r="L47" i="80"/>
  <c r="L58" i="80"/>
  <c r="L59" i="80"/>
  <c r="L60" i="80"/>
  <c r="Q66" i="80"/>
  <c r="Q75" i="80"/>
  <c r="Q74" i="80"/>
  <c r="K59" i="80"/>
  <c r="P74" i="80"/>
  <c r="Q73" i="80"/>
  <c r="Q72" i="80"/>
  <c r="Q71" i="80"/>
  <c r="F71" i="80"/>
  <c r="F51" i="80"/>
  <c r="F50" i="80"/>
  <c r="C49" i="80"/>
  <c r="C53" i="80"/>
  <c r="C48" i="80"/>
  <c r="F60" i="80"/>
  <c r="C60" i="80"/>
  <c r="F61" i="80"/>
  <c r="C61" i="80"/>
  <c r="F62" i="80"/>
  <c r="F63" i="80"/>
  <c r="C62" i="80"/>
  <c r="F59" i="80"/>
  <c r="C59" i="80"/>
  <c r="C57" i="80"/>
  <c r="F64" i="80"/>
  <c r="C64" i="80"/>
  <c r="C56" i="80"/>
  <c r="F65" i="80"/>
  <c r="C65" i="80"/>
  <c r="F66" i="80"/>
  <c r="C66" i="80"/>
  <c r="C58" i="80"/>
  <c r="C67" i="80"/>
  <c r="F68" i="80"/>
  <c r="F69" i="80"/>
  <c r="C68" i="80"/>
  <c r="C71" i="80"/>
  <c r="Q70" i="80"/>
  <c r="Q69" i="80"/>
  <c r="Q68" i="80"/>
  <c r="Q67" i="80"/>
  <c r="Q56" i="80"/>
  <c r="Q57" i="80"/>
  <c r="Q62" i="80"/>
  <c r="Q61" i="80"/>
  <c r="P61" i="80"/>
  <c r="Q60" i="80"/>
  <c r="Q59" i="80"/>
  <c r="N59" i="80"/>
  <c r="B24" i="1"/>
  <c r="M59" i="80"/>
  <c r="Q58" i="80"/>
  <c r="L56" i="80"/>
  <c r="I54" i="80"/>
  <c r="Q47" i="80"/>
  <c r="Q48" i="80"/>
  <c r="Q53" i="80"/>
  <c r="Q52" i="80"/>
  <c r="Q51" i="80"/>
  <c r="Q50" i="80"/>
  <c r="Q49" i="80"/>
  <c r="D46" i="80"/>
  <c r="C45" i="80"/>
  <c r="C46" i="80"/>
  <c r="C43" i="80"/>
  <c r="M29" i="80"/>
  <c r="M28" i="80"/>
  <c r="M27" i="80"/>
  <c r="M26" i="80"/>
  <c r="M18" i="80"/>
  <c r="J18" i="80"/>
  <c r="M19" i="80"/>
  <c r="J19" i="80"/>
  <c r="M20" i="80"/>
  <c r="M21" i="80"/>
  <c r="J20" i="80"/>
  <c r="M17" i="80"/>
  <c r="J17" i="80"/>
  <c r="J14" i="80"/>
  <c r="M22" i="80"/>
  <c r="J22" i="80"/>
  <c r="J15" i="80"/>
  <c r="J13" i="80"/>
  <c r="M23" i="80"/>
  <c r="J23" i="80"/>
  <c r="M24" i="80"/>
  <c r="J24" i="80"/>
  <c r="J16" i="80"/>
  <c r="J25" i="80"/>
  <c r="D24" i="80"/>
  <c r="D23" i="80"/>
  <c r="D22" i="80"/>
  <c r="B2" i="80"/>
  <c r="C60" i="78"/>
  <c r="D60" i="78"/>
  <c r="B51" i="78"/>
  <c r="B55" i="78"/>
  <c r="D55" i="78"/>
  <c r="D53" i="78"/>
  <c r="D52" i="78"/>
  <c r="D51" i="78"/>
  <c r="B56" i="78"/>
  <c r="C51" i="78"/>
  <c r="C56" i="78"/>
  <c r="C58" i="78"/>
  <c r="B62" i="78"/>
  <c r="B54" i="78"/>
  <c r="D54" i="78"/>
  <c r="D56" i="78"/>
  <c r="D58" i="78"/>
  <c r="D62" i="78"/>
  <c r="C62" i="78"/>
  <c r="G14" i="73"/>
  <c r="F14" i="73"/>
  <c r="E14" i="73"/>
  <c r="AB30" i="79"/>
  <c r="AA30" i="79"/>
  <c r="Z30" i="79"/>
  <c r="N30" i="79"/>
  <c r="M30" i="79"/>
  <c r="P30" i="79"/>
  <c r="L30" i="79"/>
  <c r="I30" i="79"/>
  <c r="AD30" i="79"/>
  <c r="AC5" i="79"/>
  <c r="AB5" i="79"/>
  <c r="AA5" i="79"/>
  <c r="AD5" i="79"/>
  <c r="Z5" i="79"/>
  <c r="Y5" i="79"/>
  <c r="O5" i="79"/>
  <c r="N5" i="79"/>
  <c r="M5" i="79"/>
  <c r="P5" i="79"/>
  <c r="L5" i="79"/>
  <c r="K5" i="79"/>
  <c r="I5" i="79"/>
  <c r="AC6" i="79"/>
  <c r="AB6" i="79"/>
  <c r="AA6" i="79"/>
  <c r="AD6" i="79"/>
  <c r="Z6" i="79"/>
  <c r="Y6" i="79"/>
  <c r="O6" i="79"/>
  <c r="N6" i="79"/>
  <c r="M6" i="79"/>
  <c r="P6" i="79"/>
  <c r="L6" i="79"/>
  <c r="K6" i="79"/>
  <c r="I6" i="79"/>
  <c r="AB31" i="79"/>
  <c r="AA31" i="79"/>
  <c r="Z31" i="79"/>
  <c r="N31" i="79"/>
  <c r="M31" i="79"/>
  <c r="P31" i="79"/>
  <c r="L31" i="79"/>
  <c r="I31" i="79"/>
  <c r="I32" i="79"/>
  <c r="I33" i="79"/>
  <c r="I34" i="79"/>
  <c r="I35" i="79"/>
  <c r="I36" i="79"/>
  <c r="I37" i="79"/>
  <c r="I38" i="79"/>
  <c r="I39" i="79"/>
  <c r="I40" i="79"/>
  <c r="I41" i="79"/>
  <c r="I42" i="79"/>
  <c r="I43" i="79"/>
  <c r="I44" i="79"/>
  <c r="AD31" i="79"/>
  <c r="G15" i="73"/>
  <c r="F15" i="73"/>
  <c r="E15" i="73"/>
  <c r="G16" i="73"/>
  <c r="F16" i="73"/>
  <c r="E16" i="73"/>
  <c r="AB32" i="79"/>
  <c r="AA32" i="79"/>
  <c r="Z32" i="79"/>
  <c r="N32" i="79"/>
  <c r="M32" i="79"/>
  <c r="P32" i="79"/>
  <c r="L32" i="79"/>
  <c r="I45" i="79"/>
  <c r="AD32" i="79"/>
  <c r="AC7" i="79"/>
  <c r="AB7" i="79"/>
  <c r="AA7" i="79"/>
  <c r="AD7" i="79"/>
  <c r="Z7" i="79"/>
  <c r="Y7" i="79"/>
  <c r="O7" i="79"/>
  <c r="N7" i="79"/>
  <c r="M7" i="79"/>
  <c r="P7" i="79"/>
  <c r="L7" i="79"/>
  <c r="K7" i="79"/>
  <c r="I7" i="79"/>
  <c r="I10" i="79"/>
  <c r="N34" i="79"/>
  <c r="M34" i="79"/>
  <c r="P34" i="79"/>
  <c r="L34" i="79"/>
  <c r="N35" i="79"/>
  <c r="M35" i="79"/>
  <c r="L35" i="79"/>
  <c r="O9" i="79"/>
  <c r="N9" i="79"/>
  <c r="M9" i="79"/>
  <c r="P9" i="79"/>
  <c r="L9" i="79"/>
  <c r="K9" i="79"/>
  <c r="O10" i="79"/>
  <c r="N10" i="79"/>
  <c r="M10" i="79"/>
  <c r="P10" i="79"/>
  <c r="L10" i="79"/>
  <c r="K10" i="79"/>
  <c r="P35" i="79"/>
  <c r="G17" i="73"/>
  <c r="F17" i="73"/>
  <c r="E17" i="73"/>
  <c r="L36" i="79"/>
  <c r="M36" i="79"/>
  <c r="P36" i="79"/>
  <c r="N36" i="79"/>
  <c r="L37" i="79"/>
  <c r="M37" i="79"/>
  <c r="P37" i="79"/>
  <c r="N37" i="79"/>
  <c r="L38" i="79"/>
  <c r="M38" i="79"/>
  <c r="N38" i="79"/>
  <c r="I11" i="79"/>
  <c r="I12" i="79"/>
  <c r="I13" i="79"/>
  <c r="K11" i="79"/>
  <c r="L11" i="79"/>
  <c r="M11" i="79"/>
  <c r="P11" i="79"/>
  <c r="N11" i="79"/>
  <c r="O11" i="79"/>
  <c r="K12" i="79"/>
  <c r="L12" i="79"/>
  <c r="M12" i="79"/>
  <c r="P12" i="79"/>
  <c r="N12" i="79"/>
  <c r="O12" i="79"/>
  <c r="K13" i="79"/>
  <c r="L13" i="79"/>
  <c r="M13" i="79"/>
  <c r="P13" i="79"/>
  <c r="N13" i="79"/>
  <c r="O13" i="79"/>
  <c r="P3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6" i="79"/>
  <c r="AA46" i="79"/>
  <c r="Z46" i="79"/>
  <c r="W46" i="79"/>
  <c r="N46" i="79"/>
  <c r="M46" i="79"/>
  <c r="P46" i="79"/>
  <c r="L46" i="79"/>
  <c r="I46" i="79"/>
  <c r="AD46" i="79"/>
  <c r="AB45" i="79"/>
  <c r="AA45" i="79"/>
  <c r="Z45" i="79"/>
  <c r="N45" i="79"/>
  <c r="U45" i="79"/>
  <c r="M45" i="79"/>
  <c r="L45" i="79"/>
  <c r="S45" i="79"/>
  <c r="AD45" i="79"/>
  <c r="AB44" i="79"/>
  <c r="AA44" i="79"/>
  <c r="Z44" i="79"/>
  <c r="N44" i="79"/>
  <c r="U44" i="79"/>
  <c r="M44" i="79"/>
  <c r="L44" i="79"/>
  <c r="AB43" i="79"/>
  <c r="AA43" i="79"/>
  <c r="Z43" i="79"/>
  <c r="N43" i="79"/>
  <c r="M43" i="79"/>
  <c r="L43" i="79"/>
  <c r="AB42" i="79"/>
  <c r="AA42" i="79"/>
  <c r="Z42" i="79"/>
  <c r="N42" i="79"/>
  <c r="M42" i="79"/>
  <c r="L42" i="79"/>
  <c r="S42" i="79"/>
  <c r="AB41" i="79"/>
  <c r="AA41" i="79"/>
  <c r="Z41" i="79"/>
  <c r="N41" i="79"/>
  <c r="M41" i="79"/>
  <c r="L41" i="79"/>
  <c r="AD41" i="79"/>
  <c r="AB40" i="79"/>
  <c r="AA40" i="79"/>
  <c r="Z40" i="79"/>
  <c r="N40" i="79"/>
  <c r="U40" i="79"/>
  <c r="M40" i="79"/>
  <c r="L40" i="79"/>
  <c r="AB39" i="79"/>
  <c r="AA39" i="79"/>
  <c r="Z39" i="79"/>
  <c r="N39" i="79"/>
  <c r="M39" i="79"/>
  <c r="T34" i="79"/>
  <c r="W34" i="79"/>
  <c r="L39" i="79"/>
  <c r="AB33" i="79"/>
  <c r="AA33" i="79"/>
  <c r="AA28" i="79"/>
  <c r="AD28" i="79"/>
  <c r="Z33" i="79"/>
  <c r="N33" i="79"/>
  <c r="M33" i="79"/>
  <c r="L33" i="79"/>
  <c r="N28" i="79"/>
  <c r="G28" i="79"/>
  <c r="F28" i="79"/>
  <c r="I28" i="79"/>
  <c r="E28" i="79"/>
  <c r="AC21" i="79"/>
  <c r="AB21" i="79"/>
  <c r="AA21" i="79"/>
  <c r="AD21" i="79"/>
  <c r="Z21" i="79"/>
  <c r="Y21" i="79"/>
  <c r="W21" i="79"/>
  <c r="M21" i="79"/>
  <c r="P21" i="79"/>
  <c r="O21" i="79"/>
  <c r="N21" i="79"/>
  <c r="L21" i="79"/>
  <c r="K21" i="79"/>
  <c r="I21" i="79"/>
  <c r="AC20" i="79"/>
  <c r="AB20" i="79"/>
  <c r="AA20" i="79"/>
  <c r="AD20" i="79"/>
  <c r="Z20" i="79"/>
  <c r="Y20" i="79"/>
  <c r="O20" i="79"/>
  <c r="V20" i="79"/>
  <c r="N20" i="79"/>
  <c r="U20" i="79"/>
  <c r="M20" i="79"/>
  <c r="L20" i="79"/>
  <c r="S20" i="79"/>
  <c r="K20" i="79"/>
  <c r="R20" i="79"/>
  <c r="I20" i="79"/>
  <c r="AC19" i="79"/>
  <c r="AB19" i="79"/>
  <c r="AA19" i="79"/>
  <c r="AD19" i="79"/>
  <c r="Z19" i="79"/>
  <c r="Y19" i="79"/>
  <c r="O19" i="79"/>
  <c r="N19" i="79"/>
  <c r="M19" i="79"/>
  <c r="T19" i="79"/>
  <c r="W19" i="79"/>
  <c r="L19" i="79"/>
  <c r="K19" i="79"/>
  <c r="I19" i="79"/>
  <c r="AC18" i="79"/>
  <c r="AB18" i="79"/>
  <c r="AA18" i="79"/>
  <c r="AD18" i="79"/>
  <c r="Z18" i="79"/>
  <c r="Y18" i="79"/>
  <c r="O18" i="79"/>
  <c r="N18" i="79"/>
  <c r="M18" i="79"/>
  <c r="L18" i="79"/>
  <c r="K18" i="79"/>
  <c r="I18" i="79"/>
  <c r="AA17" i="79"/>
  <c r="AD17" i="79"/>
  <c r="AC17" i="79"/>
  <c r="AB17" i="79"/>
  <c r="Z17" i="79"/>
  <c r="Y17" i="79"/>
  <c r="O17" i="79"/>
  <c r="N17" i="79"/>
  <c r="M17" i="79"/>
  <c r="L17" i="79"/>
  <c r="S17" i="79"/>
  <c r="K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8" i="79"/>
  <c r="AB8" i="79"/>
  <c r="AA8" i="79"/>
  <c r="AD8" i="79"/>
  <c r="Z8" i="79"/>
  <c r="Z3" i="79"/>
  <c r="Y8" i="79"/>
  <c r="O8" i="79"/>
  <c r="N8" i="79"/>
  <c r="M8" i="79"/>
  <c r="L8" i="79"/>
  <c r="K8" i="79"/>
  <c r="I8"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c r="S31" i="79"/>
  <c r="S30" i="79"/>
  <c r="M28" i="79"/>
  <c r="P28" i="79"/>
  <c r="T30" i="79"/>
  <c r="W30" i="79"/>
  <c r="T31" i="79"/>
  <c r="W31" i="79"/>
  <c r="U31" i="79"/>
  <c r="U30" i="79"/>
  <c r="R15" i="79"/>
  <c r="T17" i="79"/>
  <c r="W17" i="79"/>
  <c r="T6" i="79"/>
  <c r="W6" i="79"/>
  <c r="T5" i="79"/>
  <c r="W5" i="79"/>
  <c r="V15" i="79"/>
  <c r="U19" i="79"/>
  <c r="U6" i="79"/>
  <c r="U5" i="79"/>
  <c r="S6" i="79"/>
  <c r="S5" i="79"/>
  <c r="S16" i="79"/>
  <c r="R6" i="79"/>
  <c r="R5" i="79"/>
  <c r="V6" i="79"/>
  <c r="V5" i="79"/>
  <c r="R19" i="79"/>
  <c r="V19" i="79"/>
  <c r="S19" i="79"/>
  <c r="U7" i="79"/>
  <c r="S15" i="79"/>
  <c r="U17" i="79"/>
  <c r="U18" i="79"/>
  <c r="T28" i="79"/>
  <c r="W28" i="79"/>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c r="N3" i="79"/>
  <c r="K3" i="79"/>
  <c r="R7" i="79"/>
  <c r="O3" i="79"/>
  <c r="V7" i="79"/>
  <c r="T15" i="79"/>
  <c r="W15" i="79"/>
  <c r="U16" i="79"/>
  <c r="R17" i="79"/>
  <c r="V17" i="79"/>
  <c r="R18" i="79"/>
  <c r="V18" i="79"/>
  <c r="S3" i="79"/>
  <c r="S7" i="79"/>
  <c r="U15" i="79"/>
  <c r="R16" i="79"/>
  <c r="V16" i="79"/>
  <c r="P8" i="79"/>
  <c r="T7" i="79"/>
  <c r="W7" i="79"/>
  <c r="U3" i="79"/>
  <c r="S33" i="79"/>
  <c r="M3" i="79"/>
  <c r="P3" i="79"/>
  <c r="T3" i="79"/>
  <c r="W3" i="79"/>
  <c r="U33" i="79"/>
  <c r="AD39" i="79"/>
  <c r="T38" i="79"/>
  <c r="T36" i="79"/>
  <c r="T39" i="79"/>
  <c r="W39" i="79"/>
  <c r="T37" i="79"/>
  <c r="T35" i="79"/>
  <c r="W35" i="79"/>
  <c r="S40" i="79"/>
  <c r="T41" i="79"/>
  <c r="W41" i="79"/>
  <c r="T43" i="79"/>
  <c r="W43" i="79"/>
  <c r="T45" i="79"/>
  <c r="W45" i="79"/>
  <c r="S39" i="79"/>
  <c r="S37" i="79"/>
  <c r="S38" i="79"/>
  <c r="S36" i="79"/>
  <c r="S35" i="79"/>
  <c r="U39" i="79"/>
  <c r="U37" i="79"/>
  <c r="U38" i="79"/>
  <c r="U36" i="79"/>
  <c r="U35" i="79"/>
  <c r="T42" i="79"/>
  <c r="W42" i="79"/>
  <c r="T44" i="79"/>
  <c r="W44" i="79"/>
  <c r="S10" i="79"/>
  <c r="S13" i="79"/>
  <c r="S14" i="79"/>
  <c r="S9" i="79"/>
  <c r="U10" i="79"/>
  <c r="U13" i="79"/>
  <c r="U14" i="79"/>
  <c r="U9" i="79"/>
  <c r="P18" i="79"/>
  <c r="T18" i="79"/>
  <c r="W18" i="79"/>
  <c r="R10" i="79"/>
  <c r="R13" i="79"/>
  <c r="R14" i="79"/>
  <c r="R9" i="79"/>
  <c r="T10" i="79"/>
  <c r="W10" i="79"/>
  <c r="T13" i="79"/>
  <c r="W13" i="79"/>
  <c r="T14" i="79"/>
  <c r="W14" i="79"/>
  <c r="T9" i="79"/>
  <c r="W9" i="79"/>
  <c r="V10" i="79"/>
  <c r="V13" i="79"/>
  <c r="V14" i="79"/>
  <c r="V9" i="79"/>
  <c r="P16" i="79"/>
  <c r="T16" i="79"/>
  <c r="W16" i="79"/>
  <c r="P20" i="79"/>
  <c r="T20" i="79"/>
  <c r="W20" i="79"/>
  <c r="AA3" i="79"/>
  <c r="AD3" i="79"/>
  <c r="W36" i="79"/>
  <c r="W38" i="79"/>
  <c r="W37" i="79"/>
  <c r="W33" i="79"/>
  <c r="AB28" i="79"/>
  <c r="R11" i="79"/>
  <c r="R8" i="79"/>
  <c r="R12" i="79"/>
  <c r="P14" i="79"/>
  <c r="T12" i="79"/>
  <c r="W12" i="79"/>
  <c r="T11" i="79"/>
  <c r="W11" i="79"/>
  <c r="T8" i="79"/>
  <c r="W8" i="79"/>
  <c r="V11" i="79"/>
  <c r="V8" i="79"/>
  <c r="V12" i="79"/>
  <c r="S12" i="79"/>
  <c r="S8" i="79"/>
  <c r="S11" i="79"/>
  <c r="U12" i="79"/>
  <c r="U8" i="79"/>
  <c r="U11" i="79"/>
  <c r="S28" i="79"/>
  <c r="P17" i="79"/>
  <c r="P19" i="79"/>
  <c r="R3" i="79"/>
  <c r="Z28" i="79"/>
  <c r="W40" i="79"/>
  <c r="P15"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B7" i="1"/>
  <c r="E7" i="1"/>
  <c r="A8" i="1"/>
  <c r="B8" i="1"/>
  <c r="E8" i="1"/>
  <c r="A9" i="1"/>
  <c r="A10" i="1"/>
  <c r="A11" i="1"/>
  <c r="B11" i="1"/>
  <c r="E11" i="1"/>
  <c r="A12" i="1"/>
  <c r="A13" i="1"/>
  <c r="B13" i="1"/>
  <c r="E13"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12" i="1"/>
  <c r="G12" i="1"/>
  <c r="F15" i="4"/>
  <c r="F11" i="1"/>
  <c r="G11"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G41" i="69"/>
  <c r="B23" i="1"/>
  <c r="F34" i="68"/>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P16" i="3"/>
  <c r="BL16" i="3"/>
  <c r="BN17" i="3"/>
  <c r="BP13" i="3"/>
  <c r="BP14" i="3"/>
  <c r="BP17" i="3"/>
  <c r="E21" i="6"/>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E81" i="33"/>
  <c r="E79"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C24" i="12"/>
  <c r="AC34" i="33"/>
  <c r="AA34" i="33"/>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G111" i="33"/>
  <c r="F36" i="33"/>
  <c r="AA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F87" i="33"/>
  <c r="H25" i="33"/>
  <c r="F25" i="33"/>
  <c r="J23" i="33"/>
  <c r="AC23" i="33"/>
  <c r="F85" i="33"/>
  <c r="H23" i="33"/>
  <c r="F81" i="33"/>
  <c r="S19" i="33"/>
  <c r="W19"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G22" i="69"/>
  <c r="G22" i="68"/>
  <c r="G26" i="12"/>
  <c r="G22" i="11"/>
  <c r="C6" i="43"/>
  <c r="B19" i="53"/>
  <c r="B37" i="72"/>
  <c r="C7" i="39"/>
  <c r="C67" i="39"/>
  <c r="C7" i="35"/>
  <c r="C7" i="33"/>
  <c r="C7" i="21"/>
  <c r="C7" i="40"/>
  <c r="C63" i="40"/>
  <c r="M47" i="9"/>
  <c r="G23" i="43"/>
  <c r="C23" i="43"/>
  <c r="A4" i="51"/>
  <c r="B6" i="72"/>
  <c r="C48" i="35"/>
  <c r="D48" i="35"/>
  <c r="B6" i="1"/>
  <c r="E6" i="1"/>
  <c r="K11" i="1"/>
  <c r="M11" i="1"/>
  <c r="O11" i="1"/>
  <c r="B9" i="1"/>
  <c r="E9"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G91" i="33"/>
  <c r="H91" i="33"/>
  <c r="I91" i="33"/>
  <c r="J91" i="33"/>
  <c r="K91" i="33"/>
  <c r="L91" i="33"/>
  <c r="M91" i="33"/>
  <c r="U25" i="33"/>
  <c r="AB25" i="33"/>
  <c r="S25" i="33"/>
  <c r="AA25" i="33"/>
  <c r="G87" i="33"/>
  <c r="H87" i="33"/>
  <c r="I87" i="33"/>
  <c r="J87" i="33"/>
  <c r="K87" i="33"/>
  <c r="L87" i="33"/>
  <c r="M87" i="33"/>
  <c r="J25" i="33"/>
  <c r="AB23" i="33"/>
  <c r="U23" i="33"/>
  <c r="F23" i="33"/>
  <c r="G85" i="33"/>
  <c r="G81" i="33"/>
  <c r="U17" i="33"/>
  <c r="S17" i="33"/>
  <c r="W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W25" i="33"/>
  <c r="AC25" i="33"/>
  <c r="U19" i="33"/>
  <c r="U23" i="21"/>
  <c r="AB23" i="21"/>
  <c r="AC23" i="21"/>
  <c r="W23" i="21"/>
  <c r="H109" i="9"/>
  <c r="M4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C20" i="9"/>
  <c r="M26" i="15"/>
  <c r="D19" i="9"/>
  <c r="F38" i="67"/>
  <c r="D34" i="9"/>
  <c r="C76" i="67"/>
  <c r="AO13" i="1"/>
  <c r="F36" i="15"/>
  <c r="L47" i="67"/>
  <c r="F42" i="67"/>
  <c r="E11" i="76"/>
  <c r="C76" i="15"/>
  <c r="E2" i="68"/>
  <c r="B12" i="76"/>
  <c r="F38" i="15"/>
  <c r="F8" i="67"/>
  <c r="M22" i="67"/>
  <c r="E9" i="76"/>
  <c r="E13" i="76"/>
  <c r="F16" i="15"/>
  <c r="L47" i="15"/>
  <c r="E2" i="69"/>
  <c r="E8" i="76"/>
  <c r="B11" i="76"/>
  <c r="E7" i="76"/>
  <c r="F13" i="67"/>
  <c r="M28" i="67"/>
  <c r="F8" i="15"/>
  <c r="F40" i="15"/>
  <c r="B10" i="76"/>
  <c r="F9" i="15"/>
  <c r="M22" i="15"/>
  <c r="J15" i="67"/>
  <c r="D6" i="73"/>
  <c r="B7" i="76"/>
  <c r="F7" i="67"/>
  <c r="F8" i="1"/>
  <c r="L48" i="67"/>
  <c r="M28" i="15"/>
  <c r="F42" i="15"/>
  <c r="F7" i="73"/>
  <c r="M23" i="15"/>
  <c r="F6" i="67"/>
  <c r="F40" i="67"/>
  <c r="L48" i="15"/>
  <c r="B13" i="76"/>
  <c r="F37" i="67"/>
  <c r="F36" i="67"/>
  <c r="M24" i="15"/>
  <c r="M6" i="15"/>
  <c r="M9" i="15"/>
  <c r="M8" i="15"/>
  <c r="J15" i="15"/>
  <c r="B8" i="76"/>
  <c r="F20" i="31"/>
  <c r="M29" i="15"/>
  <c r="F43" i="15"/>
  <c r="E10" i="76"/>
  <c r="M29" i="67"/>
  <c r="F16" i="67"/>
  <c r="M26" i="67"/>
  <c r="M24" i="67"/>
  <c r="F6" i="73"/>
  <c r="D35" i="9"/>
  <c r="M6" i="67"/>
  <c r="F5" i="73"/>
  <c r="F13" i="15"/>
  <c r="F26" i="67"/>
  <c r="F26" i="15"/>
  <c r="D20" i="9"/>
  <c r="B9" i="76"/>
  <c r="C19" i="9"/>
  <c r="F6" i="15"/>
  <c r="F7" i="15"/>
  <c r="M8" i="67"/>
  <c r="F37" i="15"/>
  <c r="M23" i="67"/>
  <c r="F9" i="67"/>
  <c r="M9" i="67"/>
  <c r="F43" i="67"/>
  <c r="F3" i="73"/>
  <c r="E12" i="76"/>
  <c r="F9" i="1"/>
  <c r="G9" i="1"/>
  <c r="F10" i="1"/>
  <c r="G10" i="1"/>
  <c r="G8" i="1"/>
  <c r="G6" i="1"/>
  <c r="G16" i="1"/>
  <c r="F10" i="39"/>
  <c r="H69" i="43"/>
  <c r="S23" i="33"/>
  <c r="AA23" i="33"/>
  <c r="C20" i="71"/>
  <c r="E19" i="71"/>
  <c r="E18" i="71"/>
  <c r="E17" i="71"/>
  <c r="E16" i="71"/>
  <c r="V20" i="7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G5" i="3"/>
  <c r="B3"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27" i="6"/>
  <c r="M6" i="1"/>
  <c r="O6" i="1"/>
  <c r="T13" i="1"/>
  <c r="C58" i="21"/>
  <c r="D58" i="21"/>
  <c r="C58" i="33"/>
  <c r="C59" i="34"/>
  <c r="D59" i="34"/>
  <c r="E59" i="34"/>
  <c r="F59" i="34"/>
  <c r="G59" i="34"/>
  <c r="H59" i="34"/>
  <c r="I59" i="34"/>
  <c r="J59" i="34"/>
  <c r="K59" i="34"/>
  <c r="L59" i="34"/>
  <c r="M59" i="34"/>
  <c r="N59" i="34"/>
  <c r="O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G19" i="9"/>
  <c r="Q71" i="15"/>
  <c r="J53" i="15"/>
  <c r="L56" i="15"/>
  <c r="J57" i="15"/>
  <c r="J55" i="15"/>
  <c r="J58" i="15"/>
  <c r="Q50" i="15"/>
  <c r="I54" i="15"/>
  <c r="B20" i="31"/>
  <c r="B21" i="3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C36" i="68"/>
  <c r="D9" i="69"/>
  <c r="F27" i="69"/>
  <c r="C36" i="69"/>
  <c r="D9" i="68"/>
  <c r="D4" i="73"/>
  <c r="D7" i="73"/>
  <c r="C16" i="67"/>
  <c r="C16" i="15"/>
  <c r="J7" i="37"/>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H7"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AA7" i="36"/>
  <c r="R36" i="36"/>
  <c r="AC7" i="37"/>
  <c r="W7" i="37"/>
  <c r="AB7" i="36"/>
  <c r="T36" i="36"/>
  <c r="G36"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AE11" i="1"/>
  <c r="AE9" i="1"/>
  <c r="F27" i="68"/>
  <c r="AE12" i="1"/>
  <c r="AE10" i="1"/>
  <c r="F41" i="67"/>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E8" i="70"/>
  <c r="F45" i="68"/>
  <c r="C47" i="68"/>
  <c r="D45" i="68"/>
  <c r="C29" i="68"/>
  <c r="D27" i="68"/>
  <c r="K25" i="6"/>
  <c r="K23" i="6"/>
  <c r="K22" i="6"/>
  <c r="E31" i="6"/>
  <c r="K24" i="6"/>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I48" i="33"/>
  <c r="AA7" i="37"/>
  <c r="R42" i="37"/>
  <c r="S7" i="37"/>
  <c r="I40" i="36"/>
  <c r="J40" i="36"/>
  <c r="S7" i="33"/>
  <c r="AA7" i="33"/>
  <c r="G53" i="34"/>
  <c r="H53" i="34"/>
  <c r="G54" i="34"/>
  <c r="H54" i="34"/>
  <c r="G40" i="36"/>
  <c r="H40" i="36"/>
  <c r="G41" i="36"/>
  <c r="H41" i="36"/>
  <c r="G46" i="37"/>
  <c r="H46" i="37"/>
  <c r="G47" i="37"/>
  <c r="H47" i="37"/>
  <c r="I46" i="37"/>
  <c r="J46" i="37"/>
  <c r="G48" i="35"/>
  <c r="U7" i="33"/>
  <c r="AB7" i="33"/>
  <c r="G48" i="33"/>
  <c r="J24" i="67"/>
  <c r="C53" i="67"/>
  <c r="C48" i="67"/>
  <c r="C10" i="67"/>
  <c r="C5" i="67"/>
  <c r="C38" i="67"/>
  <c r="C53" i="15"/>
  <c r="C48" i="15"/>
  <c r="C66" i="15"/>
  <c r="C10" i="15"/>
  <c r="C5" i="15"/>
  <c r="C38" i="15"/>
  <c r="F25" i="12"/>
  <c r="F22" i="69"/>
  <c r="F41" i="69"/>
  <c r="F24" i="67"/>
  <c r="C24" i="67"/>
  <c r="F22" i="11"/>
  <c r="F22" i="68"/>
  <c r="F24" i="15"/>
  <c r="C24" i="15"/>
  <c r="C35" i="9"/>
  <c r="M27" i="15"/>
  <c r="M27" i="67"/>
  <c r="F41" i="15"/>
  <c r="E49"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S20" i="6"/>
  <c r="E7" i="70"/>
  <c r="AQ6" i="1"/>
  <c r="AR6" i="1"/>
  <c r="T6" i="1"/>
  <c r="M23" i="6"/>
  <c r="I23" i="6"/>
  <c r="S23" i="6"/>
  <c r="S10" i="1"/>
  <c r="E10" i="70"/>
  <c r="M25" i="6"/>
  <c r="I25" i="6"/>
  <c r="S25" i="6"/>
  <c r="S12" i="1"/>
  <c r="K27" i="6"/>
  <c r="C20" i="11"/>
  <c r="C28" i="11"/>
  <c r="C27" i="11"/>
  <c r="D17" i="12"/>
  <c r="C17" i="12"/>
  <c r="D10" i="11"/>
  <c r="C10" i="11"/>
  <c r="D20" i="12"/>
  <c r="C20" i="12"/>
  <c r="C18" i="12"/>
  <c r="D25" i="6"/>
  <c r="D15" i="6"/>
  <c r="D22" i="6"/>
  <c r="D21" i="6"/>
  <c r="D24" i="6"/>
  <c r="M19" i="9"/>
  <c r="C118" i="9"/>
  <c r="B2" i="74"/>
  <c r="D26" i="6"/>
  <c r="D8" i="6"/>
  <c r="D14" i="6"/>
  <c r="D6" i="6"/>
  <c r="D9" i="6"/>
  <c r="D10" i="6"/>
  <c r="L19" i="9"/>
  <c r="D29" i="6"/>
  <c r="H25" i="6"/>
  <c r="H22" i="6"/>
  <c r="H21" i="6"/>
  <c r="H24"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69"/>
  <c r="D22" i="69"/>
  <c r="C44" i="69"/>
  <c r="D41" i="69"/>
  <c r="C44" i="68"/>
  <c r="D41" i="68"/>
  <c r="C23" i="68"/>
  <c r="C26" i="68"/>
  <c r="D22" i="68"/>
  <c r="C26" i="12"/>
  <c r="D25" i="12"/>
  <c r="C44" i="11"/>
  <c r="D41" i="11"/>
  <c r="C23" i="11"/>
  <c r="C24" i="11"/>
  <c r="C25" i="11"/>
  <c r="C26" i="11"/>
  <c r="D22" i="11"/>
  <c r="C34" i="9"/>
  <c r="C66" i="67"/>
  <c r="C60" i="67"/>
  <c r="D10" i="69"/>
  <c r="C34" i="69"/>
  <c r="D10" i="68"/>
  <c r="C17" i="67"/>
  <c r="C14" i="67"/>
  <c r="C17" i="15"/>
  <c r="C16" i="71"/>
  <c r="D17" i="71"/>
  <c r="C18" i="67"/>
  <c r="C15" i="67"/>
  <c r="H23" i="6"/>
  <c r="C30" i="43"/>
  <c r="C31" i="43"/>
  <c r="C38" i="69"/>
  <c r="C35" i="69"/>
  <c r="E12" i="70"/>
  <c r="F34" i="11"/>
  <c r="F11" i="12"/>
  <c r="S16" i="1"/>
  <c r="E9" i="70"/>
  <c r="E2" i="70"/>
  <c r="AR9" i="1"/>
  <c r="AQ9" i="1"/>
  <c r="T9" i="1"/>
  <c r="AQ11" i="1"/>
  <c r="AR11" i="1"/>
  <c r="T11" i="1"/>
  <c r="AR12" i="1"/>
  <c r="T12" i="1"/>
  <c r="AQ12" i="1"/>
  <c r="AQ10" i="1"/>
  <c r="T10" i="1"/>
  <c r="AR10" i="1"/>
  <c r="AR7" i="1"/>
  <c r="AQ7" i="1"/>
  <c r="T7" i="1"/>
  <c r="M27" i="6"/>
  <c r="D16" i="6"/>
  <c r="R26" i="6"/>
  <c r="R24" i="6"/>
  <c r="R11" i="1"/>
  <c r="R22" i="6"/>
  <c r="R9" i="1"/>
  <c r="C15" i="12"/>
  <c r="C12" i="12"/>
  <c r="R23" i="6"/>
  <c r="R10" i="1"/>
  <c r="D27" i="6"/>
  <c r="D31" i="6"/>
  <c r="D8" i="74"/>
  <c r="D7" i="74"/>
  <c r="R21" i="6"/>
  <c r="C10" i="69"/>
  <c r="C8" i="69"/>
  <c r="C5" i="69"/>
  <c r="D19" i="69"/>
  <c r="F50" i="69"/>
  <c r="F50" i="11"/>
  <c r="F50" i="68"/>
  <c r="C4" i="52"/>
  <c r="B45" i="72"/>
  <c r="A10" i="51"/>
  <c r="B9" i="72"/>
  <c r="A7" i="51"/>
  <c r="B7" i="72"/>
  <c r="C21" i="9"/>
  <c r="D21" i="9"/>
  <c r="G21" i="9"/>
  <c r="R25" i="6"/>
  <c r="R12" i="1"/>
  <c r="C10" i="68"/>
  <c r="D19" i="68"/>
  <c r="B2" i="43"/>
  <c r="B3" i="43"/>
  <c r="H69" i="39"/>
  <c r="I67" i="39"/>
  <c r="G65" i="40"/>
  <c r="H63" i="40"/>
  <c r="C43" i="37"/>
  <c r="C42" i="37"/>
  <c r="I48" i="35"/>
  <c r="C48" i="33"/>
  <c r="H58" i="21"/>
  <c r="E47" i="37"/>
  <c r="F47" i="37"/>
  <c r="E46" i="37"/>
  <c r="F46" i="37"/>
  <c r="I47" i="37"/>
  <c r="J47" i="37"/>
  <c r="E53" i="33"/>
  <c r="F53" i="33"/>
  <c r="E52" i="33"/>
  <c r="F52" i="33"/>
  <c r="C33" i="15"/>
  <c r="C22" i="11"/>
  <c r="C31" i="11"/>
  <c r="C33" i="67"/>
  <c r="J19" i="67"/>
  <c r="C34" i="68"/>
  <c r="B6" i="76"/>
  <c r="E6" i="76"/>
  <c r="C14" i="15"/>
  <c r="C15" i="71"/>
  <c r="T16" i="71"/>
  <c r="D16" i="71"/>
  <c r="U16" i="71"/>
  <c r="C19" i="67"/>
  <c r="C20" i="67"/>
  <c r="C26" i="67"/>
  <c r="T16" i="1"/>
  <c r="C18" i="15"/>
  <c r="C15" i="15"/>
  <c r="C38" i="68"/>
  <c r="C35" i="68"/>
  <c r="C36" i="11"/>
  <c r="C37" i="11"/>
  <c r="C34" i="11"/>
  <c r="C23" i="12"/>
  <c r="C14" i="12"/>
  <c r="C16" i="12"/>
  <c r="C21" i="12"/>
  <c r="C22" i="12"/>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3" i="68"/>
  <c r="C39" i="68"/>
  <c r="C30" i="12"/>
  <c r="C28" i="12"/>
  <c r="C38" i="11"/>
  <c r="C35" i="11"/>
  <c r="H27"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D14" i="71"/>
  <c r="C13" i="71"/>
  <c r="W7" i="21"/>
  <c r="AA7" i="21"/>
  <c r="R48" i="21"/>
  <c r="J7" i="35"/>
  <c r="W7" i="35"/>
  <c r="Q49" i="67"/>
  <c r="J14" i="67"/>
  <c r="J13" i="67"/>
  <c r="J23" i="67"/>
  <c r="C36" i="67"/>
  <c r="C57" i="67"/>
  <c r="C64" i="67"/>
  <c r="C13" i="67"/>
  <c r="Q70" i="67"/>
  <c r="C33" i="11"/>
  <c r="C39" i="11"/>
  <c r="C61" i="67"/>
  <c r="C42" i="68"/>
  <c r="C32" i="12"/>
  <c r="B2" i="12"/>
  <c r="B3" i="12"/>
  <c r="C23" i="15"/>
  <c r="C29" i="15"/>
  <c r="C41" i="69"/>
  <c r="R27" i="6"/>
  <c r="C46" i="69"/>
  <c r="C45" i="69"/>
  <c r="C25" i="69"/>
  <c r="C22" i="69"/>
  <c r="C31" i="69"/>
  <c r="C25" i="68"/>
  <c r="C22" i="68"/>
  <c r="C31" i="68"/>
  <c r="C46" i="68"/>
  <c r="C45" i="68"/>
  <c r="C43" i="68"/>
  <c r="L67" i="39"/>
  <c r="K69" i="39"/>
  <c r="J65" i="40"/>
  <c r="K63" i="40"/>
  <c r="I52" i="21"/>
  <c r="J52" i="21"/>
  <c r="U7" i="35"/>
  <c r="AB7" i="35"/>
  <c r="T38" i="35"/>
  <c r="G38" i="35"/>
  <c r="R49" i="21"/>
  <c r="E48" i="21"/>
  <c r="G52" i="21"/>
  <c r="H52" i="21"/>
  <c r="G53" i="21"/>
  <c r="H53" i="21"/>
  <c r="F7" i="35"/>
  <c r="F35" i="67"/>
  <c r="F35" i="15"/>
  <c r="M21" i="67"/>
  <c r="M21" i="15"/>
  <c r="AC7" i="35"/>
  <c r="V38" i="35"/>
  <c r="I38" i="35"/>
  <c r="C12" i="71"/>
  <c r="D13"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D2" i="35"/>
  <c r="D2" i="36"/>
  <c r="L51" i="15"/>
  <c r="D2" i="34"/>
  <c r="D2" i="37"/>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2" i="1"/>
  <c r="AO11" i="1"/>
  <c r="AO7" i="1"/>
  <c r="AO10" i="1"/>
  <c r="AO8" i="1"/>
  <c r="AO6" i="1"/>
  <c r="AO9" i="1"/>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B49" i="72"/>
  <c r="D5" i="52"/>
  <c r="D119" i="9"/>
  <c r="B31" i="72"/>
  <c r="D15" i="53"/>
  <c r="D54" i="9"/>
  <c r="C68" i="9"/>
  <c r="B30" i="72"/>
  <c r="H108" i="9"/>
  <c r="C6" i="74"/>
  <c r="B22" i="72"/>
  <c r="D6" i="53"/>
  <c r="C86" i="9"/>
  <c r="C93" i="9"/>
  <c r="D5" i="53"/>
  <c r="B20" i="72"/>
  <c r="D9" i="52"/>
  <c r="D123" i="9"/>
  <c r="B53" i="72"/>
  <c r="F5" i="52"/>
  <c r="F119" i="9"/>
  <c r="B48" i="72"/>
  <c r="E4" i="52"/>
  <c r="B47" i="72"/>
  <c r="E118" i="9"/>
  <c r="D118" i="9"/>
  <c r="D4" i="52"/>
  <c r="D122" i="9"/>
  <c r="D8" i="52"/>
  <c r="N60" i="9"/>
  <c r="N59" i="9"/>
  <c r="N61" i="9"/>
  <c r="M54" i="9"/>
  <c r="D56" i="9"/>
  <c r="D58" i="9"/>
  <c r="C97" i="9"/>
  <c r="C73" i="9"/>
  <c r="C78" i="9"/>
  <c r="B21" i="72"/>
  <c r="D7" i="53"/>
  <c r="F4" i="52"/>
  <c r="B51" i="72"/>
  <c r="C85" i="9"/>
  <c r="C95" i="9"/>
  <c r="C96" i="9"/>
  <c r="E96" i="9"/>
  <c r="E97" i="9"/>
  <c r="H4" i="52"/>
  <c r="C104" i="9"/>
  <c r="M48" i="9"/>
  <c r="C64" i="9"/>
  <c r="C63" i="9"/>
  <c r="C67" i="9"/>
  <c r="D59" i="9"/>
  <c r="M55" i="9"/>
  <c r="H119" i="9"/>
  <c r="H5" i="52"/>
  <c r="C81" i="9"/>
  <c r="C105" i="9"/>
  <c r="I4" i="52"/>
  <c r="H107" i="9"/>
  <c r="D13" i="53"/>
  <c r="D14" i="53"/>
  <c r="B32" i="72"/>
  <c r="H102" i="9"/>
  <c r="C5" i="74"/>
  <c r="F118" i="9"/>
  <c r="G118" i="9"/>
  <c r="G4" i="52"/>
  <c r="B52" i="72"/>
  <c r="C72" i="9"/>
  <c r="C79" i="9"/>
  <c r="C80" i="9"/>
  <c r="E80" i="9"/>
  <c r="E81" i="9"/>
  <c r="N58" i="9"/>
  <c r="D55" i="9"/>
  <c r="M53" i="9"/>
  <c r="N57" i="9"/>
  <c r="P57" i="9"/>
  <c r="D52" i="9"/>
  <c r="I118" i="9"/>
  <c r="H118" i="9"/>
  <c r="H101" i="9"/>
  <c r="D45" i="9"/>
  <c r="D5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sharedStrings.xml><?xml version="1.0" encoding="utf-8"?>
<sst xmlns="http://schemas.openxmlformats.org/spreadsheetml/2006/main" count="8282" uniqueCount="3447">
  <si>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</si>
  <si>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</si>
  <si>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</si>
  <si>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</si>
  <si>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</si>
  <si>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</si>
  <si>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</si>
  <si>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</si>
  <si>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</si>
  <si>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</si>
  <si>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</si>
  <si>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</si>
  <si>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</si>
  <si>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</si>
  <si>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</si>
  <si>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</si>
  <si>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</si>
  <si>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</si>
  <si>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</si>
  <si>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</si>
  <si>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</si>
  <si>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</si>
  <si>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</si>
  <si>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</si>
  <si>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</si>
  <si>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</si>
  <si>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</si>
  <si>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</si>
  <si>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</si>
  <si>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</si>
  <si>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</si>
  <si>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</si>
  <si>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</si>
  <si>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</si>
  <si>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</si>
  <si>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</si>
  <si>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</si>
  <si>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</si>
  <si>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</si>
  <si>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</si>
  <si>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</si>
  <si>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</si>
  <si>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</si>
  <si>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</si>
  <si>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</si>
  <si>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</si>
  <si>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</si>
  <si>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</si>
  <si>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</si>
  <si>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</si>
  <si>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</si>
  <si>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</si>
  <si>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</si>
  <si>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</si>
  <si>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</si>
  <si>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</si>
  <si>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</si>
  <si>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</si>
  <si>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</si>
  <si>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</si>
  <si>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</si>
  <si>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</si>
  <si>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</si>
  <si>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</si>
  <si>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</si>
  <si>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</si>
  <si>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</si>
  <si>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</si>
  <si>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</si>
  <si>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</si>
  <si>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</si>
  <si>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</si>
  <si>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</si>
  <si>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</si>
  <si>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</si>
  <si>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</si>
  <si>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</si>
  <si>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</si>
  <si>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</si>
  <si>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</si>
  <si>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</si>
  <si>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</si>
  <si>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</si>
  <si>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</si>
  <si>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</si>
  <si>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</si>
  <si>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</si>
  <si>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</si>
  <si>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</si>
  <si>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</si>
  <si>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</si>
  <si>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</si>
  <si>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</si>
  <si>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</si>
  <si>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</si>
  <si>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</si>
  <si>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</si>
  <si>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</si>
  <si>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</si>
  <si>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</si>
  <si>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</si>
  <si>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</si>
  <si>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</si>
  <si>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</si>
  <si>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</si>
  <si>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</si>
  <si>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</si>
  <si>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</si>
  <si>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</si>
  <si>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</si>
  <si>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</si>
  <si>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</si>
  <si>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</si>
  <si>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</si>
  <si>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</si>
  <si>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</si>
  <si>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</si>
  <si>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</si>
  <si>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</si>
  <si>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</si>
  <si>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</si>
  <si>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</si>
  <si>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</si>
  <si>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</si>
  <si>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</si>
  <si>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</si>
  <si>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</si>
  <si>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</si>
  <si>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</si>
  <si>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</si>
  <si>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</si>
  <si>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</si>
  <si>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</si>
  <si>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</si>
  <si>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</si>
  <si>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</si>
  <si>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</si>
  <si>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</si>
  <si>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</si>
  <si>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</si>
  <si>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</si>
  <si>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</si>
  <si>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</si>
  <si>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</si>
  <si>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</si>
  <si>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</si>
  <si>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</si>
  <si>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</si>
  <si>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</si>
  <si>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</si>
  <si>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</si>
  <si>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</si>
  <si>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</si>
  <si>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</si>
  <si>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</si>
  <si>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</si>
  <si>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</si>
  <si>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</si>
  <si>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</si>
  <si>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</si>
  <si>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</si>
  <si>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</si>
  <si>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</si>
  <si>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</si>
  <si>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</si>
  <si>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</si>
  <si>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</si>
  <si>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</si>
  <si>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</si>
  <si>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</si>
  <si>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</si>
  <si>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</si>
  <si>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</si>
  <si>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</si>
  <si>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</si>
  <si>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</si>
  <si>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</si>
  <si>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</si>
  <si>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</si>
  <si>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</si>
  <si>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</si>
  <si>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</si>
  <si>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</si>
  <si>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</si>
  <si>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</si>
  <si>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</si>
  <si>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</si>
  <si>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</si>
  <si>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</si>
  <si>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</si>
  <si>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</si>
  <si>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</si>
  <si>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</si>
  <si>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</si>
  <si>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</si>
  <si>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</si>
  <si>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</si>
  <si>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</si>
  <si>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</si>
  <si>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</si>
  <si>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</si>
  <si>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</si>
  <si>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</si>
  <si>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</si>
  <si>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</si>
  <si>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</si>
  <si>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</si>
  <si>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</si>
  <si>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</si>
  <si>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</si>
  <si>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</si>
  <si>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</si>
  <si>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</si>
  <si>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</si>
  <si>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</si>
  <si>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</si>
  <si>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</si>
  <si>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</si>
  <si>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</si>
  <si>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</si>
  <si>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</si>
  <si>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</si>
  <si>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</si>
  <si>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</si>
  <si>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</si>
  <si>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</si>
  <si>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</si>
  <si>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</si>
  <si>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</si>
  <si>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</si>
  <si>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</si>
  <si>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</si>
  <si>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</si>
  <si>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</si>
  <si>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</si>
  <si>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</si>
  <si>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</si>
  <si>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</si>
  <si>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</si>
  <si>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</si>
  <si>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</si>
  <si>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</si>
  <si>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</si>
  <si>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</si>
  <si>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</si>
  <si>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</si>
  <si>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</si>
  <si>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</si>
  <si>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</si>
  <si>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</si>
  <si>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</si>
  <si>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</si>
  <si>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</si>
  <si>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</si>
  <si>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</si>
  <si>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</si>
  <si>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</si>
  <si>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</si>
  <si>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</si>
  <si>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</si>
  <si>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</si>
  <si>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</si>
  <si>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</si>
  <si>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</si>
  <si>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</si>
  <si>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</si>
  <si>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</si>
  <si>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</si>
  <si>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</si>
  <si>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</si>
  <si>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</si>
  <si>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</si>
  <si>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</si>
  <si>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</si>
  <si>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</si>
  <si>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</si>
  <si>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</si>
  <si>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</si>
  <si>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</si>
  <si>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</si>
  <si>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</si>
  <si>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</si>
  <si>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</si>
  <si>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</si>
  <si>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</si>
  <si>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</si>
  <si>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</si>
  <si>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</si>
  <si>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</si>
  <si>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</si>
  <si>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</si>
  <si>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</si>
  <si>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</si>
  <si>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</si>
  <si>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</si>
  <si>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</si>
  <si>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</si>
  <si>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</si>
  <si>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</si>
  <si>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</si>
  <si>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</si>
  <si>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</si>
  <si>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</si>
  <si>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</si>
  <si>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</si>
  <si>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</si>
  <si>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</si>
  <si>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</si>
  <si>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</si>
  <si>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</si>
  <si>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</si>
  <si>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</si>
  <si>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</si>
  <si>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</si>
  <si>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</si>
  <si>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</si>
  <si>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</si>
  <si>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</si>
  <si>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</si>
  <si>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</si>
  <si>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</si>
  <si>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</si>
  <si>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</si>
  <si>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</si>
  <si>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</si>
  <si>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</si>
  <si>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</si>
  <si>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</si>
  <si>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</si>
  <si>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</si>
  <si>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</si>
  <si>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</si>
  <si>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</si>
  <si>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</si>
  <si>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</si>
  <si>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</si>
  <si>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</si>
  <si>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</si>
  <si>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</si>
  <si>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</si>
  <si>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</si>
  <si>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</si>
  <si>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</si>
  <si>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</si>
  <si>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</si>
  <si>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</si>
  <si>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</si>
  <si>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</si>
  <si>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</si>
  <si>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</si>
  <si>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</si>
  <si>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</si>
  <si>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</si>
  <si>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</si>
  <si>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</si>
  <si>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</si>
  <si>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</si>
  <si>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</si>
  <si>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</si>
  <si>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</si>
  <si>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</si>
  <si>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</si>
  <si>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</si>
  <si>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</si>
  <si>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</si>
  <si>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</si>
  <si>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</si>
  <si>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</si>
  <si>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</si>
  <si>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</si>
  <si>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</si>
  <si>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</si>
  <si>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</si>
  <si>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</si>
  <si>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</si>
  <si>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</si>
  <si>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</si>
  <si>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</si>
  <si>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</si>
  <si>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</si>
  <si>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</si>
  <si>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</si>
  <si>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</si>
  <si>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</si>
  <si>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</si>
  <si>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</si>
  <si>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</si>
  <si>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</si>
  <si>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</si>
  <si>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</si>
  <si>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</si>
  <si>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</si>
  <si>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</si>
  <si>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</si>
  <si>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</si>
  <si>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</si>
  <si>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</si>
  <si>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</si>
  <si>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</si>
  <si>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</si>
  <si>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</si>
  <si>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</si>
  <si>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</si>
  <si>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</si>
  <si>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</si>
  <si>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</si>
  <si>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</si>
  <si>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</si>
  <si>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</si>
  <si>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</si>
  <si>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</si>
  <si>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</si>
  <si>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</si>
  <si>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</si>
  <si>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</si>
  <si>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</si>
  <si>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</si>
  <si>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</si>
  <si>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</si>
  <si>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</si>
  <si>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</si>
  <si>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</si>
  <si>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</si>
  <si>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</si>
  <si>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</si>
  <si>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</si>
  <si>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</si>
  <si>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</si>
  <si>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</si>
  <si>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</si>
  <si>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</si>
  <si>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</si>
  <si>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</si>
  <si>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</si>
  <si>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</si>
  <si>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</si>
  <si>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</si>
  <si>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</si>
  <si>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</si>
  <si>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</si>
  <si>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</si>
  <si>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</si>
  <si>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</si>
  <si>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</si>
  <si>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</si>
  <si>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</si>
  <si>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</si>
  <si>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</si>
  <si>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</si>
  <si>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</si>
  <si>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</si>
  <si>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</si>
  <si>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</si>
  <si>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</si>
  <si>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</si>
  <si>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</si>
  <si>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</si>
  <si>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</si>
  <si>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</si>
  <si>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</si>
  <si>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</si>
  <si>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</si>
  <si>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</si>
  <si>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</si>
  <si>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</si>
  <si>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</si>
  <si>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</si>
  <si>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</si>
  <si>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</si>
  <si>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</si>
  <si>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</si>
  <si>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</si>
  <si>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</si>
  <si>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</si>
  <si>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</si>
  <si>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</si>
  <si>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</si>
  <si>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</si>
  <si>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</si>
  <si>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</si>
  <si>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</si>
  <si>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</si>
  <si>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</si>
  <si>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</si>
  <si>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</si>
  <si>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</si>
  <si>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</si>
  <si>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</si>
  <si>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</si>
  <si>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</si>
  <si>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</si>
  <si>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</si>
  <si>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</si>
  <si>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</si>
  <si>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</si>
  <si>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</si>
  <si>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</si>
  <si>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</si>
  <si>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</si>
  <si>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</si>
  <si>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</si>
  <si>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</si>
  <si>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</si>
  <si>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</si>
  <si>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</si>
  <si>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</si>
  <si>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</si>
  <si>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</si>
  <si>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</si>
  <si>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</si>
  <si>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</si>
  <si>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</si>
  <si>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</si>
  <si>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</si>
  <si>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</si>
  <si>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</si>
  <si>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</si>
  <si>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</si>
  <si>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</si>
  <si>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</si>
  <si>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</si>
  <si>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</si>
  <si>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</si>
  <si>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</si>
  <si>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</si>
  <si>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</si>
  <si>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</si>
  <si>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</si>
  <si>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</si>
  <si>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</si>
  <si>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</si>
  <si>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</si>
  <si>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</si>
  <si>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</si>
  <si>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</si>
  <si>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</si>
  <si>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</si>
  <si>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</si>
  <si>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</si>
  <si>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</si>
  <si>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</si>
  <si>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</si>
  <si>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</si>
  <si>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</si>
  <si>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</si>
  <si>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</si>
  <si>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</si>
  <si>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</si>
  <si>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</si>
  <si>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</si>
  <si>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</si>
  <si>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</si>
  <si>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</si>
  <si>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</si>
  <si>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</si>
  <si>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</si>
  <si>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</si>
  <si>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</si>
  <si>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</si>
  <si>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</si>
  <si>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</si>
  <si>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</si>
  <si>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</si>
  <si>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</si>
  <si>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</si>
  <si>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</si>
  <si>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</si>
  <si>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</si>
  <si>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</si>
  <si>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</si>
  <si>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</si>
  <si>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</si>
  <si>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</si>
  <si>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</si>
  <si>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</si>
  <si>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</si>
  <si>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</si>
  <si>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</si>
  <si>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</si>
  <si>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</si>
  <si>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</si>
  <si>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</si>
  <si>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</si>
  <si>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</si>
  <si>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</si>
  <si>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</si>
  <si>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</si>
  <si>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</si>
  <si>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</si>
  <si>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</si>
  <si>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</si>
  <si>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</si>
  <si>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</si>
  <si>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</si>
  <si>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</si>
  <si>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</si>
  <si>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</si>
  <si>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</si>
  <si>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</si>
  <si>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</si>
  <si>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</si>
  <si>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</si>
  <si>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</si>
  <si>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</si>
  <si>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</si>
  <si>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</si>
  <si>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</si>
  <si>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</si>
  <si>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</si>
  <si>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</si>
  <si>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</si>
  <si>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</si>
  <si>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</si>
  <si>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</si>
  <si>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</si>
  <si>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</si>
  <si>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</si>
  <si>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</si>
  <si>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</si>
  <si>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</si>
  <si>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</si>
  <si>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</si>
  <si>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</si>
  <si>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</si>
  <si>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</si>
  <si>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</si>
  <si>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</si>
  <si>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</si>
  <si>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</si>
  <si>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</si>
  <si>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</si>
  <si>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</si>
  <si>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</si>
  <si>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</si>
  <si>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</si>
  <si>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</si>
  <si>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</si>
  <si>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</si>
  <si>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</si>
  <si>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</si>
  <si>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</si>
  <si>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</si>
  <si>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</si>
  <si>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</si>
  <si>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</si>
  <si>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</si>
  <si>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</si>
  <si>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</si>
  <si>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</si>
  <si>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</si>
  <si>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</si>
  <si>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</si>
  <si>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</si>
  <si>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</si>
  <si>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</si>
  <si>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</si>
  <si>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</si>
  <si>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</si>
  <si>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</si>
  <si>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</si>
  <si>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</si>
  <si>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</si>
  <si>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</si>
  <si>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</si>
  <si>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</si>
  <si>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</si>
  <si>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</si>
  <si>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</si>
  <si>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</si>
  <si>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</si>
  <si>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</si>
  <si>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</si>
  <si>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</si>
  <si>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</si>
  <si>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</si>
  <si>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</si>
  <si>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</si>
  <si>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</si>
  <si>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</si>
  <si>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</si>
  <si>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</si>
  <si>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</si>
  <si>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</si>
  <si>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</si>
  <si>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</si>
  <si>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</si>
  <si>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</si>
  <si>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</si>
  <si>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</si>
  <si>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</si>
  <si>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</si>
  <si>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</si>
  <si>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</si>
  <si>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</si>
  <si>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</si>
  <si>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</si>
  <si>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</si>
  <si>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</si>
  <si>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</si>
  <si>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</si>
  <si>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</si>
  <si>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</si>
  <si>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</si>
  <si>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</si>
  <si>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</si>
  <si>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</si>
  <si>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</si>
  <si>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</si>
  <si>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</si>
  <si>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</si>
  <si>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</si>
  <si>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</si>
  <si>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</si>
  <si>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</si>
  <si>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</si>
  <si>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</si>
  <si>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</si>
  <si>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</si>
  <si>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</si>
  <si>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</si>
  <si>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</si>
  <si>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</si>
  <si>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</si>
  <si>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</si>
  <si>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</si>
  <si>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</si>
  <si>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</si>
  <si>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</si>
  <si>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</si>
  <si>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</si>
  <si>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</si>
  <si>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</si>
  <si>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</si>
  <si>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</si>
  <si>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</si>
  <si>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</si>
  <si>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</si>
  <si>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</si>
  <si>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</si>
  <si>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</si>
  <si>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</si>
  <si>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</si>
  <si>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</si>
  <si>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</si>
  <si>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</si>
  <si>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</si>
  <si>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</si>
  <si>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</si>
  <si>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</si>
  <si>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</si>
  <si>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</si>
  <si>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</si>
  <si>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</si>
  <si>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</si>
  <si>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</si>
  <si>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</si>
  <si>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</si>
  <si>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</si>
  <si>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</si>
  <si>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</si>
  <si>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</si>
  <si>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</si>
  <si>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</si>
  <si>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</si>
  <si>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</si>
  <si>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</si>
  <si>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</si>
  <si>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</si>
  <si>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</si>
  <si>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</si>
  <si>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</si>
  <si>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</si>
  <si>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</si>
  <si>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</si>
  <si>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</si>
  <si>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</si>
  <si>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</si>
  <si>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</si>
  <si>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</si>
  <si>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</si>
  <si>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</si>
  <si>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</si>
  <si>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</si>
  <si>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</si>
  <si>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</si>
  <si>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</si>
  <si>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</si>
  <si>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</si>
  <si>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</si>
  <si>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</si>
  <si>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</si>
  <si>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</si>
  <si>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</si>
  <si>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</si>
  <si>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</si>
  <si>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</si>
  <si>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</si>
  <si>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</si>
  <si>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</si>
  <si>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</si>
  <si>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</si>
  <si>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</si>
  <si>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</si>
  <si>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</si>
  <si>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</si>
  <si>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</si>
  <si>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</si>
  <si>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</si>
  <si>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</si>
  <si>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</si>
  <si>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</si>
  <si>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</si>
  <si>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</si>
  <si>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</si>
  <si>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</si>
  <si>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</si>
  <si>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</si>
  <si>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</si>
  <si>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</si>
  <si>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</si>
  <si>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</si>
  <si>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</si>
  <si>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</si>
  <si>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</si>
  <si>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</si>
  <si>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</si>
  <si>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</si>
  <si>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</si>
  <si>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</si>
  <si>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</si>
  <si>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</si>
  <si>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</si>
  <si>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</si>
  <si>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</si>
  <si>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</si>
  <si>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</si>
  <si>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</si>
  <si>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</si>
  <si>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</si>
  <si>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</si>
  <si>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</si>
  <si>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</si>
  <si>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</si>
  <si>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</si>
  <si>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</si>
  <si>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</si>
  <si>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</si>
  <si>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</si>
  <si>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</si>
  <si>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</si>
  <si>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</si>
  <si>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</si>
  <si>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</si>
  <si>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</si>
  <si>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</si>
  <si>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</si>
  <si>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</si>
  <si>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</si>
  <si>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</si>
  <si>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</si>
  <si>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</si>
  <si>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</si>
  <si>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</si>
  <si>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</si>
  <si>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</si>
  <si>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</si>
  <si>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</si>
  <si>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</si>
  <si>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</si>
  <si>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</si>
  <si>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</si>
  <si>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</si>
  <si>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</si>
  <si>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</si>
  <si>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</si>
  <si>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</si>
  <si>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</si>
  <si>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</si>
  <si>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</si>
  <si>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</si>
  <si>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</si>
  <si>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</si>
  <si>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</si>
  <si>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</si>
  <si>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</si>
  <si>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</si>
  <si>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</si>
  <si>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</si>
  <si>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</si>
  <si>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</si>
  <si>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</si>
  <si>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</si>
  <si>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</si>
  <si>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</si>
  <si>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</si>
  <si>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</si>
  <si>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</si>
  <si>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</si>
  <si>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</si>
  <si>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</si>
  <si>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</si>
  <si>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</si>
  <si>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</si>
  <si>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</si>
  <si>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</si>
  <si>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</si>
  <si>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</si>
  <si>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</si>
  <si>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</si>
  <si>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</si>
  <si>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</si>
  <si>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</si>
  <si>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</si>
  <si>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</si>
  <si>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</si>
  <si>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</si>
  <si>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</si>
  <si>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</si>
  <si>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</si>
  <si>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</si>
  <si>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</si>
  <si>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</si>
  <si>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</si>
  <si>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</si>
  <si>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</si>
  <si>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</si>
  <si>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</si>
  <si>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</si>
  <si>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</si>
  <si>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</si>
  <si>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</si>
  <si>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</si>
  <si>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</si>
  <si>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</si>
  <si>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</si>
  <si>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</si>
  <si>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</si>
  <si>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</si>
  <si>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</si>
  <si>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</si>
  <si>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</si>
  <si>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</si>
  <si>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</si>
  <si>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</si>
  <si>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</si>
  <si>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</si>
  <si>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</si>
  <si>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</si>
  <si>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</si>
  <si>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</si>
  <si>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</si>
  <si>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</si>
  <si>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</si>
  <si>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</si>
  <si>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</si>
  <si>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</si>
  <si>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</si>
  <si>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</si>
  <si>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</si>
  <si>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</si>
  <si>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</si>
  <si>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</si>
  <si>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</si>
  <si>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</si>
  <si>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</si>
  <si>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</si>
  <si>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</si>
  <si>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</si>
  <si>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</si>
  <si>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</si>
  <si>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</si>
  <si>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</si>
  <si>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</si>
  <si>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</si>
  <si>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</si>
  <si>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</si>
  <si>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</si>
  <si>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</si>
  <si>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</si>
  <si>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</si>
  <si>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</si>
  <si>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</si>
  <si>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</si>
  <si>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</si>
  <si>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</si>
  <si>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</si>
  <si>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</si>
  <si>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</si>
  <si>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</si>
  <si>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</si>
  <si>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</si>
  <si>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</si>
  <si>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</si>
  <si>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</si>
  <si>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</si>
  <si>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</si>
  <si>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</si>
  <si>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</si>
  <si>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</si>
  <si>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</si>
  <si>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</si>
  <si>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</si>
  <si>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</si>
  <si>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</si>
  <si>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</si>
  <si>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</si>
  <si>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</si>
  <si>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</si>
  <si>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</si>
  <si>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</si>
  <si>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</si>
  <si>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</si>
  <si>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</si>
  <si>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</si>
  <si>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</si>
  <si>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</si>
  <si>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</si>
  <si>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</si>
  <si>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</si>
  <si>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</si>
  <si>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</si>
  <si>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</si>
  <si>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</si>
  <si>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</si>
  <si>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</si>
  <si>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</si>
  <si>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</si>
  <si>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</si>
  <si>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</si>
  <si>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</si>
  <si>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</si>
  <si>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</si>
  <si>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</si>
  <si>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</si>
  <si>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</si>
  <si>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</si>
  <si>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</si>
  <si>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</si>
  <si>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</si>
  <si>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</si>
  <si>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</si>
  <si>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</si>
  <si>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</si>
  <si>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</si>
  <si>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</si>
  <si>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</si>
  <si>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</si>
  <si>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</si>
  <si>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</si>
  <si>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</si>
  <si>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</si>
  <si>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</si>
  <si>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</si>
  <si>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</si>
  <si>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</si>
  <si>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</si>
  <si>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</si>
  <si>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</si>
  <si>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</si>
  <si>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</si>
  <si>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</si>
  <si>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</si>
  <si>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</si>
  <si>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</si>
  <si>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</si>
  <si>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</si>
  <si>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</si>
  <si>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</si>
  <si>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</si>
  <si>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</si>
  <si>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</si>
  <si>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</si>
  <si>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</si>
  <si>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</si>
  <si>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</si>
  <si>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</si>
  <si>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</si>
  <si>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</si>
  <si>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</si>
  <si>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</si>
  <si>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</si>
  <si>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</si>
  <si>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</si>
  <si>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</si>
  <si>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</si>
  <si>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</si>
  <si>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</si>
  <si>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</si>
  <si>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</si>
  <si>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</si>
  <si>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</si>
  <si>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</si>
  <si>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</si>
  <si>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</si>
  <si>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</si>
  <si>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</si>
  <si>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</si>
  <si>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</si>
  <si>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</si>
  <si>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</si>
  <si>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</si>
  <si>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</si>
  <si>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</si>
  <si>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</si>
  <si>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</si>
  <si>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</si>
  <si>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</si>
  <si>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</si>
  <si>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</si>
  <si>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</si>
  <si>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</si>
  <si>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</si>
  <si>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</si>
  <si>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</si>
  <si>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</si>
  <si>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</si>
  <si>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</si>
  <si>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</si>
  <si>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</si>
  <si>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</si>
  <si>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</si>
  <si>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</si>
  <si>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</si>
  <si>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</si>
  <si>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</si>
  <si>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</si>
  <si>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</si>
  <si>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</si>
  <si>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</si>
  <si>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</si>
  <si>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</si>
  <si>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</si>
  <si>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</si>
  <si>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</si>
  <si>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</si>
  <si>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</si>
  <si>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</si>
  <si>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</si>
  <si>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</si>
  <si>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</si>
  <si>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</si>
  <si>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</si>
  <si>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</si>
  <si>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</si>
  <si>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</si>
  <si>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</si>
  <si>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</si>
  <si>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</si>
  <si>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</si>
  <si>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</si>
  <si>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</si>
  <si>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</si>
  <si>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</si>
  <si>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</si>
  <si>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</si>
  <si>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</si>
  <si>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</si>
  <si>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</si>
  <si>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</si>
  <si>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</si>
  <si>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</si>
  <si>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</si>
  <si>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</si>
  <si>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</si>
  <si>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</si>
  <si>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</si>
  <si>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</si>
  <si>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</si>
  <si>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</si>
  <si>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</si>
  <si>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</si>
  <si>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</si>
  <si>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</si>
  <si>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</si>
  <si>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</si>
  <si>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</si>
  <si>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</si>
  <si>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</si>
  <si>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</si>
  <si>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</si>
  <si>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</si>
  <si>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</si>
  <si>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</si>
  <si>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</si>
  <si>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</si>
  <si>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</si>
  <si>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</si>
  <si>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</si>
  <si>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</si>
  <si>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</si>
  <si>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</si>
  <si>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</si>
  <si>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</si>
  <si>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</si>
  <si>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</si>
  <si>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</si>
  <si>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</si>
  <si>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</si>
  <si>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</si>
  <si>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</si>
  <si>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</si>
  <si>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</si>
  <si>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</si>
  <si>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</si>
  <si>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</si>
  <si>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</si>
  <si>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</si>
  <si>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</si>
  <si>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</si>
  <si>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</si>
  <si>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</si>
  <si>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</si>
  <si>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</si>
  <si>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</si>
  <si>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</si>
  <si>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</si>
  <si>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</si>
  <si>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</si>
  <si>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</si>
  <si>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</si>
  <si>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</si>
  <si>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</si>
  <si>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</si>
  <si>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</si>
  <si>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</si>
  <si>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</si>
  <si>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</si>
  <si>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</si>
  <si>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</si>
  <si>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</si>
  <si>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</si>
  <si>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</si>
  <si>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</si>
  <si>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</si>
  <si>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</si>
  <si>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</si>
  <si>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</si>
  <si>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</si>
  <si>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</si>
  <si>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</si>
  <si>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</si>
  <si>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</si>
  <si>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</si>
  <si>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</si>
  <si>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</si>
  <si>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</si>
  <si>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</si>
  <si>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</si>
  <si>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</si>
  <si>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</si>
  <si>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</si>
  <si>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</si>
  <si>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</si>
  <si>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</si>
  <si>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</si>
  <si>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</si>
  <si>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</si>
  <si>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</si>
  <si>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</si>
  <si>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</si>
  <si>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</si>
  <si>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</si>
  <si>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</si>
  <si>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</si>
  <si>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</si>
  <si>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</si>
  <si>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</si>
  <si>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</si>
  <si>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</si>
  <si>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</si>
  <si>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</si>
  <si>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</si>
  <si>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</si>
  <si>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</si>
  <si>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</si>
  <si>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</si>
  <si>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</si>
  <si>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</si>
  <si>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</si>
  <si>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</si>
  <si>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</si>
  <si>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</si>
  <si>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</si>
  <si>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</si>
  <si>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</si>
  <si>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</si>
  <si>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</si>
  <si>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</si>
  <si>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</si>
  <si>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</si>
  <si>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</si>
  <si>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</si>
  <si>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</si>
  <si>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</si>
  <si>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</si>
  <si>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</si>
  <si>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</si>
  <si>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</si>
  <si>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</si>
  <si>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</si>
  <si>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</si>
  <si>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</si>
  <si>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</si>
  <si>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</si>
  <si>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</si>
  <si>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</si>
  <si>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</si>
  <si>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</si>
  <si>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</si>
  <si>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</si>
  <si>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</si>
  <si>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</si>
  <si>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</si>
  <si>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</si>
  <si>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</si>
  <si>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</si>
  <si>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</si>
  <si>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</si>
  <si>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</si>
  <si>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</si>
  <si>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</si>
  <si>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</si>
  <si>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</si>
  <si>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</si>
  <si>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</si>
  <si>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</si>
  <si>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</si>
  <si>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</si>
  <si>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</si>
  <si>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</si>
  <si>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</si>
  <si>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</si>
  <si>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</si>
  <si>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</si>
  <si>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</si>
  <si>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</si>
  <si>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</si>
  <si>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</si>
  <si>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</si>
  <si>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</si>
  <si>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</si>
  <si>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</si>
  <si>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</si>
  <si>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</si>
  <si>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</si>
  <si>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</si>
  <si>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</si>
  <si>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</si>
  <si>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</si>
  <si>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</si>
  <si>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</si>
  <si>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</si>
  <si>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</si>
  <si>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</si>
  <si>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</si>
  <si>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</si>
  <si>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</si>
  <si>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</si>
  <si>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</si>
  <si>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</si>
  <si>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</si>
  <si>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</si>
  <si>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</si>
  <si>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</si>
  <si>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</si>
  <si>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</si>
  <si>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</si>
  <si>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</si>
  <si>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</si>
  <si>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</si>
  <si>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</si>
  <si>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</si>
  <si>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</si>
  <si>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</si>
  <si>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</si>
  <si>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</si>
  <si>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</si>
  <si>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</si>
  <si>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</si>
  <si>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</si>
  <si>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</si>
  <si>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</si>
  <si>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</si>
  <si>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</si>
  <si>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</si>
  <si>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</si>
  <si>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</si>
  <si>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</si>
  <si>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</si>
  <si>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</si>
  <si>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</si>
  <si>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</si>
  <si>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</si>
  <si>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</si>
  <si>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</si>
  <si>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</si>
  <si>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</si>
  <si>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</si>
  <si>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</si>
  <si>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</si>
  <si>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</si>
  <si>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</si>
  <si>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</si>
  <si>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</si>
  <si>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</si>
  <si>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</si>
  <si>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</si>
  <si>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</si>
  <si>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</si>
  <si>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</si>
  <si>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</si>
  <si>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</si>
  <si>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</si>
  <si>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</si>
  <si>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</si>
  <si>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</si>
  <si>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</si>
  <si>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</si>
  <si>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</si>
  <si>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</si>
  <si>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</si>
  <si>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</si>
  <si>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</si>
  <si>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</si>
  <si>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</si>
  <si>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</si>
  <si>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</si>
  <si>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</si>
  <si>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</si>
  <si>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</si>
  <si>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</si>
  <si>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</si>
  <si>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</si>
  <si>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</si>
  <si>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</si>
  <si>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</si>
  <si>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</si>
  <si>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</si>
  <si>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</si>
  <si>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</si>
  <si>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</si>
  <si>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</si>
  <si>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</si>
  <si>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</si>
  <si>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</si>
  <si>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</si>
  <si>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</si>
  <si>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</si>
  <si>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</si>
  <si>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</si>
  <si>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</si>
  <si>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</si>
  <si>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</si>
  <si>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</si>
  <si>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</si>
  <si>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</si>
  <si>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</si>
  <si>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</si>
  <si>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</si>
  <si>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</si>
  <si>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</si>
  <si>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</si>
  <si>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</si>
  <si>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</si>
  <si>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</si>
  <si>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</si>
  <si>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</si>
  <si>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</si>
  <si>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</si>
  <si>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</si>
  <si>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</si>
  <si>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</si>
  <si>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</si>
  <si>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</si>
  <si>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</si>
  <si>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</si>
  <si>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</si>
  <si>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</si>
  <si>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</si>
  <si>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</si>
  <si>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</si>
  <si>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</si>
  <si>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</si>
  <si>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</si>
  <si>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</si>
  <si>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</si>
  <si>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</si>
  <si>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</si>
  <si>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</si>
  <si>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</si>
  <si>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</si>
  <si>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</si>
  <si>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</si>
  <si>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</si>
  <si>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</si>
  <si>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</si>
  <si>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</si>
  <si>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</si>
  <si>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</si>
  <si>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</si>
  <si>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</si>
  <si>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</si>
  <si>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</si>
  <si>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</si>
  <si>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</si>
  <si>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</si>
  <si>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</si>
  <si>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</si>
  <si>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</si>
  <si>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</si>
  <si>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</si>
  <si>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</si>
  <si>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</si>
  <si>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</si>
  <si>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</si>
  <si>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</si>
  <si>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</si>
  <si>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</si>
  <si>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</si>
  <si>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</si>
  <si>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</si>
  <si>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</si>
  <si>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</si>
  <si>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</si>
  <si>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</si>
  <si>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</si>
  <si>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</si>
  <si>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</si>
  <si>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</si>
  <si>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</si>
  <si>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</si>
  <si>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</si>
  <si>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</si>
  <si>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</si>
  <si>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</si>
  <si>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</si>
  <si>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</si>
  <si>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</si>
  <si>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</si>
  <si>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</si>
  <si>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</si>
  <si>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</si>
  <si>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</si>
  <si>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</si>
  <si>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</si>
  <si>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</si>
  <si>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</si>
  <si>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</si>
  <si>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</si>
  <si>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</si>
  <si>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</si>
  <si>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</si>
  <si>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</si>
  <si>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</si>
  <si>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</si>
  <si>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</si>
  <si>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</si>
  <si>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</si>
  <si>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</si>
  <si>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</si>
  <si>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</si>
  <si>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</si>
  <si>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</si>
  <si>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</si>
  <si>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</si>
  <si>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</si>
  <si>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</si>
  <si>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</si>
  <si>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</si>
  <si>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</si>
  <si>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</si>
  <si>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</si>
  <si>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</si>
  <si>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</si>
  <si>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</si>
  <si>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</si>
  <si>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</si>
  <si>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</si>
  <si>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</si>
  <si>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</si>
  <si>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</si>
  <si>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</si>
  <si>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</si>
  <si>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</si>
  <si>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</si>
  <si>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</si>
  <si>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</si>
  <si>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</si>
  <si>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</si>
  <si>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</si>
  <si>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</si>
  <si>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</si>
  <si>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</si>
  <si>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</si>
  <si>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</si>
  <si>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</si>
  <si>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</si>
  <si>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</si>
  <si>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</si>
  <si>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</si>
  <si>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</si>
  <si>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</si>
  <si>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</si>
  <si>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</si>
  <si>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</si>
  <si>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</si>
  <si>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</si>
  <si>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</si>
  <si>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</si>
  <si>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</si>
  <si>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</si>
  <si>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</si>
  <si>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</si>
  <si>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</si>
  <si>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</si>
  <si>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</si>
  <si>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</si>
  <si>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</si>
  <si>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</si>
  <si>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</si>
  <si>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</si>
  <si>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</si>
  <si>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</si>
  <si>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</si>
  <si>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</si>
  <si>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</si>
  <si>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</si>
  <si>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</si>
  <si>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</si>
  <si>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</si>
  <si>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</si>
  <si>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</si>
  <si>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</si>
  <si>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</si>
  <si>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</si>
  <si>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</si>
  <si>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</si>
  <si>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</si>
  <si>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</si>
  <si>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</si>
  <si>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</si>
  <si>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</si>
  <si>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</si>
  <si>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</si>
  <si>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</si>
  <si>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</si>
  <si>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</si>
  <si>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</si>
  <si>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</si>
  <si>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</si>
  <si>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</si>
  <si>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</si>
  <si>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</si>
  <si>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</si>
  <si>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</si>
  <si>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</si>
  <si>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</si>
  <si>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</si>
  <si>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</si>
  <si>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</si>
  <si>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</si>
  <si>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</si>
  <si>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</si>
  <si>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</si>
  <si>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</si>
  <si>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</si>
  <si>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</si>
  <si>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</si>
  <si>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</si>
  <si>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</si>
  <si>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</si>
  <si>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</si>
  <si>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</si>
  <si>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</si>
  <si>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</si>
  <si>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</si>
  <si>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</si>
  <si>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</si>
  <si>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</si>
  <si>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</si>
  <si>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</si>
  <si>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</si>
  <si>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</si>
  <si>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</si>
  <si>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</si>
  <si>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</si>
  <si>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</si>
  <si>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</si>
  <si>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</si>
  <si>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</si>
  <si>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</si>
  <si>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</si>
  <si>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</si>
  <si>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</si>
  <si>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</si>
  <si>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</si>
  <si>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</si>
  <si>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</si>
  <si>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</si>
  <si>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</si>
  <si>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</si>
  <si>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</si>
  <si>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</si>
  <si>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</si>
  <si>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</si>
  <si>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</si>
  <si>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</si>
  <si>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</si>
  <si>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</si>
  <si>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</si>
  <si>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</si>
  <si>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</si>
  <si>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</si>
  <si>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</si>
  <si>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</si>
  <si>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</si>
  <si>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</si>
  <si>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</si>
  <si>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</si>
  <si>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</si>
  <si>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</si>
  <si>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</si>
  <si>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</si>
  <si>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</si>
  <si>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</si>
  <si>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</si>
  <si>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</si>
  <si>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</si>
  <si>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</si>
  <si>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</si>
  <si>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</si>
  <si>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</si>
  <si>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</si>
  <si>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</si>
  <si>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</si>
  <si>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</si>
  <si>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</si>
  <si>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</si>
  <si>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</si>
  <si>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</si>
  <si>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</si>
  <si>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</si>
  <si>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</si>
  <si>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</si>
  <si>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</si>
  <si>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</si>
  <si>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</si>
  <si>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</si>
  <si>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</si>
  <si>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</si>
  <si>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</si>
  <si>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</si>
  <si>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</si>
  <si>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</si>
  <si>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</si>
  <si>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</si>
  <si>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</si>
  <si>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</si>
  <si>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</si>
  <si>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</si>
  <si>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</si>
  <si>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</si>
  <si>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</si>
  <si>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</si>
  <si>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</si>
  <si>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</si>
  <si>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</si>
  <si>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</si>
  <si>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</si>
  <si>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</si>
  <si>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</si>
  <si>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</si>
  <si>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</si>
  <si>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</si>
  <si>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</si>
  <si>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</si>
  <si>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</si>
  <si>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</si>
  <si>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</si>
  <si>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</si>
  <si>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</si>
  <si>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</si>
  <si>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</si>
  <si>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</si>
  <si>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</si>
  <si>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</si>
  <si>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</si>
  <si>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</si>
  <si>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</si>
  <si>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</si>
  <si>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</si>
  <si>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</si>
  <si>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</si>
  <si>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</si>
  <si>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</si>
  <si>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</si>
  <si>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</si>
  <si>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</si>
  <si>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</si>
  <si>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</si>
  <si>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</si>
  <si>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</si>
  <si>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</si>
  <si>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</si>
  <si>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</si>
  <si>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</si>
  <si>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</si>
  <si>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</si>
  <si>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</si>
  <si>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</si>
  <si>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</si>
  <si>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</si>
  <si>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</si>
  <si>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</si>
  <si>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</si>
  <si>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</si>
  <si>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</si>
  <si>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</si>
  <si>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</si>
  <si>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</si>
  <si>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</si>
  <si>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</si>
  <si>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</si>
  <si>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</si>
  <si>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</si>
  <si>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</si>
  <si>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</si>
  <si>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</si>
  <si>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</si>
  <si>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</si>
  <si>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</si>
  <si>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</si>
  <si>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</si>
  <si>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</si>
  <si>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</si>
  <si>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</si>
  <si>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</si>
  <si>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</si>
  <si>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</si>
  <si>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</si>
  <si>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</si>
  <si>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</si>
  <si>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</si>
  <si>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</si>
  <si>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</si>
  <si>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</si>
  <si>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</si>
  <si>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</si>
  <si>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</si>
  <si>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</si>
  <si>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</si>
  <si>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</si>
  <si>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</si>
  <si>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</si>
  <si>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</si>
  <si>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</si>
  <si>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</si>
  <si>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</si>
  <si>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</si>
  <si>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</si>
  <si>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</si>
  <si>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</si>
  <si>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</si>
  <si>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</si>
  <si>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</si>
  <si>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</si>
  <si>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</si>
  <si>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</si>
  <si>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</si>
  <si>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</si>
  <si>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</si>
  <si>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</si>
  <si>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</si>
  <si>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</si>
  <si>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</si>
  <si>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</si>
  <si>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</si>
  <si>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</si>
  <si>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</si>
  <si>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</si>
  <si>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</si>
  <si>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</si>
  <si>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</si>
  <si>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</si>
  <si>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</si>
  <si>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</si>
  <si>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</si>
  <si>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</si>
  <si>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</si>
  <si>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</si>
  <si>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</si>
  <si>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</si>
  <si>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</si>
  <si>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</si>
  <si>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</si>
  <si>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</si>
  <si>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</si>
  <si>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</si>
  <si>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</si>
  <si>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</si>
  <si>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</si>
  <si>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</si>
  <si>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</si>
  <si>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</si>
  <si>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</si>
  <si>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</si>
  <si>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</si>
  <si>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</si>
  <si>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</si>
  <si>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</si>
  <si>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</si>
  <si>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</si>
  <si>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</si>
  <si>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</si>
  <si>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</si>
  <si>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</si>
  <si>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</si>
  <si>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</si>
  <si>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</si>
  <si>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</si>
  <si>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</si>
  <si>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</si>
  <si>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</si>
  <si>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</si>
  <si>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</si>
  <si>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</si>
  <si>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</si>
  <si>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</si>
  <si>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</si>
  <si>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</si>
  <si>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</si>
  <si>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</si>
  <si>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</si>
  <si>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</si>
  <si>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</si>
  <si>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</si>
  <si>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</si>
  <si>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</si>
  <si>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</si>
  <si>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</si>
  <si>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</si>
  <si>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</si>
  <si>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</si>
  <si>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</si>
  <si>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</si>
  <si>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</si>
  <si>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</si>
  <si>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</si>
  <si>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</si>
  <si>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</si>
  <si>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</si>
  <si>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</si>
  <si>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</si>
  <si>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</si>
  <si>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</si>
  <si>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</si>
  <si>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</si>
  <si>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</si>
  <si>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</si>
  <si>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</si>
  <si>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</si>
  <si>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</si>
  <si>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</si>
  <si>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</si>
  <si>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</si>
  <si>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</si>
  <si>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</si>
  <si>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</si>
  <si>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</si>
  <si>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</si>
  <si>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</si>
  <si>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</si>
  <si>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</si>
  <si>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</si>
  <si>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</si>
  <si>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</si>
  <si>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</si>
  <si>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</si>
  <si>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</si>
  <si>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</si>
  <si>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</si>
  <si>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</si>
  <si>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</si>
  <si>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</si>
  <si>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</si>
  <si>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</si>
  <si>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</si>
  <si>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</si>
  <si>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</si>
  <si>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</si>
  <si>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</si>
  <si>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</si>
  <si>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</si>
  <si>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</si>
  <si>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</si>
  <si>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</si>
  <si>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</si>
  <si>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</si>
  <si>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</si>
  <si>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</si>
  <si>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</si>
  <si>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</si>
  <si>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</si>
  <si>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</si>
  <si>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</si>
  <si>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</si>
  <si>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</si>
  <si>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</si>
  <si>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</si>
  <si>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</si>
  <si>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</si>
  <si>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</si>
  <si>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</si>
  <si>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</si>
  <si>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</si>
  <si>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</si>
  <si>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</si>
  <si>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</si>
  <si>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</si>
  <si>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</si>
  <si>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</si>
  <si>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</si>
  <si>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</si>
  <si>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</si>
  <si>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</si>
  <si>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</si>
  <si>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</si>
  <si>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</si>
  <si>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</si>
  <si>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</si>
  <si>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</si>
  <si>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</si>
  <si>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</si>
  <si>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</si>
  <si>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</si>
  <si>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</si>
  <si>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</si>
  <si>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</si>
  <si>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</si>
  <si>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</si>
  <si>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</si>
  <si>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</si>
  <si>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</si>
  <si>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</si>
  <si>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</si>
  <si>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</si>
  <si>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</si>
  <si>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</si>
  <si>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</si>
  <si>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</si>
  <si>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</si>
  <si>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</si>
  <si>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</si>
  <si>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</si>
  <si>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</si>
  <si>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</si>
  <si>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</si>
  <si>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</si>
  <si>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</si>
  <si>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</si>
  <si>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</si>
  <si>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</si>
  <si>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</si>
  <si>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</si>
  <si>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</si>
  <si>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</si>
  <si>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</si>
  <si>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</si>
  <si>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</si>
  <si>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</si>
  <si>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</si>
  <si>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</si>
  <si>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</si>
  <si>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</si>
  <si>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</si>
  <si>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</si>
  <si>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</si>
  <si>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</si>
  <si>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</si>
  <si>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</si>
  <si>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</si>
  <si>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</si>
  <si>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</si>
  <si>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</si>
  <si>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</si>
  <si>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</si>
  <si>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</si>
  <si>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</si>
  <si>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</si>
  <si>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</si>
  <si>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</si>
  <si>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</si>
  <si>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</si>
  <si>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</si>
  <si>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</si>
  <si>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</si>
  <si>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</si>
  <si>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</si>
  <si>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</si>
  <si>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</si>
  <si>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</si>
  <si>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</si>
  <si>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</si>
  <si>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</si>
  <si>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</si>
  <si>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</si>
  <si>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</si>
  <si>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</si>
  <si>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</si>
  <si>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</si>
  <si>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</si>
  <si>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</si>
  <si>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</si>
  <si>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</si>
  <si>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</si>
  <si>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</si>
  <si>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</si>
  <si>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</si>
  <si>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</si>
  <si>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</si>
  <si>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</si>
  <si>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</si>
  <si>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</si>
  <si>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</si>
  <si>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</si>
  <si>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</si>
  <si>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</si>
  <si>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</si>
  <si>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</si>
  <si>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</si>
  <si>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</si>
  <si>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</si>
  <si>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</si>
  <si>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</si>
  <si>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</si>
  <si>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</si>
  <si>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</si>
  <si>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</si>
  <si>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</si>
  <si>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</si>
  <si>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</si>
  <si>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</si>
  <si>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</si>
  <si>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</si>
  <si>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</si>
  <si>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</si>
  <si>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</si>
  <si>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</si>
  <si>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</si>
  <si>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</si>
  <si>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</si>
  <si>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</si>
  <si>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</si>
  <si>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</si>
  <si>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</si>
  <si>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</si>
  <si>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</si>
  <si>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</si>
  <si>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</si>
  <si>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</si>
  <si>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</si>
  <si>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</si>
  <si>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</si>
  <si>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</si>
  <si>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</si>
  <si>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</si>
  <si>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</si>
  <si>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</si>
  <si>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</si>
  <si>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</si>
  <si>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</si>
  <si>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</si>
  <si>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</si>
  <si>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</si>
  <si>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</si>
  <si>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</si>
  <si>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</si>
  <si>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</si>
  <si>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</si>
  <si>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</si>
  <si>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</si>
  <si>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</si>
  <si>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</si>
  <si>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</si>
  <si>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</si>
  <si>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</si>
  <si>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</si>
  <si>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</si>
  <si>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</si>
  <si>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</si>
  <si>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</si>
  <si>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</si>
  <si>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</si>
  <si>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</si>
  <si>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</si>
  <si>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</si>
  <si>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</si>
  <si>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</si>
  <si>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</si>
  <si>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</si>
  <si>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</si>
  <si>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</si>
  <si>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</si>
  <si>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</si>
  <si>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</si>
  <si>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</si>
  <si>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</si>
  <si>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</si>
  <si>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</si>
  <si>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</si>
  <si>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</si>
  <si>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</si>
  <si>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</si>
  <si>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</si>
  <si>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</si>
  <si>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</si>
  <si>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</si>
  <si>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</si>
  <si>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</si>
  <si>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</si>
  <si>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</si>
  <si>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</si>
  <si>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</si>
  <si>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</si>
  <si>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</si>
  <si>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</si>
  <si>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</si>
  <si>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</si>
  <si>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</si>
  <si>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</si>
  <si>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</si>
  <si>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</si>
  <si>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</si>
  <si>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</si>
  <si>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</si>
  <si>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</si>
  <si>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</si>
  <si>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</si>
  <si>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</si>
  <si>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</si>
  <si>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</si>
  <si>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</si>
  <si>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</si>
  <si>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</si>
  <si>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</si>
  <si>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</si>
  <si>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</si>
  <si>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</si>
  <si>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</si>
  <si>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</si>
  <si>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</si>
  <si>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</si>
  <si>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</si>
  <si>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</si>
  <si>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</si>
  <si>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</si>
  <si>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</si>
  <si>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</si>
  <si>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</si>
  <si>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</si>
  <si>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</si>
  <si>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</si>
  <si>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</si>
  <si>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</si>
  <si>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</si>
  <si>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</si>
  <si>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</si>
  <si>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</si>
  <si>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</si>
  <si>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</si>
  <si>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</si>
  <si>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</si>
  <si>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</si>
  <si>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</si>
  <si>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</si>
  <si>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</si>
  <si>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</si>
  <si>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</si>
  <si>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</si>
  <si>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</si>
  <si>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</si>
  <si>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</si>
  <si>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</si>
  <si>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</si>
  <si>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</si>
  <si>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</si>
  <si>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</si>
  <si>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</si>
  <si>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</si>
  <si>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</si>
  <si>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</si>
  <si>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</si>
  <si>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</si>
  <si>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</si>
  <si>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</si>
  <si>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</si>
  <si>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</si>
  <si>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</si>
  <si>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</si>
  <si>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</si>
  <si>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</si>
  <si>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</si>
  <si>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</si>
  <si>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</si>
  <si>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</si>
  <si>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</si>
  <si>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</si>
  <si>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</si>
  <si>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</si>
  <si>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</si>
  <si>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</si>
  <si>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</si>
  <si>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</si>
  <si>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</si>
  <si>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</si>
  <si>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</si>
  <si>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</si>
  <si>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</si>
  <si>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</si>
  <si>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</si>
  <si>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</si>
  <si>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</si>
  <si>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</si>
  <si>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</si>
  <si>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</si>
  <si>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</si>
  <si>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</si>
  <si>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</si>
  <si>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</si>
  <si>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</si>
  <si>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</si>
  <si>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</si>
  <si>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</si>
  <si>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</si>
  <si>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</si>
  <si>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</si>
  <si>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</si>
  <si>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</si>
  <si>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</si>
  <si>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</si>
  <si>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</si>
  <si>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</si>
  <si>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</si>
  <si>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</si>
  <si>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</si>
  <si>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</si>
  <si>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</si>
  <si>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</si>
  <si>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</si>
  <si>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</si>
  <si>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</si>
  <si>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</si>
  <si>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</si>
  <si>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</si>
  <si>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</si>
  <si>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</si>
  <si>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</si>
  <si>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</si>
  <si>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</si>
  <si>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</si>
  <si>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</si>
  <si>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</si>
  <si>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</si>
  <si>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</si>
  <si>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</si>
  <si>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</si>
  <si>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</si>
  <si>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</si>
  <si>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</si>
  <si>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</si>
  <si>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</si>
  <si>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</si>
  <si>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</si>
  <si>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</si>
  <si>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</si>
  <si>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</si>
  <si>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</si>
  <si>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</si>
  <si>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</si>
  <si>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</si>
  <si>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</si>
  <si>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</si>
  <si>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</si>
  <si>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</si>
  <si>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</si>
  <si>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</si>
  <si>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</si>
  <si>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</si>
  <si>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</si>
  <si>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</si>
  <si>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</si>
  <si>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</si>
  <si>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</si>
  <si>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</si>
  <si>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</si>
  <si>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</si>
  <si>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</si>
  <si>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</si>
  <si>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</si>
  <si>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</si>
  <si>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</si>
  <si>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</si>
  <si>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</si>
  <si>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</si>
  <si>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</si>
  <si>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</si>
  <si>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</si>
  <si>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</si>
  <si>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</si>
  <si>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</si>
  <si>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</si>
  <si>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</si>
  <si>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</si>
  <si>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</si>
  <si>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</si>
  <si>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</si>
  <si>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</si>
  <si>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</si>
  <si>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</si>
  <si>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</si>
  <si>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</si>
  <si>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</si>
  <si>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</si>
  <si>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</si>
  <si>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</si>
  <si>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</si>
  <si>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</si>
  <si>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</si>
  <si>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</si>
  <si>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</si>
  <si>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</si>
  <si>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</si>
  <si>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</si>
  <si>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</si>
  <si>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</si>
  <si>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</si>
  <si>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</si>
  <si>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</si>
  <si>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</si>
  <si>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</si>
  <si>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</si>
  <si>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</si>
  <si>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</si>
  <si>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</si>
  <si>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</si>
  <si>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</si>
  <si>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</si>
  <si>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</si>
  <si>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</si>
  <si>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</si>
  <si>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</si>
  <si>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</si>
  <si>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</si>
  <si>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</si>
  <si>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</si>
  <si>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</si>
  <si>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</si>
  <si>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</si>
  <si>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</si>
  <si>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</si>
  <si>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</si>
  <si>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</si>
  <si>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</si>
  <si>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</si>
  <si>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</si>
  <si>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</si>
  <si>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</si>
  <si>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</si>
  <si>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</si>
  <si>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</si>
  <si>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</si>
  <si>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</si>
  <si>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</si>
  <si>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</si>
  <si>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</si>
  <si>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</si>
  <si>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</si>
  <si>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</si>
  <si>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</si>
  <si>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</si>
  <si>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</si>
  <si>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</si>
  <si>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</si>
  <si>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</si>
  <si>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</si>
  <si>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</si>
  <si>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</si>
  <si>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</si>
  <si>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</si>
  <si>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</si>
  <si>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</si>
  <si>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</si>
  <si>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</si>
  <si>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</si>
  <si>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</si>
  <si>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</si>
  <si>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</si>
  <si>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</si>
  <si>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</si>
  <si>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</si>
  <si>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</si>
  <si>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</si>
  <si>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</si>
  <si>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</si>
  <si>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</si>
  <si>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</si>
  <si>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</si>
  <si>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</si>
  <si>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</si>
  <si>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</si>
  <si>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</si>
  <si>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</si>
  <si>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</si>
  <si>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</si>
  <si>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</si>
  <si>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</si>
  <si>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</si>
  <si>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</si>
  <si>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</si>
  <si>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</si>
  <si>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</si>
  <si>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</si>
  <si>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</si>
  <si>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</si>
  <si>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</si>
  <si>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</si>
  <si>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</si>
  <si>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</si>
  <si>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</si>
  <si>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</si>
  <si>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</si>
  <si>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</si>
  <si>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</si>
  <si>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</si>
  <si>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</si>
  <si>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</si>
  <si>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</si>
  <si>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</si>
  <si>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</si>
  <si>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</si>
  <si>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</si>
  <si>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</si>
  <si>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</si>
  <si>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</si>
  <si>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</si>
  <si>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</si>
  <si>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</si>
  <si>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</si>
  <si>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</si>
  <si>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</si>
  <si>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</si>
  <si>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</si>
  <si>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</si>
  <si>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</si>
  <si>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</si>
  <si>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</si>
  <si>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</si>
  <si>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</si>
  <si>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</si>
  <si>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</si>
  <si>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</si>
  <si>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</si>
  <si>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</si>
  <si>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</si>
  <si>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</si>
  <si>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</si>
  <si>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</si>
  <si>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</si>
  <si>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</si>
  <si>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</si>
  <si>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</si>
  <si>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</si>
  <si>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</si>
  <si>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</si>
  <si>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</si>
  <si>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</si>
  <si>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</si>
  <si>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</si>
  <si>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</si>
  <si>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</si>
  <si>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</si>
  <si>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</si>
  <si>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</si>
  <si>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</si>
  <si>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</si>
  <si>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</si>
  <si>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</si>
  <si>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</si>
  <si>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</si>
  <si>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</si>
  <si>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</si>
  <si>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</si>
  <si>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</si>
  <si>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</si>
  <si>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</si>
  <si>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</si>
  <si>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</si>
  <si>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</si>
  <si>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</si>
  <si>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</si>
  <si>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</si>
  <si>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</si>
  <si>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</si>
  <si>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</si>
  <si>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</si>
  <si>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</si>
  <si>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</si>
  <si>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</si>
  <si>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</si>
  <si>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</si>
  <si>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</si>
  <si>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</si>
  <si>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</si>
  <si>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</si>
  <si>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</si>
  <si>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</si>
  <si>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</si>
  <si>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</si>
  <si>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</si>
  <si>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</si>
  <si>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</si>
  <si>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</si>
  <si>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</si>
  <si>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</si>
  <si>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</si>
  <si>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</si>
  <si>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</si>
  <si>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</si>
  <si>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</si>
  <si>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</si>
  <si>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</si>
  <si>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</si>
  <si>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</si>
  <si>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</si>
  <si>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</si>
  <si>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</si>
  <si>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</si>
  <si>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</si>
  <si>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</si>
  <si>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</si>
  <si>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</si>
  <si>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</si>
  <si>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</si>
  <si>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</si>
  <si>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</si>
  <si>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</si>
  <si>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</si>
  <si>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</si>
  <si>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</si>
  <si>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</si>
  <si>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</si>
  <si>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</si>
  <si>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</si>
  <si>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</si>
  <si>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</si>
  <si>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</si>
  <si>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</si>
  <si>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</si>
  <si>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</si>
  <si>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</si>
  <si>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</si>
  <si>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</si>
  <si>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</si>
  <si>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</si>
  <si>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</si>
  <si>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</si>
  <si>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</si>
  <si>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</si>
  <si>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</si>
  <si>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</si>
  <si>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</si>
  <si>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</si>
  <si>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</si>
  <si>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</si>
  <si>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</si>
  <si>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</si>
  <si>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</si>
  <si>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</si>
  <si>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</si>
  <si>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</si>
  <si>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</si>
  <si>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</si>
  <si>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</si>
  <si>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</si>
  <si>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</si>
  <si>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</si>
  <si>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</si>
  <si>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</si>
  <si>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</si>
  <si>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</si>
  <si>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</si>
  <si>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</si>
  <si>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</si>
  <si>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</si>
  <si>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</si>
  <si>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</si>
  <si>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</si>
  <si>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</si>
  <si>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</si>
  <si>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</si>
  <si>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</si>
  <si>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</si>
  <si>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</si>
  <si>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</si>
  <si>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</si>
  <si>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</si>
  <si>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</si>
  <si>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</si>
  <si>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</si>
  <si>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</si>
  <si>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</si>
  <si>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</si>
  <si>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</si>
  <si>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</si>
  <si>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</si>
  <si>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</si>
  <si>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</si>
  <si>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</si>
  <si>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</si>
  <si>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</si>
  <si>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</si>
  <si>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</si>
  <si>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</si>
  <si>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</si>
  <si>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</si>
  <si>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</si>
  <si>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</si>
  <si>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</si>
  <si>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</si>
  <si>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</si>
  <si>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</si>
  <si>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</si>
  <si>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</si>
  <si>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</si>
  <si>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</si>
  <si>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</si>
  <si>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</si>
  <si>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</si>
  <si>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</si>
  <si>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</si>
  <si>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</si>
  <si>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</si>
  <si>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</si>
  <si>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</si>
  <si>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</si>
  <si>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</si>
  <si>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</si>
  <si>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</si>
  <si>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</si>
  <si>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</si>
  <si>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</si>
  <si>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</si>
  <si>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</si>
  <si>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</si>
  <si>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</si>
  <si>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</si>
  <si>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</si>
  <si>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</si>
  <si>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</si>
  <si>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</si>
  <si>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</si>
  <si>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</si>
  <si>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</si>
  <si>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</si>
  <si>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</si>
  <si>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</si>
  <si>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</si>
  <si>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</si>
  <si>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</si>
  <si>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</si>
  <si>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</si>
  <si>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</si>
  <si>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</si>
  <si>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</si>
  <si>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</si>
  <si>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</si>
  <si>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</si>
  <si>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</si>
  <si>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</si>
  <si>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</si>
  <si>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</si>
  <si>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</si>
  <si>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</si>
  <si>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</si>
  <si>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</si>
  <si>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</si>
  <si>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</si>
  <si>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</si>
  <si>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</si>
  <si>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</si>
  <si>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</si>
  <si>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</si>
  <si>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</si>
  <si>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</si>
  <si>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</si>
  <si>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</si>
  <si>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</si>
  <si>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</si>
  <si>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</si>
  <si>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</si>
  <si>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</si>
  <si>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</si>
  <si>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</si>
  <si>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</si>
  <si>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</si>
  <si>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</si>
  <si>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</si>
  <si>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</si>
  <si>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</si>
  <si>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</si>
  <si>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</si>
  <si>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</si>
  <si>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</si>
  <si>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</si>
  <si>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</si>
  <si>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</si>
  <si>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</si>
  <si>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</si>
  <si>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</si>
  <si>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</si>
  <si>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</si>
  <si>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</si>
  <si>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</si>
  <si>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</si>
  <si>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</si>
  <si>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</si>
  <si>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</si>
  <si>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</si>
  <si>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</si>
  <si>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</si>
  <si>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</si>
  <si>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</si>
  <si>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</si>
  <si>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</si>
  <si>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</si>
  <si>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</si>
  <si>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</si>
  <si>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</si>
  <si>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</si>
  <si>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</si>
  <si>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</si>
  <si>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</si>
  <si>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</si>
  <si>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</si>
  <si>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</si>
  <si>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</si>
  <si>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</si>
  <si>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</si>
  <si>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</si>
  <si>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</si>
  <si>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</si>
  <si>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</si>
  <si>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</si>
  <si>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</si>
  <si>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</si>
  <si>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</si>
  <si>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</si>
  <si>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</si>
  <si>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</si>
  <si>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</si>
  <si>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</si>
  <si>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</si>
  <si>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</si>
  <si>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</si>
  <si>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</si>
  <si>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</si>
  <si>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</si>
  <si>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</si>
  <si>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</si>
  <si>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</si>
  <si>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</si>
  <si>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</si>
  <si>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</si>
  <si>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</si>
  <si>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</si>
  <si>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</si>
  <si>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</si>
  <si>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</si>
  <si>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</si>
  <si>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</si>
  <si>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</si>
  <si>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</si>
  <si>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</si>
  <si>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</si>
  <si>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</si>
  <si>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</si>
  <si>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</si>
  <si>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</si>
  <si>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</si>
  <si>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</si>
  <si>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</si>
  <si>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</si>
  <si>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</si>
  <si>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</si>
  <si>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</si>
  <si>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</si>
  <si>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</si>
  <si>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</si>
  <si>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</si>
  <si>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</si>
  <si>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</si>
  <si>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</si>
  <si>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</si>
  <si>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</si>
  <si>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</si>
  <si>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</si>
  <si>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</si>
  <si>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</si>
  <si>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</si>
  <si>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</si>
  <si>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</si>
  <si>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</si>
  <si>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</si>
  <si>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</si>
  <si>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</si>
  <si>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</si>
  <si>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</si>
  <si>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</si>
  <si>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</si>
  <si>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</si>
  <si>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</si>
  <si>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</si>
  <si>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</si>
  <si>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</si>
  <si>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</si>
  <si>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</si>
  <si>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</si>
  <si>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</si>
  <si>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</si>
  <si>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</si>
  <si>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</si>
  <si>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</si>
  <si>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</si>
  <si>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</si>
  <si>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</si>
  <si>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</si>
  <si>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</si>
  <si>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</si>
  <si>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</si>
  <si>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</si>
  <si>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</si>
  <si>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</si>
  <si>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</si>
  <si>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</si>
  <si>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</si>
  <si>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</si>
  <si>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</si>
  <si>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</si>
  <si>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</si>
  <si>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</si>
  <si>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</si>
  <si>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</si>
  <si>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</si>
  <si>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</si>
  <si>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</si>
  <si>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</si>
  <si>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</si>
  <si>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</si>
  <si>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</si>
  <si>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</si>
  <si>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</si>
  <si>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</si>
  <si>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</si>
  <si>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</si>
  <si>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</si>
  <si>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</si>
  <si>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</si>
  <si>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</si>
  <si>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</si>
  <si>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</si>
  <si>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</si>
  <si>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</si>
  <si>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</si>
  <si>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</si>
  <si>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</si>
  <si>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</si>
  <si>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</si>
  <si>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</si>
  <si>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</si>
  <si>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</si>
  <si>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</si>
  <si>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</si>
  <si>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</si>
  <si>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</si>
  <si>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</si>
  <si>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</si>
  <si>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</si>
  <si>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</si>
  <si>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</si>
  <si>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</si>
  <si>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</si>
  <si>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</si>
  <si>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</si>
  <si>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</si>
  <si>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</si>
  <si>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</si>
  <si>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</si>
  <si>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</si>
  <si>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</si>
  <si>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</si>
  <si>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</si>
  <si>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</si>
  <si>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</si>
  <si>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</si>
  <si>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</si>
  <si>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</si>
  <si>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</si>
  <si>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</si>
  <si>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</si>
  <si>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</si>
  <si>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</si>
  <si>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</si>
  <si>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</si>
  <si>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</si>
  <si>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</si>
  <si>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</si>
  <si>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</si>
  <si>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</si>
  <si>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</si>
  <si>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</si>
  <si>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</si>
  <si>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</si>
  <si>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</si>
  <si>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</si>
  <si>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</si>
  <si>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</si>
  <si>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</si>
  <si>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</si>
  <si>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</si>
  <si>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</si>
  <si>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</si>
  <si>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</si>
  <si>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</si>
  <si>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</si>
  <si>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</si>
  <si>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</si>
  <si>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</si>
  <si>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</si>
  <si>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</si>
  <si>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</si>
  <si>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</si>
  <si>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</si>
  <si>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</si>
  <si>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</si>
  <si>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</si>
  <si>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</si>
  <si>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</si>
  <si>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</si>
  <si>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</si>
  <si>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</si>
  <si>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</si>
  <si>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</si>
  <si>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</si>
  <si>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</si>
  <si>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</si>
  <si>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</si>
  <si>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</si>
  <si>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</si>
  <si>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</si>
  <si>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</si>
  <si>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</si>
  <si>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</si>
  <si>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</si>
  <si>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</si>
  <si>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</si>
  <si>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</si>
  <si>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</si>
  <si>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</si>
  <si>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</si>
  <si>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</si>
  <si>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</si>
  <si>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</si>
  <si>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</si>
  <si>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</si>
  <si>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</si>
  <si>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</si>
  <si>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</si>
  <si>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</si>
  <si>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</si>
  <si>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</si>
  <si>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</si>
  <si>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</si>
  <si>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</si>
  <si>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</si>
  <si>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</si>
  <si>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</si>
  <si>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</si>
  <si>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</si>
  <si>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</si>
  <si>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</si>
  <si>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</si>
  <si>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</si>
  <si>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</si>
  <si>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</si>
  <si>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</si>
  <si>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</si>
  <si>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</si>
  <si>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</si>
  <si>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</si>
  <si>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</si>
  <si>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</si>
  <si>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</si>
  <si>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</si>
  <si>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</si>
  <si>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</si>
  <si>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</si>
  <si>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</si>
  <si>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</si>
  <si>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</si>
  <si>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</si>
  <si>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</si>
  <si>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</si>
  <si>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</si>
  <si>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</si>
  <si>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</si>
  <si>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</si>
  <si>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</si>
  <si>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</si>
  <si>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</si>
  <si>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</si>
  <si>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</si>
  <si>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</si>
  <si>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</si>
  <si>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</si>
  <si>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</si>
  <si>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</si>
  <si>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</si>
  <si>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</si>
  <si>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</si>
  <si>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</si>
  <si>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</si>
  <si>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</si>
  <si>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</si>
  <si>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</si>
  <si>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</si>
  <si>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</si>
  <si>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</si>
  <si>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</si>
  <si>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</si>
  <si>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</si>
  <si>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</si>
  <si>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</si>
  <si>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</si>
  <si>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</si>
  <si>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</si>
  <si>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</si>
  <si>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</si>
  <si>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</si>
  <si>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</si>
  <si>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</si>
  <si>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</si>
  <si>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</si>
  <si>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</si>
  <si>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</si>
  <si>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</si>
  <si>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</si>
  <si>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</si>
  <si>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</si>
  <si>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</si>
  <si>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</si>
  <si>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</si>
  <si>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</si>
  <si>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</si>
  <si>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</si>
  <si>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</si>
  <si>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</si>
  <si>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</si>
  <si>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</si>
  <si>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</si>
  <si>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</si>
  <si>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</si>
  <si>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</si>
  <si>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</si>
  <si>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</si>
  <si>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</si>
  <si>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</si>
  <si>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</si>
  <si>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</si>
  <si>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</si>
  <si>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</si>
  <si>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</si>
  <si>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</si>
  <si>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</si>
  <si>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</si>
  <si>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</si>
  <si>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</si>
  <si>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</si>
  <si>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</si>
  <si>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</si>
  <si>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</si>
  <si>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</si>
  <si>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</si>
  <si>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</si>
  <si>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</si>
  <si>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</si>
  <si>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</si>
  <si>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</si>
  <si>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</si>
  <si>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</si>
  <si>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</si>
  <si>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</si>
  <si>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</si>
  <si>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</si>
  <si>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</si>
  <si>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</si>
  <si>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</si>
  <si>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</si>
  <si>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</si>
  <si>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</si>
  <si>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</si>
  <si>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</si>
  <si>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</si>
  <si>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</si>
  <si>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</si>
  <si>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</si>
  <si>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</si>
  <si>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</si>
  <si>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</si>
  <si>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</si>
  <si>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</si>
  <si>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</si>
  <si>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</si>
  <si>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</si>
  <si>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</si>
  <si>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</si>
  <si>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</si>
  <si>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</si>
  <si>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</si>
  <si>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</si>
  <si>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</si>
  <si>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</si>
  <si>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</si>
  <si>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</si>
  <si>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</si>
  <si>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</si>
  <si>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</si>
  <si>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</si>
  <si>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</si>
  <si>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</si>
  <si>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</si>
  <si>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</si>
  <si>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</si>
  <si>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</si>
  <si>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</si>
  <si>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</si>
  <si>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</si>
  <si>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</si>
  <si>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</si>
  <si>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</si>
  <si>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</si>
  <si>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</si>
  <si>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</si>
  <si>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</si>
  <si>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</si>
  <si>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</si>
  <si>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</si>
  <si>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</si>
  <si>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</si>
  <si>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</si>
  <si>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</si>
  <si>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</si>
  <si>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</si>
  <si>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</si>
  <si>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</si>
  <si>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</si>
  <si>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</si>
  <si>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</si>
  <si>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</si>
  <si>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</si>
  <si>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</si>
  <si>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</si>
  <si>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</si>
  <si>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</si>
  <si>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</si>
  <si>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</si>
  <si>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</si>
  <si>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</si>
  <si>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</si>
  <si>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</si>
  <si>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</si>
  <si>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</si>
  <si>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</si>
  <si>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</si>
  <si>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</si>
  <si>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</si>
  <si>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</si>
  <si>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</si>
  <si>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</si>
  <si>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</si>
  <si>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</si>
  <si>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</si>
  <si>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</si>
  <si>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</si>
  <si>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</si>
  <si>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</si>
  <si>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</si>
  <si>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</si>
  <si>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</si>
  <si>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</si>
  <si>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</si>
  <si>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</si>
  <si>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</si>
  <si>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</si>
  <si>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</si>
  <si>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</si>
  <si>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</si>
  <si>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</si>
  <si>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</si>
  <si>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</si>
  <si>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</si>
  <si>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</si>
  <si>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</si>
  <si>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</si>
  <si>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</si>
  <si>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</si>
  <si>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</si>
  <si>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</si>
  <si>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</si>
  <si>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</si>
  <si>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</si>
  <si>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</si>
  <si>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</si>
  <si>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</si>
  <si>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</si>
  <si>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</si>
  <si>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</si>
  <si>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</si>
  <si>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</si>
  <si>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</si>
  <si>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</si>
  <si>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</si>
  <si>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</si>
  <si>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</si>
  <si>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</si>
  <si>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</si>
  <si>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</si>
  <si>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</si>
  <si>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</si>
  <si>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</si>
  <si>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</si>
  <si>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</si>
  <si>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</si>
  <si>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</si>
  <si>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</si>
  <si>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</si>
  <si>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</si>
  <si>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</si>
  <si>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</si>
  <si>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</si>
  <si>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</si>
  <si>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</si>
  <si>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</si>
  <si>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</si>
  <si>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</si>
  <si>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</si>
  <si>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</si>
  <si>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</si>
  <si>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</si>
  <si>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</si>
  <si>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</si>
  <si>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</si>
  <si>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</si>
  <si>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</si>
  <si>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</si>
  <si>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</si>
  <si>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</si>
  <si>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</si>
  <si>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</si>
  <si>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</si>
  <si>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</si>
  <si>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</si>
  <si>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</si>
  <si>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</si>
  <si>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</si>
  <si>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</si>
  <si>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</si>
  <si>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</si>
  <si>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</si>
  <si>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</si>
  <si>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</si>
  <si>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</si>
  <si>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</si>
  <si>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</si>
  <si>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</si>
  <si>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</si>
  <si>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</si>
  <si>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</si>
  <si>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</si>
  <si>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</si>
  <si>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</si>
  <si>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</si>
  <si>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</si>
  <si>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</si>
  <si>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</si>
  <si>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</si>
  <si>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</si>
  <si>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</si>
  <si>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</si>
  <si>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</si>
  <si>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</si>
  <si>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</si>
  <si>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</si>
  <si>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</si>
  <si>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</si>
  <si>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</si>
  <si>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收益法-商业</t>
    <phoneticPr fontId="16" type="noConversion"/>
  </si>
  <si>
    <t>收益法-仓储</t>
  </si>
  <si>
    <t>收益法-仓储</t>
    <phoneticPr fontId="16" type="noConversion"/>
  </si>
  <si>
    <t>核定资产</t>
  </si>
  <si>
    <t>房地产市场价值</t>
  </si>
  <si>
    <t>北京市</t>
  </si>
  <si>
    <t>企业</t>
  </si>
  <si>
    <t>地上</t>
  </si>
  <si>
    <t>地下</t>
  </si>
  <si>
    <t>是</t>
  </si>
  <si>
    <t>商业</t>
    <phoneticPr fontId="7" type="noConversion"/>
  </si>
  <si>
    <t>仓储</t>
    <phoneticPr fontId="7" type="noConversion"/>
  </si>
  <si>
    <t>成新度</t>
  </si>
  <si>
    <t>https://esf.fang.com/loupan/shop/1010194203.htm</t>
    <phoneticPr fontId="134" type="noConversion"/>
  </si>
  <si>
    <t>https://shop.fang.com/shou/3_480284489.html?channel=1,16&amp;source_page=12</t>
    <phoneticPr fontId="134" type="noConversion"/>
  </si>
  <si>
    <t>https://shop.fang.com/shou/3_471974359.html?channel=1,16</t>
    <phoneticPr fontId="134" type="noConversion"/>
  </si>
  <si>
    <t xml:space="preserve"> </t>
    <phoneticPr fontId="30" type="noConversion"/>
  </si>
  <si>
    <t>首创美伦湾</t>
    <phoneticPr fontId="3" type="noConversion"/>
  </si>
  <si>
    <t>正常</t>
  </si>
  <si>
    <t>商业</t>
    <phoneticPr fontId="30" type="noConversion"/>
  </si>
  <si>
    <t>住宅配套</t>
  </si>
  <si>
    <t>住宅配套</t>
    <phoneticPr fontId="30" type="noConversion"/>
  </si>
  <si>
    <t>钢混</t>
  </si>
  <si>
    <t>钢混</t>
    <phoneticPr fontId="30" type="noConversion"/>
  </si>
  <si>
    <t>一般</t>
  </si>
  <si>
    <t>较好</t>
  </si>
  <si>
    <t>好</t>
  </si>
  <si>
    <t>七通</t>
  </si>
  <si>
    <t>较好</t>
    <phoneticPr fontId="30" type="noConversion"/>
  </si>
  <si>
    <t>一般</t>
    <phoneticPr fontId="30" type="noConversion"/>
  </si>
  <si>
    <t>中建国际港商铺</t>
    <phoneticPr fontId="3" type="noConversion"/>
  </si>
  <si>
    <t>大悦春风里</t>
    <phoneticPr fontId="3" type="noConversion"/>
  </si>
  <si>
    <t>海悦旺角</t>
    <phoneticPr fontId="3" type="noConversion"/>
  </si>
  <si>
    <t>售价</t>
  </si>
  <si>
    <t>押一</t>
  </si>
  <si>
    <t>非生产用房</t>
  </si>
  <si>
    <t>否</t>
  </si>
  <si>
    <t>地下</t>
    <phoneticPr fontId="31" type="noConversion"/>
  </si>
  <si>
    <t>地上</t>
    <phoneticPr fontId="31" type="noConversion"/>
  </si>
  <si>
    <t>挂牌</t>
  </si>
  <si>
    <t>挂牌</t>
    <phoneticPr fontId="30" type="noConversion"/>
  </si>
  <si>
    <t>1-2</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</si>
</sst>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2" fillId="0" borderId="0" xfId="19">
      <alignment vertical="center"/>
    </xf>
    <xf numFmtId="0" fontId="208" fillId="0" borderId="2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1" fontId="51" fillId="8" borderId="0" xfId="0" applyNumberFormat="1" applyFont="1" applyFill="1" applyAlignment="1" applyProtection="1">
      <alignment horizontal="center"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84118</xdr:rowOff>
    </xdr:from>
    <xdr:to>
      <xdr:col>11</xdr:col>
      <xdr:colOff>565864</xdr:colOff>
      <xdr:row>20</xdr:row>
      <xdr:rowOff>98184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6998"/>
          <a:ext cx="7271464" cy="3488786"/>
        </a:xfrm>
        <a:prstGeom prst="rect">
          <a:avLst/>
        </a:prstGeom>
      </xdr:spPr>
    </xdr:pic>
    <xdr:clientData/>
  </xdr:twoCellAnchor>
  <xdr:twoCellAnchor editAs="oneCell">
    <xdr:from>
      <xdr:col>7</xdr:col>
      <xdr:colOff>129539</xdr:colOff>
      <xdr:row>3</xdr:row>
      <xdr:rowOff>72267</xdr:rowOff>
    </xdr:from>
    <xdr:to>
      <xdr:col>14</xdr:col>
      <xdr:colOff>457200</xdr:colOff>
      <xdr:row>19</xdr:row>
      <xdr:rowOff>109894</xdr:rowOff>
    </xdr:to>
    <xdr:pic>
      <xdr:nvPicPr>
        <xdr:cNvPr id="3" name="图片 2"/>
        <xdr:cNvPicPr>
          <a:picLocks noChangeAspect="1"/>
        </xdr:cNvPicPr>
      </xdr:nvPicPr>
      <xdr:blipFill>
        <a:blip xmlns:r="http://schemas.openxmlformats.org/officeDocument/2006/relationships" r:embed="rId2"/>
        <a:stretch>
          <a:fillRect/>
        </a:stretch>
      </xdr:blipFill>
      <xdr:spPr>
        <a:xfrm>
          <a:off x="4396739" y="620907"/>
          <a:ext cx="4594861" cy="2963707"/>
        </a:xfrm>
        <a:prstGeom prst="rect">
          <a:avLst/>
        </a:prstGeom>
      </xdr:spPr>
    </xdr:pic>
    <xdr:clientData/>
  </xdr:twoCellAnchor>
  <xdr:twoCellAnchor editAs="oneCell">
    <xdr:from>
      <xdr:col>0</xdr:col>
      <xdr:colOff>0</xdr:colOff>
      <xdr:row>21</xdr:row>
      <xdr:rowOff>178018</xdr:rowOff>
    </xdr:from>
    <xdr:to>
      <xdr:col>14</xdr:col>
      <xdr:colOff>453806</xdr:colOff>
      <xdr:row>31</xdr:row>
      <xdr:rowOff>66389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018498"/>
          <a:ext cx="8988206" cy="1717171"/>
        </a:xfrm>
        <a:prstGeom prst="rect">
          <a:avLst/>
        </a:prstGeom>
      </xdr:spPr>
    </xdr:pic>
    <xdr:clientData/>
  </xdr:twoCellAnchor>
  <xdr:twoCellAnchor editAs="oneCell">
    <xdr:from>
      <xdr:col>14</xdr:col>
      <xdr:colOff>182880</xdr:colOff>
      <xdr:row>20</xdr:row>
      <xdr:rowOff>70748</xdr:rowOff>
    </xdr:from>
    <xdr:to>
      <xdr:col>22</xdr:col>
      <xdr:colOff>563880</xdr:colOff>
      <xdr:row>36</xdr:row>
      <xdr:rowOff>150698</xdr:rowOff>
    </xdr:to>
    <xdr:pic>
      <xdr:nvPicPr>
        <xdr:cNvPr id="5" name="图片 4"/>
        <xdr:cNvPicPr>
          <a:picLocks noChangeAspect="1"/>
        </xdr:cNvPicPr>
      </xdr:nvPicPr>
      <xdr:blipFill>
        <a:blip xmlns:r="http://schemas.openxmlformats.org/officeDocument/2006/relationships" r:embed="rId4"/>
        <a:stretch>
          <a:fillRect/>
        </a:stretch>
      </xdr:blipFill>
      <xdr:spPr>
        <a:xfrm>
          <a:off x="8717280" y="3728348"/>
          <a:ext cx="5257800" cy="3006030"/>
        </a:xfrm>
        <a:prstGeom prst="rect">
          <a:avLst/>
        </a:prstGeom>
      </xdr:spPr>
    </xdr:pic>
    <xdr:clientData/>
  </xdr:twoCellAnchor>
  <xdr:twoCellAnchor editAs="oneCell">
    <xdr:from>
      <xdr:col>0</xdr:col>
      <xdr:colOff>0</xdr:colOff>
      <xdr:row>39</xdr:row>
      <xdr:rowOff>3913</xdr:rowOff>
    </xdr:from>
    <xdr:to>
      <xdr:col>10</xdr:col>
      <xdr:colOff>419100</xdr:colOff>
      <xdr:row>56</xdr:row>
      <xdr:rowOff>79054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136233"/>
          <a:ext cx="6515100" cy="3184101"/>
        </a:xfrm>
        <a:prstGeom prst="rect">
          <a:avLst/>
        </a:prstGeom>
      </xdr:spPr>
    </xdr:pic>
    <xdr:clientData/>
  </xdr:twoCellAnchor>
  <xdr:twoCellAnchor editAs="oneCell">
    <xdr:from>
      <xdr:col>8</xdr:col>
      <xdr:colOff>571500</xdr:colOff>
      <xdr:row>37</xdr:row>
      <xdr:rowOff>160020</xdr:rowOff>
    </xdr:from>
    <xdr:to>
      <xdr:col>24</xdr:col>
      <xdr:colOff>313138</xdr:colOff>
      <xdr:row>49</xdr:row>
      <xdr:rowOff>98793</xdr:rowOff>
    </xdr:to>
    <xdr:pic>
      <xdr:nvPicPr>
        <xdr:cNvPr id="7" name="图片 6"/>
        <xdr:cNvPicPr>
          <a:picLocks noChangeAspect="1"/>
        </xdr:cNvPicPr>
      </xdr:nvPicPr>
      <xdr:blipFill>
        <a:blip xmlns:r="http://schemas.openxmlformats.org/officeDocument/2006/relationships" r:embed="rId6"/>
        <a:stretch>
          <a:fillRect/>
        </a:stretch>
      </xdr:blipFill>
      <xdr:spPr>
        <a:xfrm>
          <a:off x="5448300" y="6926580"/>
          <a:ext cx="9495238" cy="2133333"/>
        </a:xfrm>
        <a:prstGeom prst="rect">
          <a:avLst/>
        </a:prstGeom>
      </xdr:spPr>
    </xdr:pic>
    <xdr:clientData/>
  </xdr:twoCellAnchor>
  <xdr:twoCellAnchor editAs="oneCell">
    <xdr:from>
      <xdr:col>0</xdr:col>
      <xdr:colOff>373380</xdr:colOff>
      <xdr:row>58</xdr:row>
      <xdr:rowOff>38100</xdr:rowOff>
    </xdr:from>
    <xdr:to>
      <xdr:col>17</xdr:col>
      <xdr:colOff>543513</xdr:colOff>
      <xdr:row>101</xdr:row>
      <xdr:rowOff>145688</xdr:rowOff>
    </xdr:to>
    <xdr:pic>
      <xdr:nvPicPr>
        <xdr:cNvPr id="8" name="图片 7"/>
        <xdr:cNvPicPr>
          <a:picLocks noChangeAspect="1"/>
        </xdr:cNvPicPr>
      </xdr:nvPicPr>
      <xdr:blipFill>
        <a:blip xmlns:r="http://schemas.openxmlformats.org/officeDocument/2006/relationships" r:embed="rId7"/>
        <a:stretch>
          <a:fillRect/>
        </a:stretch>
      </xdr:blipFill>
      <xdr:spPr>
        <a:xfrm>
          <a:off x="373380" y="10645140"/>
          <a:ext cx="10533333" cy="79714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150933</xdr:colOff>
      <xdr:row>21</xdr:row>
      <xdr:rowOff>130949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733333" cy="3971429"/>
        </a:xfrm>
        <a:prstGeom prst="rect">
          <a:avLst/>
        </a:prstGeom>
      </xdr:spPr>
    </xdr:pic>
    <xdr:clientData/>
  </xdr:twoCellAnchor>
  <xdr:twoCellAnchor editAs="oneCell">
    <xdr:from>
      <xdr:col>0</xdr:col>
      <xdr:colOff>0</xdr:colOff>
      <xdr:row>22</xdr:row>
      <xdr:rowOff>0</xdr:rowOff>
    </xdr:from>
    <xdr:to>
      <xdr:col>19</xdr:col>
      <xdr:colOff>522362</xdr:colOff>
      <xdr:row>33</xdr:row>
      <xdr:rowOff>93082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23360"/>
          <a:ext cx="12104762" cy="2104762"/>
        </a:xfrm>
        <a:prstGeom prst="rect">
          <a:avLst/>
        </a:prstGeom>
      </xdr:spPr>
    </xdr:pic>
    <xdr:clientData/>
  </xdr:twoCellAnchor>
  <xdr:twoCellAnchor editAs="oneCell">
    <xdr:from>
      <xdr:col>0</xdr:col>
      <xdr:colOff>0</xdr:colOff>
      <xdr:row>34</xdr:row>
      <xdr:rowOff>0</xdr:rowOff>
    </xdr:from>
    <xdr:to>
      <xdr:col>19</xdr:col>
      <xdr:colOff>598552</xdr:colOff>
      <xdr:row>44</xdr:row>
      <xdr:rowOff>75962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217920"/>
          <a:ext cx="12180952" cy="1904762"/>
        </a:xfrm>
        <a:prstGeom prst="rect">
          <a:avLst/>
        </a:prstGeom>
      </xdr:spPr>
    </xdr:pic>
    <xdr:clientData/>
  </xdr:twoCellAnchor>
  <xdr:twoCellAnchor editAs="oneCell">
    <xdr:from>
      <xdr:col>0</xdr:col>
      <xdr:colOff>0</xdr:colOff>
      <xdr:row>46</xdr:row>
      <xdr:rowOff>0</xdr:rowOff>
    </xdr:from>
    <xdr:to>
      <xdr:col>19</xdr:col>
      <xdr:colOff>598552</xdr:colOff>
      <xdr:row>56</xdr:row>
      <xdr:rowOff>95010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412480"/>
          <a:ext cx="12180952" cy="1923810"/>
        </a:xfrm>
        <a:prstGeom prst="rect">
          <a:avLst/>
        </a:prstGeom>
      </xdr:spPr>
    </xdr:pic>
    <xdr:clientData/>
  </xdr:twoCellAnchor>
  <xdr:twoCellAnchor editAs="oneCell">
    <xdr:from>
      <xdr:col>0</xdr:col>
      <xdr:colOff>0</xdr:colOff>
      <xdr:row>58</xdr:row>
      <xdr:rowOff>0</xdr:rowOff>
    </xdr:from>
    <xdr:to>
      <xdr:col>20</xdr:col>
      <xdr:colOff>417524</xdr:colOff>
      <xdr:row>80</xdr:row>
      <xdr:rowOff>119497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607040"/>
          <a:ext cx="12609524" cy="4142857"/>
        </a:xfrm>
        <a:prstGeom prst="rect">
          <a:avLst/>
        </a:prstGeom>
      </xdr:spPr>
    </xdr:pic>
    <xdr:clientData/>
  </xdr:twoCellAnchor>
  <xdr:twoCellAnchor editAs="oneCell">
    <xdr:from>
      <xdr:col>0</xdr:col>
      <xdr:colOff>0</xdr:colOff>
      <xdr:row>81</xdr:row>
      <xdr:rowOff>0</xdr:rowOff>
    </xdr:from>
    <xdr:to>
      <xdr:col>17</xdr:col>
      <xdr:colOff>8228</xdr:colOff>
      <xdr:row>117</xdr:row>
      <xdr:rowOff>102034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813280"/>
          <a:ext cx="10371428" cy="66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38100</xdr:rowOff>
    </xdr:from>
    <xdr:to>
      <xdr:col>13</xdr:col>
      <xdr:colOff>158165</xdr:colOff>
      <xdr:row>43</xdr:row>
      <xdr:rowOff>8476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415540"/>
          <a:ext cx="8082965" cy="5456776"/>
        </a:xfrm>
        <a:prstGeom prst="rect">
          <a:avLst/>
        </a:prstGeom>
      </xdr:spPr>
    </xdr:pic>
    <xdr:clientData/>
  </xdr:twoCellAnchor>
  <xdr:twoCellAnchor editAs="oneCell">
    <xdr:from>
      <xdr:col>0</xdr:col>
      <xdr:colOff>0</xdr:colOff>
      <xdr:row>0</xdr:row>
      <xdr:rowOff>60960</xdr:rowOff>
    </xdr:from>
    <xdr:to>
      <xdr:col>16</xdr:col>
      <xdr:colOff>8305</xdr:colOff>
      <xdr:row>8</xdr:row>
      <xdr:rowOff>178872</xdr:rowOff>
    </xdr:to>
    <xdr:pic>
      <xdr:nvPicPr>
        <xdr:cNvPr id="4" name="图片 3"/>
        <xdr:cNvPicPr>
          <a:picLocks noChangeAspect="1"/>
        </xdr:cNvPicPr>
      </xdr:nvPicPr>
      <xdr:blipFill>
        <a:blip xmlns:r="http://schemas.openxmlformats.org/officeDocument/2006/relationships" r:embed="rId2"/>
        <a:stretch>
          <a:fillRect/>
        </a:stretch>
      </xdr:blipFill>
      <xdr:spPr>
        <a:xfrm>
          <a:off x="0" y="60960"/>
          <a:ext cx="9761905" cy="1580952"/>
        </a:xfrm>
        <a:prstGeom prst="rect">
          <a:avLst/>
        </a:prstGeom>
      </xdr:spPr>
    </xdr:pic>
    <xdr:clientData/>
  </xdr:twoCellAnchor>
  <xdr:twoCellAnchor editAs="oneCell">
    <xdr:from>
      <xdr:col>7</xdr:col>
      <xdr:colOff>606244</xdr:colOff>
      <xdr:row>8</xdr:row>
      <xdr:rowOff>144780</xdr:rowOff>
    </xdr:from>
    <xdr:to>
      <xdr:col>22</xdr:col>
      <xdr:colOff>280578</xdr:colOff>
      <xdr:row>47</xdr:row>
      <xdr:rowOff>65586</xdr:rowOff>
    </xdr:to>
    <xdr:pic>
      <xdr:nvPicPr>
        <xdr:cNvPr id="5" name="图片 4"/>
        <xdr:cNvPicPr>
          <a:picLocks noChangeAspect="1"/>
        </xdr:cNvPicPr>
      </xdr:nvPicPr>
      <xdr:blipFill>
        <a:blip xmlns:r="http://schemas.openxmlformats.org/officeDocument/2006/relationships" r:embed="rId3"/>
        <a:stretch>
          <a:fillRect/>
        </a:stretch>
      </xdr:blipFill>
      <xdr:spPr>
        <a:xfrm>
          <a:off x="4873444" y="1607820"/>
          <a:ext cx="8818334" cy="70531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op.fang.com/shou/3_471974359.html?channel=1,16" TargetMode="External"/><Relationship Id="rId2" Type="http://schemas.openxmlformats.org/officeDocument/2006/relationships/hyperlink" Target="https://shop.fang.com/shou/3_480284489.html?channel=1,16&amp;source_page=12" TargetMode="External"/><Relationship Id="rId1" Type="http://schemas.openxmlformats.org/officeDocument/2006/relationships/hyperlink" Target="https://esf.fang.com/loupan/shop/1010194203.htm" TargetMode="External"/><Relationship Id="rId4"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估价对象为北京市房地产，为所有。根据《国有土地使用证》[]，估价对象（分摊）出让国有建设用地使用权面积为0平方米，建筑面积为41650.49平方米。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估价对象为北京市房地产,属开发建设的，该项目尚在开发建设中。根据《国有土地使用证》[]，估价对象（分摊）出让国有建设用地使用权面积为0平方米，规划建筑面积为41650.49平方米。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2025年2月8日（评估专业人员实地查勘之日）</v>
      </c>
    </row>
    <row r="13" spans="1:2" s="1203" customFormat="1">
      <c r="A13" s="1201" t="s">
        <v>529</v>
      </c>
      <c r="B13" s="1202" t="str">
        <f>'预评函-1'!A18</f>
        <v>本次估价的“房地产价值”是指在正常市场情况下，在价值时点2025年2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41650.49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3405</v>
      </c>
      <c r="C20" s="1547"/>
    </row>
    <row r="21" spans="1:3">
      <c r="A21" s="1546" t="s">
        <v>1049</v>
      </c>
      <c r="B21" s="1546" t="s">
        <v>3407</v>
      </c>
      <c r="C21" s="1547"/>
    </row>
    <row r="22" spans="1:3">
      <c r="A22" s="1546" t="s">
        <v>1050</v>
      </c>
      <c r="B22" s="1546"/>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0" t="s">
        <v>2580</v>
      </c>
      <c r="J2" s="3510"/>
      <c r="K2" s="3510"/>
      <c r="L2" s="3510"/>
      <c r="M2" s="3510"/>
      <c r="N2" s="3510"/>
      <c r="O2" s="3510"/>
      <c r="P2" s="3510"/>
      <c r="Q2" s="3510"/>
      <c r="R2" s="3510"/>
    </row>
    <row r="3" spans="1:18">
      <c r="A3" s="3020" t="s">
        <v>2501</v>
      </c>
      <c r="B3" s="3021">
        <f>项目基本情况!D3</f>
        <v>45696</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1.86</v>
      </c>
      <c r="D5" s="3025">
        <f>IF(ISERROR(ROUND(POWER(1+E5,A5-C5)*(POWER(1+E5,C5)-1)/(POWER(1+E5,A5)-1),3)),0,ROUND(POWER(1+E5,A5-C5)*(POWER(1+E5,C5)-1)/(POWER(1+E5,A5)-1),4))</f>
        <v>8.8900000000000007E-2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11.86</v>
      </c>
      <c r="D6" s="3025">
        <f>IF(ISERROR(ROUND(POWER(1+E6,A6-C6)*(POWER(1+E6,C6)-1)/(POWER(1+E6,A6)-1),3)),0,ROUND(POWER(1+E6,A6-C6)*(POWER(1+E6,C6)-1)/(POWER(1+E6,A6)-1),4))</f>
        <v>0.43290000000000001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31.88</v>
      </c>
      <c r="D7" s="3025">
        <f>IF(ISERROR(ROUND(POWER(1+E7,A7-C7)*(POWER(1+E7,C7)-1)/(POWER(1+E7,A7)-1),3)),0,ROUND(POWER(1+E7,A7-C7)*(POWER(1+E7,C7)-1)/(POWER(1+E7,A7)-1),4))</f>
        <v>0.76259999999999994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3390</v>
      </c>
    </row>
    <row r="50" spans="1:4">
      <c r="A50" s="3449" t="s">
        <v>3391</v>
      </c>
      <c r="B50" s="3449" t="s">
        <v>3392</v>
      </c>
      <c r="C50" s="3449" t="s">
        <v>3393</v>
      </c>
      <c r="D50" s="3449" t="s">
        <v>3394</v>
      </c>
    </row>
    <row r="51" spans="1:4">
      <c r="A51" s="3449" t="s">
        <v>3395</v>
      </c>
      <c r="B51" s="3022">
        <f>B52+B53</f>
        <v>15000</v>
      </c>
      <c r="C51" s="3450">
        <f>D51/B51</f>
        <v>2666.6666666666665</v>
      </c>
      <c r="D51" s="3022">
        <f>D52+D53</f>
        <v>40000000</v>
      </c>
    </row>
    <row r="52" spans="1:4">
      <c r="A52" s="3451" t="s">
        <v>3396</v>
      </c>
      <c r="B52" s="3452">
        <v>10000</v>
      </c>
      <c r="C52" s="3452">
        <v>1500</v>
      </c>
      <c r="D52" s="3453">
        <f>C52*B52</f>
        <v>15000000</v>
      </c>
    </row>
    <row r="53" spans="1:4">
      <c r="A53" s="3451" t="s">
        <v>3397</v>
      </c>
      <c r="B53" s="3452">
        <v>5000</v>
      </c>
      <c r="C53" s="3452">
        <v>5000</v>
      </c>
      <c r="D53" s="3453">
        <f>C53*B53</f>
        <v>25000000</v>
      </c>
    </row>
    <row r="54" spans="1:4">
      <c r="A54" s="3449" t="s">
        <v>3398</v>
      </c>
      <c r="B54" s="3022">
        <f>B51</f>
        <v>15000</v>
      </c>
      <c r="C54" s="3029">
        <v>700</v>
      </c>
      <c r="D54" s="3022">
        <f t="shared" ref="D54:D55" si="5">C54*B54</f>
        <v>10500000</v>
      </c>
    </row>
    <row r="55" spans="1:4">
      <c r="A55" s="3449" t="s">
        <v>3399</v>
      </c>
      <c r="B55" s="3022">
        <f>B51</f>
        <v>15000</v>
      </c>
      <c r="C55" s="3029">
        <v>1500</v>
      </c>
      <c r="D55" s="3022">
        <f t="shared" si="5"/>
        <v>22500000</v>
      </c>
    </row>
    <row r="56" spans="1:4">
      <c r="A56" s="3449" t="s">
        <v>3400</v>
      </c>
      <c r="B56" s="3022">
        <f>B51</f>
        <v>15000</v>
      </c>
      <c r="C56" s="3454">
        <f>C51+C54+C55</f>
        <v>4866.6666666666661</v>
      </c>
      <c r="D56" s="3022">
        <f>D51+D54+D55</f>
        <v>73000000</v>
      </c>
    </row>
    <row r="58" spans="1:4">
      <c r="A58" s="3449" t="s">
        <v>3401</v>
      </c>
      <c r="B58" s="3455">
        <v>0.05</v>
      </c>
      <c r="C58" s="3022">
        <f>C56*(1+B58)</f>
        <v>5110</v>
      </c>
      <c r="D58" s="3022">
        <f>D56*B58</f>
        <v>3650000</v>
      </c>
    </row>
    <row r="60" spans="1:4">
      <c r="A60" s="3449" t="s">
        <v>3402</v>
      </c>
      <c r="B60" s="3029">
        <v>3500</v>
      </c>
      <c r="C60" s="3029">
        <f>C53</f>
        <v>5000</v>
      </c>
      <c r="D60" s="3022">
        <f>C60*B60</f>
        <v>17500000</v>
      </c>
    </row>
    <row r="62" spans="1:4">
      <c r="A62" s="3449" t="s">
        <v>3403</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15" sqref="I15"/>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1" t="str">
        <f>IF(B10="北京市","北京市",C10)&amp;F10&amp;IF(结果表!G1="在建","出让国有建设用地使用权及在建建筑物",IF(结果表!G1="土地","出让国有建设用地使用权",))&amp;B9&amp;"预评估"</f>
        <v>北京市房地产市场价值预评估</v>
      </c>
      <c r="C1" s="3512"/>
      <c r="D1" s="3512"/>
      <c r="E1" s="3512"/>
      <c r="F1" s="3512"/>
      <c r="G1" s="3512"/>
      <c r="H1" s="3512"/>
      <c r="I1" s="351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45696</v>
      </c>
      <c r="C3" s="2374" t="s">
        <v>2171</v>
      </c>
      <c r="D3" s="2373">
        <f>B3</f>
        <v>45696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3408</v>
      </c>
      <c r="C8" s="2390"/>
      <c r="D8" s="3514" t="s">
        <v>2177</v>
      </c>
      <c r="E8" s="2391"/>
      <c r="F8" s="2392"/>
      <c r="G8" s="2663"/>
      <c r="H8" s="2663"/>
      <c r="I8" s="2663"/>
      <c r="J8" s="2439"/>
      <c r="K8" s="2614"/>
      <c r="L8" s="2613"/>
      <c r="M8" s="2613"/>
      <c r="N8" s="2439"/>
      <c r="O8" s="2450"/>
      <c r="P8" s="2439"/>
      <c r="Q8" s="2439"/>
      <c r="R8" s="2439"/>
    </row>
    <row r="9" spans="1:30" ht="13.8" thickBot="1">
      <c r="A9" s="2393" t="s">
        <v>2178</v>
      </c>
      <c r="B9" s="2394" t="s">
        <v>3409</v>
      </c>
      <c r="C9" s="2395"/>
      <c r="D9" s="3515"/>
      <c r="E9" s="2394"/>
      <c r="F9" s="2396"/>
      <c r="G9" s="2665"/>
      <c r="H9" s="2665"/>
      <c r="I9" s="2665"/>
      <c r="J9" s="2439"/>
      <c r="K9" s="2616"/>
      <c r="L9" s="2613"/>
      <c r="M9" s="2613"/>
      <c r="N9" s="2439"/>
      <c r="O9" s="2450"/>
      <c r="P9" s="2439"/>
      <c r="Q9" s="2439"/>
      <c r="R9" s="2439"/>
    </row>
    <row r="10" spans="1:30" ht="13.8" thickTop="1">
      <c r="A10" s="2397" t="s">
        <v>2179</v>
      </c>
      <c r="B10" s="2398" t="s">
        <v>3410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v>60306</v>
      </c>
      <c r="E13" s="856"/>
      <c r="F13" s="856"/>
      <c r="G13" s="856">
        <v>63958</v>
      </c>
      <c r="H13" s="856"/>
      <c r="I13" s="856"/>
      <c r="J13" s="3062"/>
      <c r="K13" s="2613"/>
      <c r="L13" s="2613"/>
      <c r="M13" s="2439"/>
      <c r="N13" s="2450"/>
      <c r="O13" s="2439"/>
      <c r="P13" s="2439"/>
      <c r="Q13" s="2439"/>
      <c r="AD13" s="1745"/>
    </row>
    <row r="14" spans="1:30">
      <c r="A14" s="1081"/>
      <c r="B14" s="2407" t="s">
        <v>2191</v>
      </c>
      <c r="C14" s="2408"/>
      <c r="D14" s="2408">
        <v>40</v>
      </c>
      <c r="E14" s="2408"/>
      <c r="F14" s="2408"/>
      <c r="G14" s="2408">
        <v>50</v>
      </c>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40</v>
      </c>
      <c r="E15" s="2410" t="str">
        <f>IF(A13="出让",IF(E13="","",ROUNDDOWN(MIN((E13-$D$3)/365,E14),2)),E14)</f>
        <v/>
      </c>
      <c r="F15" s="2410" t="str">
        <f>IF(A13="出让",IF(F13="","",ROUNDDOWN(MIN((F13-$D$3)/365,F14),2)),F14)</f>
        <v/>
      </c>
      <c r="G15" s="2410">
        <f>IF(A13="出让",IF(G13="","",ROUNDDOWN(MIN((G13-$D$3)/365,G14),2)),G14)</f>
        <v>50</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1"/>
      <c r="C16" s="3522"/>
      <c r="D16" s="3523"/>
      <c r="E16" s="2413" t="s">
        <v>2194</v>
      </c>
      <c r="F16" s="3524"/>
      <c r="G16" s="3525"/>
      <c r="H16" s="3525"/>
      <c r="I16" s="3526"/>
      <c r="J16" s="2439"/>
      <c r="K16" s="2617"/>
      <c r="L16" s="2451"/>
      <c r="M16" s="2451"/>
      <c r="N16" s="2509"/>
      <c r="O16" s="2451"/>
      <c r="P16" s="2509"/>
      <c r="Q16" s="2439"/>
      <c r="R16" s="2439"/>
    </row>
    <row r="17" spans="1:28">
      <c r="A17" s="313" t="s">
        <v>2195</v>
      </c>
      <c r="B17" s="302" t="s">
        <v>2196</v>
      </c>
      <c r="C17" s="8">
        <f>'数据-汇总表'!E3</f>
        <v>41650.49</v>
      </c>
      <c r="D17" s="2322" t="s">
        <v>2197</v>
      </c>
      <c r="E17" s="3527" t="s">
        <v>2198</v>
      </c>
      <c r="F17" s="3528"/>
      <c r="G17" s="3528"/>
      <c r="H17" s="3528"/>
      <c r="I17" s="3529"/>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30" t="s">
        <v>2202</v>
      </c>
      <c r="F18" s="3531"/>
      <c r="G18" s="3531"/>
      <c r="H18" s="3531"/>
      <c r="I18" s="3532"/>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7" t="s">
        <v>2206</v>
      </c>
      <c r="C20" s="3518"/>
      <c r="D20" s="3519" t="s">
        <v>2207</v>
      </c>
      <c r="E20" s="3520"/>
      <c r="F20" s="2647" t="s">
        <v>1056</v>
      </c>
      <c r="G20" s="2664"/>
      <c r="H20" s="2664"/>
      <c r="I20" s="2664"/>
      <c r="J20" s="2439"/>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5"/>
      <c r="B30" s="302" t="s">
        <v>2218</v>
      </c>
      <c r="C30" s="3536"/>
      <c r="D30" s="3537"/>
      <c r="E30" s="2664"/>
      <c r="F30" s="2664"/>
      <c r="G30" s="2664"/>
      <c r="H30" s="2664"/>
      <c r="I30" s="2664"/>
      <c r="J30" s="2439"/>
      <c r="K30" s="2616"/>
      <c r="L30" s="2613"/>
      <c r="M30" s="2613"/>
      <c r="N30" s="2439"/>
      <c r="O30" s="2450"/>
      <c r="P30" s="2439"/>
      <c r="Q30" s="2439"/>
      <c r="R30" s="2439"/>
      <c r="S30" s="2439"/>
      <c r="T30" s="2439"/>
      <c r="U30" s="2439"/>
      <c r="V30" s="2439"/>
    </row>
    <row r="31" spans="1:28">
      <c r="A31" s="353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3" t="s">
        <v>2228</v>
      </c>
      <c r="T34" s="2428" t="str">
        <f>NUMBERSTRING(7-K34,1)&amp;"通"</f>
        <v>七通</v>
      </c>
      <c r="U34" s="2439"/>
      <c r="V34" s="2439"/>
    </row>
    <row r="35" spans="1:30">
      <c r="A35" s="2429"/>
      <c r="B35" s="3540" t="s">
        <v>2229</v>
      </c>
      <c r="C35" s="3540"/>
      <c r="D35" s="3540"/>
      <c r="E35" s="354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41650.49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41650.49</v>
      </c>
      <c r="H5" s="13">
        <f t="shared" ref="H5:AT5" si="0">SUM(H13:H656)</f>
        <v>41650.49</v>
      </c>
      <c r="I5" s="13">
        <f t="shared" si="0"/>
        <v>6325.11</v>
      </c>
      <c r="J5" s="13">
        <f t="shared" si="0"/>
        <v>0</v>
      </c>
      <c r="K5" s="13">
        <f t="shared" si="0"/>
        <v>35325.379999999997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41650.49</v>
      </c>
      <c r="BA5" s="15">
        <f t="shared" si="1"/>
        <v>41650.49</v>
      </c>
      <c r="BB5" s="15">
        <f t="shared" si="1"/>
        <v>6325.11</v>
      </c>
      <c r="BC5" s="15">
        <f t="shared" si="1"/>
        <v>35325.379999999997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3412</v>
      </c>
      <c r="J9" s="809"/>
      <c r="K9" s="1603" t="s">
        <v>3413</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9" t="s">
        <v>3334</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仓储</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3414</v>
      </c>
      <c r="E13" s="13">
        <f>IF($C$3="是",ROUND($A$3*G13/$B$3,2),ROUND($A$3*(G13-AT13)/$B$3,2))</f>
        <v>0</v>
      </c>
      <c r="F13" s="29"/>
      <c r="G13" s="30">
        <f>H13+AC13+AT13</f>
        <v>41650.49</v>
      </c>
      <c r="H13" s="17">
        <f>SUMIF(I$12:AB$12,"总值",I13:AB13)</f>
        <v>41650.49</v>
      </c>
      <c r="I13" s="1626">
        <v>6325.11</v>
      </c>
      <c r="J13" s="1626"/>
      <c r="K13" s="1626">
        <v>35325.379999999997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41650.49</v>
      </c>
      <c r="BA13" s="13">
        <f>SUM(BB13:BK13)</f>
        <v>41650.49</v>
      </c>
      <c r="BB13" s="13">
        <f>IF($D13="是",I13-J13,0)</f>
        <v>6325.11</v>
      </c>
      <c r="BC13" s="13">
        <f>IF($D13="是",K13-L13,0)</f>
        <v>35325.379999999997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16" sqref="I16"/>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0" t="s">
        <v>1131</v>
      </c>
      <c r="B2" s="3550"/>
      <c r="C2" s="3550"/>
      <c r="D2" s="796" t="s">
        <v>1107</v>
      </c>
      <c r="E2" s="1639" t="s">
        <v>1108</v>
      </c>
      <c r="F2" s="2659"/>
      <c r="G2" s="2650"/>
      <c r="H2" s="2651"/>
      <c r="I2" s="2325" t="s">
        <v>1132</v>
      </c>
      <c r="J2" s="2659"/>
      <c r="K2" s="2659"/>
      <c r="L2" s="2659"/>
      <c r="M2" s="2659"/>
      <c r="N2" s="2661"/>
      <c r="O2" s="2659"/>
      <c r="P2" s="2659"/>
    </row>
    <row r="3" spans="1:16" ht="15" thickBot="1">
      <c r="A3" s="3551" t="s">
        <v>1105</v>
      </c>
      <c r="B3" s="3551"/>
      <c r="C3" s="3551"/>
      <c r="D3" s="43">
        <f>'数据-基础表'!AY6</f>
        <v>0</v>
      </c>
      <c r="E3" s="43">
        <f>'数据-基础表'!AZ5</f>
        <v>41650.49</v>
      </c>
      <c r="F3" s="2659"/>
      <c r="G3" s="1145"/>
      <c r="H3" s="1026" t="s">
        <v>1106</v>
      </c>
      <c r="I3" s="855" t="e">
        <f>ROUND('数据-基础表'!B3/'数据-基础表'!A3,2)</f>
        <v>#DIV/0!</v>
      </c>
      <c r="J3" s="2659"/>
      <c r="K3" s="2659"/>
      <c r="L3" s="2659"/>
      <c r="M3" s="2659"/>
      <c r="N3" s="2661"/>
      <c r="O3" s="2659"/>
      <c r="P3" s="2659"/>
    </row>
    <row r="4" spans="1:16" ht="14.4">
      <c r="A4" s="3552"/>
      <c r="B4" s="3553"/>
      <c r="C4" s="355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5" t="s">
        <v>1110</v>
      </c>
      <c r="C5" s="355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5" t="s">
        <v>1111</v>
      </c>
      <c r="C6" s="3555"/>
      <c r="D6" s="45">
        <f>ROUND($D$3*E6/$E$3,2)</f>
        <v>0</v>
      </c>
      <c r="E6" s="46">
        <f>E3-E5</f>
        <v>41650.49</v>
      </c>
      <c r="F6" s="2659"/>
      <c r="G6" s="2653" t="s">
        <v>1112</v>
      </c>
      <c r="H6" s="1146" t="s">
        <v>1113</v>
      </c>
      <c r="I6" s="2654" t="e">
        <f>ROUND(F31/D31,2)</f>
        <v>#DIV/0!</v>
      </c>
      <c r="J6" s="2659"/>
      <c r="K6" s="2659"/>
      <c r="L6" s="2659"/>
      <c r="M6" s="2659"/>
      <c r="N6" s="2659"/>
      <c r="O6" s="2659"/>
      <c r="P6" s="2659"/>
    </row>
    <row r="7" spans="1:16" ht="15" thickBot="1">
      <c r="A7" s="3547"/>
      <c r="B7" s="3548"/>
      <c r="C7" s="3549"/>
      <c r="D7" s="1641" t="s">
        <v>1107</v>
      </c>
      <c r="E7" s="1645" t="s">
        <v>1114</v>
      </c>
      <c r="F7" s="2659"/>
      <c r="G7" s="2655" t="s">
        <v>1115</v>
      </c>
      <c r="H7" s="2656"/>
      <c r="I7" s="2657">
        <v>2.4500000000000002</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6325.11</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35325.379999999997</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41650.49</v>
      </c>
      <c r="F16" s="2659"/>
      <c r="G16" s="2660"/>
      <c r="H16" s="1648" t="s">
        <v>1135</v>
      </c>
      <c r="I16" s="1649"/>
      <c r="J16" s="1139"/>
      <c r="K16" s="3544" t="s">
        <v>1135</v>
      </c>
      <c r="L16" s="3545"/>
      <c r="M16" s="3545"/>
      <c r="N16" s="3545"/>
      <c r="O16" s="3545"/>
      <c r="P16" s="3546"/>
    </row>
    <row r="17" spans="1:19" ht="14.4">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3415</v>
      </c>
      <c r="D19" s="45">
        <f>ROUND($D$3*E19/$E$3,2)</f>
        <v>0</v>
      </c>
      <c r="E19" s="53">
        <f t="shared" ref="E19:E26" si="1">SUM(F19:G19)</f>
        <v>6325.11</v>
      </c>
      <c r="F19" s="2795">
        <f>'数据-基础表'!I13</f>
        <v>6325.11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6325.11</v>
      </c>
    </row>
    <row r="20" spans="1:19" ht="14.4">
      <c r="A20" s="1670"/>
      <c r="B20" s="47" t="s">
        <v>1153</v>
      </c>
      <c r="C20" s="3417" t="s">
        <v>3416</v>
      </c>
      <c r="D20" s="45">
        <f t="shared" ref="D20:D26" si="6">ROUND($D$3*E20/$E$3,2)</f>
        <v>0</v>
      </c>
      <c r="E20" s="53">
        <f t="shared" si="1"/>
        <v>35325.379999999997</v>
      </c>
      <c r="F20" s="2795"/>
      <c r="G20" s="2796">
        <f>'数据-基础表'!K13</f>
        <v>35325.379999999997</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35325.379999999997</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41650.49</v>
      </c>
      <c r="F27" s="1140">
        <f>IF(SUM(F19:F26)=E8,SUM(F19:F26),"地上面积有误")</f>
        <v>6325.11</v>
      </c>
      <c r="G27" s="1142">
        <f>SUM(G19:G26)</f>
        <v>35325.379999999997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41650.49</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41650.49</v>
      </c>
      <c r="F31" s="677">
        <f>F27+F30</f>
        <v>6325.11</v>
      </c>
      <c r="G31" s="678">
        <f>G27+G30</f>
        <v>35325.379999999997</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T15" sqref="T1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3" width="7.21875" style="1682" customWidth="1"/>
    <col min="34" max="34" width="11"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45696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商业</v>
      </c>
      <c r="B6" s="1713" t="str">
        <f>IF(A6=0,"","经营性")</f>
        <v>经营性</v>
      </c>
      <c r="C6" s="1714" t="s">
        <v>673</v>
      </c>
      <c r="D6" s="858">
        <f>SUMIF(项目基本情况!C$12:I$12,C6,项目基本情况!C$14:I$14)</f>
        <v>40</v>
      </c>
      <c r="E6" s="857">
        <f>IF(B6="","",SUMIF(项目基本情况!C$12:I$12,C6,项目基本情况!C$13:I$13))</f>
        <v>60306</v>
      </c>
      <c r="F6" s="64">
        <f>SUMIF(项目基本情况!C$12:I$12,C6,项目基本情况!C$15:I$15)</f>
        <v>40</v>
      </c>
      <c r="G6" s="65">
        <f>IF(ISERROR(ROUND(POWER(1+H6,D6-F6)*(POWER(1+H6,F6)-1)/(POWER(1+H6,D6)-1),3)),0,ROUND(POWER(1+H6,D6-F6)*(POWER(1+H6,F6)-1)/(POWER(1+H6,D6)-1),3))</f>
        <v>1</v>
      </c>
      <c r="H6" s="732">
        <v>5.5E-2</v>
      </c>
      <c r="I6" s="732">
        <v>6.5000000000000002E-2</v>
      </c>
      <c r="J6" s="66">
        <v>7.4999999999999997E-2</v>
      </c>
      <c r="K6" s="1030">
        <f>SUMIF('数据-汇总表'!C$19:C$33,A6,'数据-汇总表'!E$19:E$33)</f>
        <v>6325.11</v>
      </c>
      <c r="L6" s="733">
        <v>3000</v>
      </c>
      <c r="M6" s="67">
        <f t="shared" ref="M6:M14" si="0">ROUND(K6*L6/10000,0)</f>
        <v>1898</v>
      </c>
      <c r="N6" s="731">
        <v>0.9</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v>0.9</v>
      </c>
      <c r="AE6" s="1041">
        <f ca="1">IF(AN6="",0,SUMIF(INDIRECT("'"&amp;AN6&amp;"'"&amp;"!E:E"),$AE$5,INDIRECT("'"&amp;AN6&amp;"'"&amp;"!F:F")))</f>
        <v>0</v>
      </c>
      <c r="AF6" s="1348"/>
      <c r="AG6" s="138">
        <f>IF(AF6="",0,AE6-AF6)</f>
        <v>0</v>
      </c>
      <c r="AH6" s="3428">
        <f>K6</f>
        <v>6325.11</v>
      </c>
      <c r="AI6" s="76">
        <v>365</v>
      </c>
      <c r="AJ6" s="77"/>
      <c r="AK6" s="78">
        <v>0.02</v>
      </c>
      <c r="AL6" s="79">
        <v>2E-3</v>
      </c>
      <c r="AM6" s="80">
        <v>0.02</v>
      </c>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t="str">
        <f>'数据-汇总表'!C20</f>
        <v>仓储</v>
      </c>
      <c r="B7" s="1713" t="str">
        <f t="shared" ref="B7:B13" si="1">IF(A7=0,"","经营性")</f>
        <v>经营性</v>
      </c>
      <c r="C7" s="1714" t="s">
        <v>3334</v>
      </c>
      <c r="D7" s="858">
        <f>SUMIF(项目基本情况!C$12:I$12,C7,项目基本情况!C$14:I$14)</f>
        <v>50</v>
      </c>
      <c r="E7" s="857">
        <f>IF(B7="","",SUMIF(项目基本情况!C$12:I$12,C7,项目基本情况!C$13:I$13))</f>
        <v>63958</v>
      </c>
      <c r="F7" s="64">
        <f>SUMIF(项目基本情况!C$12:I$12,C7,项目基本情况!C$15:I$15)</f>
        <v>50</v>
      </c>
      <c r="G7" s="65">
        <f t="shared" ref="G7:G11" si="2">IF(ISERROR(ROUND(POWER(1+H7,D7-F7)*(POWER(1+H7,F7)-1)/(POWER(1+H7,D7)-1),3)),0,ROUND(POWER(1+H7,D7-F7)*(POWER(1+H7,F7)-1)/(POWER(1+H7,D7)-1),3))</f>
        <v>1</v>
      </c>
      <c r="H7" s="732">
        <v>0.05</v>
      </c>
      <c r="I7" s="732">
        <v>5.5E-2</v>
      </c>
      <c r="J7" s="66">
        <v>0.06</v>
      </c>
      <c r="K7" s="1030">
        <f>SUMIF('数据-汇总表'!C$19:C$33,A7,'数据-汇总表'!E$19:E$33)</f>
        <v>35325.379999999997</v>
      </c>
      <c r="L7" s="733">
        <v>2800</v>
      </c>
      <c r="M7" s="67">
        <f t="shared" si="0"/>
        <v>9891</v>
      </c>
      <c r="N7" s="731">
        <v>0.9</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0.8</v>
      </c>
      <c r="V7" s="70">
        <v>0.01</v>
      </c>
      <c r="W7" s="70">
        <v>0.15</v>
      </c>
      <c r="X7" s="1040"/>
      <c r="Y7" s="71">
        <v>0.9</v>
      </c>
      <c r="Z7" s="72"/>
      <c r="AA7" s="66"/>
      <c r="AB7" s="66"/>
      <c r="AC7" s="1040"/>
      <c r="AD7" s="73">
        <v>0.9</v>
      </c>
      <c r="AE7" s="1041">
        <f t="shared" ref="AE7:AE13" ca="1" si="6">IF(AN7="",0,SUMIF(INDIRECT("'"&amp;AN7&amp;"'"&amp;"!E:E"),$AE$5,INDIRECT("'"&amp;AN7&amp;"'"&amp;"!F:F")))</f>
        <v>50</v>
      </c>
      <c r="AF7" s="1348"/>
      <c r="AG7" s="138">
        <f t="shared" ref="AG7:AG13" si="7">IF(AF7="",0,AE7-AF7)</f>
        <v>0</v>
      </c>
      <c r="AH7" s="3428">
        <f>K7</f>
        <v>35325.379999999997</v>
      </c>
      <c r="AI7" s="76">
        <v>365</v>
      </c>
      <c r="AJ7" s="77"/>
      <c r="AK7" s="78">
        <v>5.0000000000000001E-3</v>
      </c>
      <c r="AL7" s="79">
        <v>1E-3</v>
      </c>
      <c r="AM7" s="80">
        <v>5.0000000000000001E-3</v>
      </c>
      <c r="AN7" s="1715" t="s">
        <v>3406</v>
      </c>
      <c r="AO7" s="52">
        <f t="shared" ref="AO7:AO13" ca="1" si="8">SUMIF(INDIRECT("'"&amp;AN7&amp;"'"&amp;"!A:A"),"总价",INDIRECT("'"&amp;AN7&amp;"'"&amp;"!B:B"))</f>
        <v>13072.6538</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1</v>
      </c>
      <c r="H16" s="90">
        <f>ROUND(SUMPRODUCT(H6:H13,K6:K13)/SUMPRODUCT((H6:H13&gt;0)*(K6:K13)),3)</f>
        <v>5.0999999999999997E-2</v>
      </c>
      <c r="I16" s="91"/>
      <c r="J16" s="91"/>
      <c r="K16" s="92">
        <f>SUM(K6:K15)</f>
        <v>41650.49</v>
      </c>
      <c r="L16" s="93">
        <f>ROUND(M16*10000/SUM(K6:K14),0)</f>
        <v>2830</v>
      </c>
      <c r="M16" s="93">
        <f>SUM(M6:M14)</f>
        <v>11789</v>
      </c>
      <c r="N16" s="94">
        <f>ROUND(SUMPRODUCT(M6:M14,N6:N14)/M16,3)</f>
        <v>0.9</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1</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300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300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3387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3388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0.05</v>
      </c>
      <c r="C44" s="2803" t="s">
        <v>3389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56" t="s">
        <v>2286</v>
      </c>
      <c r="B1" s="3557"/>
      <c r="C1" s="3557"/>
      <c r="D1" s="3557"/>
      <c r="E1" s="3557"/>
      <c r="F1" s="3557"/>
      <c r="G1" s="355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41650.49</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45696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257728464.84999999</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'数据-汇总表'!E3</f>
        <v>41650.49</v>
      </c>
      <c r="C14" s="2518"/>
      <c r="D14" s="2518">
        <f ca="1">'比较法-商业'!C49*'数据-汇总表'!F19+'数据-汇总表'!G20*'收益法-仓储'!B3</f>
        <v>257728464.84999999</v>
      </c>
      <c r="E14" s="2518">
        <f ca="1">ROUND(D14*10000/B14,0)</f>
        <v>61878855</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8</v>
      </c>
    </row>
    <row r="2" spans="1:9" s="200" customFormat="1" ht="18" customHeight="1">
      <c r="A2" s="201" t="s">
        <v>1462</v>
      </c>
      <c r="B2" s="202">
        <f ca="1">IF(D2="——",C52,C52-E2)</f>
        <v>15564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3737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833</v>
      </c>
      <c r="D10" s="845">
        <f ca="1">IF(B1="",'数据-汇总表'!E6,IF(INDIRECT("'数据-取费表'!c"&amp;$G$1)="住宅",INDIRECT("'数据-取费表'!s"&amp;$G$1),INDIRECT("'数据-取费表'!k"&amp;$G$1)+INDIRECT("'数据-取费表'!s"&amp;$G$1)))</f>
        <v>41650.49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1250</v>
      </c>
      <c r="D19" s="849">
        <f ca="1">D9+D10</f>
        <v>41650.49</v>
      </c>
      <c r="E19" s="211">
        <f>'数据-取费表'!B31</f>
        <v>300</v>
      </c>
      <c r="F19" s="231"/>
      <c r="G19" s="1856"/>
    </row>
    <row r="20" spans="1:7" s="214" customFormat="1" ht="13.5" customHeight="1">
      <c r="A20" s="255" t="s">
        <v>1493</v>
      </c>
      <c r="B20" s="210" t="s">
        <v>1494</v>
      </c>
      <c r="C20" s="232">
        <f ca="1">ROUND((C5+C19)*F20,0)</f>
        <v>13</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59</v>
      </c>
      <c r="D22" s="235">
        <f ca="1">C26</f>
        <v>2.9999999999999997E-4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59</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6.4">
      <c r="A27" s="255" t="s">
        <v>1512</v>
      </c>
      <c r="B27" s="244" t="s">
        <v>1513</v>
      </c>
      <c r="C27" s="245">
        <f ca="1">C28</f>
        <v>101</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101</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1519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13212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11789</v>
      </c>
      <c r="D34" s="217"/>
      <c r="E34" s="220"/>
      <c r="F34" s="257">
        <f ca="1">IF('数据-取费表'!B24=0,1,IF(B1="",'数据-取费表'!N16,INDIRECT("'数据-取费表'!n"&amp;$G$1)))</f>
        <v>1</v>
      </c>
      <c r="G34" s="219" t="s">
        <v>1526</v>
      </c>
    </row>
    <row r="35" spans="1:7" ht="13.5" customHeight="1">
      <c r="A35" s="780" t="s">
        <v>351</v>
      </c>
      <c r="B35" s="215" t="s">
        <v>1527</v>
      </c>
      <c r="C35" s="220">
        <f ca="1">ROUND(C34*F35,0)</f>
        <v>354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833</v>
      </c>
      <c r="D37" s="217">
        <f ca="1">D19</f>
        <v>41650.49</v>
      </c>
      <c r="E37" s="249">
        <f>'数据-取费表'!B35</f>
        <v>200</v>
      </c>
      <c r="F37" s="259"/>
      <c r="G37" s="261" t="s">
        <v>1532</v>
      </c>
    </row>
    <row r="38" spans="1:7" ht="13.5" customHeight="1">
      <c r="A38" s="780" t="s">
        <v>354</v>
      </c>
      <c r="B38" s="215" t="s">
        <v>1533</v>
      </c>
      <c r="C38" s="220">
        <f ca="1">ROUND(C34*F38,0)</f>
        <v>236</v>
      </c>
      <c r="D38" s="220"/>
      <c r="E38" s="220"/>
      <c r="F38" s="259">
        <f>'数据-取费表'!B36</f>
        <v>0.02</v>
      </c>
      <c r="G38" s="219" t="s">
        <v>1528</v>
      </c>
    </row>
    <row r="39" spans="1:7" s="214" customFormat="1" ht="13.5" customHeight="1">
      <c r="A39" s="255" t="s">
        <v>1534</v>
      </c>
      <c r="B39" s="210" t="s">
        <v>1535</v>
      </c>
      <c r="C39" s="232">
        <f ca="1">ROUND(C33*F20,0)</f>
        <v>132</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205</v>
      </c>
      <c r="D41" s="235">
        <f ca="1">C44</f>
        <v>2.0000000000000001E-4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203</v>
      </c>
      <c r="D42" s="238"/>
      <c r="E42" s="238"/>
      <c r="F42" s="239"/>
      <c r="G42" s="3652" t="s">
        <v>1544</v>
      </c>
    </row>
    <row r="43" spans="1:7" ht="13.5" customHeight="1">
      <c r="A43" s="780" t="s">
        <v>347</v>
      </c>
      <c r="B43" s="215" t="s">
        <v>1545</v>
      </c>
      <c r="C43" s="238">
        <f ca="1">ROUND(IF('数据-取费表'!B22&lt;=1,C39*F22*'数据-取费表'!B21/2,C39*(POWER((1+F22),'数据-取费表'!B21/2)-1)),0)</f>
        <v>2</v>
      </c>
      <c r="D43" s="238"/>
      <c r="E43" s="238"/>
      <c r="F43" s="239"/>
      <c r="G43" s="3653"/>
    </row>
    <row r="44" spans="1:7" ht="13.5" customHeight="1">
      <c r="A44" s="780" t="s">
        <v>348</v>
      </c>
      <c r="B44" s="215" t="s">
        <v>1546</v>
      </c>
      <c r="C44" s="238">
        <f ca="1">ROUND(IF('数据-取费表'!B22&lt;=1,C40*F22*'数据-取费表'!B21/2,C40*(POWER((1+F22),'数据-取费表'!B21/2)-1)),4)</f>
        <v>2.0000000000000001E-4</v>
      </c>
      <c r="D44" s="238"/>
      <c r="E44" s="238"/>
      <c r="F44" s="239"/>
      <c r="G44" s="3654"/>
    </row>
    <row r="45" spans="1:7" s="214" customFormat="1" ht="13.5" customHeight="1">
      <c r="A45" s="255" t="s">
        <v>1547</v>
      </c>
      <c r="B45" s="244" t="s">
        <v>1513</v>
      </c>
      <c r="C45" s="245">
        <f ca="1">C46</f>
        <v>1068</v>
      </c>
      <c r="D45" s="235">
        <f ca="1">C47</f>
        <v>8.0000000000000004E-4</v>
      </c>
      <c r="E45" s="236" t="s">
        <v>1539</v>
      </c>
      <c r="F45" s="246">
        <f ca="1">F27</f>
        <v>0.08</v>
      </c>
      <c r="G45" s="247" t="s">
        <v>1548</v>
      </c>
    </row>
    <row r="46" spans="1:7" s="214" customFormat="1" ht="13.5" customHeight="1">
      <c r="A46" s="780" t="s">
        <v>346</v>
      </c>
      <c r="B46" s="248" t="s">
        <v>1549</v>
      </c>
      <c r="C46" s="249">
        <f ca="1">ROUND((C33+C39)*F27,0)</f>
        <v>1068</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15606</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14045</v>
      </c>
      <c r="D51" s="232"/>
      <c r="E51" s="232"/>
      <c r="F51" s="264"/>
      <c r="G51" s="234" t="s">
        <v>1560</v>
      </c>
    </row>
    <row r="52" spans="1:7" s="208" customFormat="1" ht="16.8" thickBot="1">
      <c r="A52" s="265" t="s">
        <v>1561</v>
      </c>
      <c r="B52" s="266"/>
      <c r="C52" s="267">
        <f ca="1">C31+C51</f>
        <v>15564</v>
      </c>
      <c r="D52" s="266"/>
      <c r="E52" s="266"/>
      <c r="F52" s="266"/>
      <c r="G52" s="268"/>
    </row>
    <row r="55" spans="1:7" ht="15">
      <c r="B55" s="270" t="s">
        <v>1562</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16589.5952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3983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8330098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8330098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8330098</v>
      </c>
      <c r="D10" s="845">
        <f ca="1">IF(B1="",'数据-汇总表'!E6,IF(INDIRECT("'数据-取费表'!c"&amp;$G$1)="住宅",INDIRECT("'数据-取费表'!s"&amp;$G$1),INDIRECT("'数据-取费表'!k"&amp;$G$1)+INDIRECT("'数据-取费表'!s"&amp;$G$1)))</f>
        <v>41650.49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12495147</v>
      </c>
      <c r="D19" s="849">
        <f ca="1">D9+D10</f>
        <v>41650.49</v>
      </c>
      <c r="E19" s="211">
        <f>'数据-取费表'!B31</f>
        <v>300</v>
      </c>
      <c r="F19" s="231"/>
      <c r="G19" s="1856"/>
    </row>
    <row r="20" spans="1:7" s="214" customFormat="1" ht="13.5" customHeight="1">
      <c r="A20" s="255" t="s">
        <v>1574</v>
      </c>
      <c r="B20" s="210" t="s">
        <v>1575</v>
      </c>
      <c r="C20" s="232">
        <f ca="1">ROUND((C5+C19)*F20,0)</f>
        <v>208252</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1116431</v>
      </c>
      <c r="D22" s="235">
        <f ca="1">C26</f>
        <v>2.9999999999999997E-4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524471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585504</v>
      </c>
      <c r="D24" s="238"/>
      <c r="E24" s="238"/>
      <c r="F24" s="239"/>
      <c r="G24" s="240" t="s">
        <v>1586</v>
      </c>
    </row>
    <row r="25" spans="1:7" s="214" customFormat="1" ht="24">
      <c r="A25" s="780" t="s">
        <v>1476</v>
      </c>
      <c r="B25" s="215" t="s">
        <v>1587</v>
      </c>
      <c r="C25" s="1128">
        <f ca="1">ROUND(IF('数据-取费表'!B22&lt;=1,C20*F22*'数据-取费表'!B22/2,C20*(POWER((1+F22),'数据-取费表'!B22/2)-1)),0)</f>
        <v>6456</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6.4">
      <c r="A27" s="255" t="s">
        <v>1512</v>
      </c>
      <c r="B27" s="244" t="s">
        <v>1513</v>
      </c>
      <c r="C27" s="245">
        <f ca="1">C28</f>
        <v>1682680</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ROUND((C5+C19+C20)*F27,0)</f>
        <v>1682680</v>
      </c>
      <c r="D28" s="235"/>
      <c r="E28" s="236"/>
      <c r="F28" s="246"/>
      <c r="G28" s="247"/>
    </row>
    <row r="29" spans="1:7" s="214" customFormat="1" ht="13.5" customHeight="1">
      <c r="A29" s="780" t="s">
        <v>347</v>
      </c>
      <c r="B29" s="248" t="s">
        <v>1517</v>
      </c>
      <c r="C29" s="238">
        <f ca="1">ROUND(C21*F27,4)</f>
        <v>8.0000000000000004E-4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25448594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132110812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117886394</v>
      </c>
      <c r="D34" s="217"/>
      <c r="E34" s="220"/>
      <c r="F34" s="257"/>
      <c r="G34" s="219"/>
    </row>
    <row r="35" spans="1:7" ht="13.5" customHeight="1">
      <c r="A35" s="780" t="s">
        <v>351</v>
      </c>
      <c r="B35" s="215" t="s">
        <v>1527</v>
      </c>
      <c r="C35" s="220">
        <f ca="1">ROUND(C34*F35,0)</f>
        <v>3536592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8330098</v>
      </c>
      <c r="D37" s="217">
        <f ca="1">D19</f>
        <v>41650.49</v>
      </c>
      <c r="E37" s="249">
        <f>'数据-取费表'!B35</f>
        <v>200</v>
      </c>
      <c r="F37" s="259"/>
      <c r="G37" s="261"/>
    </row>
    <row r="38" spans="1:7" ht="13.5" customHeight="1">
      <c r="A38" s="780" t="s">
        <v>354</v>
      </c>
      <c r="B38" s="215" t="s">
        <v>1533</v>
      </c>
      <c r="C38" s="220">
        <f ca="1">ROUND(C34*F38,0)</f>
        <v>2357728</v>
      </c>
      <c r="D38" s="220"/>
      <c r="E38" s="220"/>
      <c r="F38" s="259">
        <f>'数据-取费表'!B36</f>
        <v>0.02</v>
      </c>
      <c r="G38" s="219" t="s">
        <v>1528</v>
      </c>
    </row>
    <row r="39" spans="1:7" s="214" customFormat="1" ht="13.5" customHeight="1">
      <c r="A39" s="255" t="s">
        <v>1534</v>
      </c>
      <c r="B39" s="210" t="s">
        <v>1535</v>
      </c>
      <c r="C39" s="232">
        <f ca="1">ROUND(C33*F20,0)</f>
        <v>1321108</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2052410</v>
      </c>
      <c r="D41" s="235">
        <f ca="1">C44</f>
        <v>2.0000000000000001E-4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2032089</v>
      </c>
      <c r="D42" s="238"/>
      <c r="E42" s="238"/>
      <c r="F42" s="239"/>
      <c r="G42" s="3652" t="s">
        <v>1591</v>
      </c>
    </row>
    <row r="43" spans="1:7" ht="13.5" customHeight="1">
      <c r="A43" s="780" t="s">
        <v>347</v>
      </c>
      <c r="B43" s="215" t="s">
        <v>1545</v>
      </c>
      <c r="C43" s="238">
        <f ca="1">ROUND(IF('数据-取费表'!B22&lt;=1,C39*F22*'数据-取费表'!B20/2,C39*(POWER((1+F22),'数据-取费表'!B20/2)-1)),0)</f>
        <v>20321</v>
      </c>
      <c r="D43" s="238"/>
      <c r="E43" s="238"/>
      <c r="F43" s="239"/>
      <c r="G43" s="3653"/>
    </row>
    <row r="44" spans="1:7" ht="13.5" customHeight="1">
      <c r="A44" s="780" t="s">
        <v>348</v>
      </c>
      <c r="B44" s="215" t="s">
        <v>1546</v>
      </c>
      <c r="C44" s="238">
        <f ca="1">ROUND(IF('数据-取费表'!B22&lt;=1,C40*F22*'数据-取费表'!B20/2,C40*(POWER((1+F22),'数据-取费表'!B20/2)-1)),4)</f>
        <v>2.0000000000000001E-4</v>
      </c>
      <c r="D44" s="238"/>
      <c r="E44" s="238"/>
      <c r="F44" s="239"/>
      <c r="G44" s="3654"/>
    </row>
    <row r="45" spans="1:7" s="214" customFormat="1" ht="13.5" customHeight="1">
      <c r="A45" s="255" t="s">
        <v>1547</v>
      </c>
      <c r="B45" s="244" t="s">
        <v>1513</v>
      </c>
      <c r="C45" s="245">
        <f ca="1">C46</f>
        <v>10674554</v>
      </c>
      <c r="D45" s="235">
        <f ca="1">C47</f>
        <v>8.0000000000000004E-4</v>
      </c>
      <c r="E45" s="236" t="s">
        <v>1539</v>
      </c>
      <c r="F45" s="246">
        <f ca="1">F27</f>
        <v>0.08</v>
      </c>
      <c r="G45" s="247" t="s">
        <v>1548</v>
      </c>
    </row>
    <row r="46" spans="1:7" s="214" customFormat="1" ht="13.5" customHeight="1">
      <c r="A46" s="780" t="s">
        <v>346</v>
      </c>
      <c r="B46" s="248" t="s">
        <v>1549</v>
      </c>
      <c r="C46" s="249">
        <f ca="1">ROUND((C33+C39)*F27,0)</f>
        <v>10674554</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156052620</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140447358</v>
      </c>
      <c r="D51" s="232"/>
      <c r="E51" s="232"/>
      <c r="F51" s="264"/>
      <c r="G51" s="234" t="s">
        <v>1560</v>
      </c>
    </row>
    <row r="52" spans="1:7" s="208" customFormat="1" ht="16.8" thickBot="1">
      <c r="A52" s="265" t="s">
        <v>1561</v>
      </c>
      <c r="B52" s="266"/>
      <c r="C52" s="267">
        <f ca="1">C31+C51</f>
        <v>165895952</v>
      </c>
      <c r="D52" s="266"/>
      <c r="E52" s="266"/>
      <c r="F52" s="266"/>
      <c r="G52" s="268"/>
    </row>
    <row r="55" spans="1:7" ht="15">
      <c r="B55" s="270" t="s">
        <v>1562</v>
      </c>
      <c r="C55" s="271"/>
    </row>
    <row r="56" spans="1:7">
      <c r="B56" s="273" t="s">
        <v>802</v>
      </c>
      <c r="C56" s="275">
        <f ca="1">1-C57</f>
        <v>0.15300000000000002</v>
      </c>
    </row>
    <row r="57" spans="1:7">
      <c r="B57" s="273" t="s">
        <v>803</v>
      </c>
      <c r="C57" s="274">
        <f ca="1">ROUND(C51/C52,3)</f>
        <v>0.84699999999999998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北京市房地产市场价值预评估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8</v>
      </c>
    </row>
    <row r="2" spans="1:33" ht="18" customHeight="1">
      <c r="A2" s="201" t="s">
        <v>1462</v>
      </c>
      <c r="B2" s="204">
        <f ca="1">C32</f>
        <v>-882</v>
      </c>
      <c r="C2" s="276" t="s">
        <v>1595</v>
      </c>
      <c r="D2" s="276"/>
      <c r="E2" s="2806"/>
      <c r="F2" s="2806"/>
      <c r="G2" s="2806"/>
      <c r="H2" s="2806"/>
      <c r="I2" s="2806"/>
      <c r="J2" s="2806"/>
      <c r="K2" s="2806"/>
    </row>
    <row r="3" spans="1:33" ht="18" customHeight="1" thickBot="1">
      <c r="A3" s="203" t="s">
        <v>1464</v>
      </c>
      <c r="B3" s="204">
        <f ca="1">ROUND(B2*10000/IF(C1="",'数据-汇总表'!E3,INDIRECT("'数据-取费表'!K"&amp;$K$1)),0)</f>
        <v>-212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41650.49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41650.49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833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833</v>
      </c>
      <c r="D20" s="846">
        <f ca="1">IF(C1="",'数据-汇总表'!E6,IF(INDIRECT("'数据-取费表'!c"&amp;$K$1)="住宅",INDIRECT("'数据-取费表'!s"&amp;$K$1),INDIRECT("'数据-取费表'!k"&amp;$K$1)+INDIRECT("'数据-取费表'!s"&amp;$K$1)))</f>
        <v>41650.49</v>
      </c>
      <c r="E20" s="21">
        <f>'数据-取费表'!B28</f>
        <v>200</v>
      </c>
      <c r="F20" s="804"/>
      <c r="G20" s="12"/>
      <c r="H20" s="809"/>
      <c r="I20" s="809"/>
      <c r="J20" s="809"/>
      <c r="K20" s="810"/>
    </row>
    <row r="21" spans="1:33" s="803" customFormat="1" ht="13.5" customHeight="1">
      <c r="A21" s="790" t="s">
        <v>357</v>
      </c>
      <c r="B21" s="813" t="s">
        <v>1628</v>
      </c>
      <c r="C21" s="814">
        <f ca="1">C16+C17+C18</f>
        <v>833</v>
      </c>
      <c r="D21" s="815"/>
      <c r="E21" s="281"/>
      <c r="F21" s="281"/>
      <c r="G21" s="131" t="s">
        <v>1629</v>
      </c>
      <c r="H21" s="807"/>
      <c r="I21" s="807"/>
      <c r="J21" s="807"/>
      <c r="K21" s="808"/>
    </row>
    <row r="22" spans="1:33" s="803" customFormat="1" ht="13.5" customHeight="1">
      <c r="A22" s="790" t="s">
        <v>1601</v>
      </c>
      <c r="B22" s="813" t="s">
        <v>1630</v>
      </c>
      <c r="C22" s="814">
        <f ca="1">ROUND(C21*F22,0)</f>
        <v>8</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67</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67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-882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0</v>
      </c>
      <c r="D6" s="155" t="s">
        <v>2109</v>
      </c>
      <c r="E6" s="302" t="s">
        <v>696</v>
      </c>
      <c r="F6" s="303">
        <f ca="1">INDIRECT("'数据-取费表'!u"&amp;$G$1)</f>
        <v>0</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8" sqref="H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0</v>
      </c>
      <c r="D6" s="155" t="s">
        <v>2106</v>
      </c>
      <c r="E6" s="302" t="s">
        <v>696</v>
      </c>
      <c r="F6" s="303">
        <f ca="1">INDIRECT("'数据-取费表'!u"&amp;$G$1)</f>
        <v>0</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60" t="s">
        <v>2317</v>
      </c>
      <c r="K2" s="3661"/>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62" t="s">
        <v>2327</v>
      </c>
      <c r="K3" s="3663"/>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62" t="s">
        <v>2329</v>
      </c>
      <c r="K4" s="3663"/>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64" t="s">
        <v>2333</v>
      </c>
      <c r="B6" s="3665"/>
      <c r="C6" s="3666"/>
      <c r="D6" s="2870"/>
      <c r="E6" s="2871"/>
      <c r="F6" s="2872"/>
      <c r="G6" s="2873"/>
      <c r="H6" s="2848"/>
      <c r="I6" s="2849"/>
      <c r="J6" s="3667">
        <v>1</v>
      </c>
      <c r="K6" s="3668"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67"/>
      <c r="K7" s="3669"/>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71" t="s">
        <v>2347</v>
      </c>
      <c r="C8" s="3672"/>
      <c r="D8" s="2889" t="s">
        <v>2348</v>
      </c>
      <c r="E8" s="2890" t="s">
        <v>2349</v>
      </c>
      <c r="F8" s="2891" t="s">
        <v>2350</v>
      </c>
      <c r="G8" s="2892"/>
      <c r="H8" s="2848"/>
      <c r="I8" s="2849"/>
      <c r="J8" s="3667"/>
      <c r="K8" s="3669"/>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71" t="s">
        <v>2353</v>
      </c>
      <c r="C9" s="3672"/>
      <c r="D9" s="2889">
        <f>ROUND(D6*E9,0)</f>
        <v>0</v>
      </c>
      <c r="E9" s="2893"/>
      <c r="F9" s="2894" t="s">
        <v>2354</v>
      </c>
      <c r="G9" s="2873"/>
      <c r="H9" s="2848"/>
      <c r="I9" s="2849"/>
      <c r="J9" s="3667"/>
      <c r="K9" s="3669"/>
      <c r="L9" s="2883" t="s">
        <v>2355</v>
      </c>
      <c r="M9" s="2884"/>
      <c r="N9" s="2860"/>
      <c r="O9" s="2885"/>
      <c r="P9" s="2885"/>
      <c r="Q9" s="2886">
        <v>365</v>
      </c>
      <c r="R9" s="2887">
        <f t="shared" si="0"/>
        <v>0</v>
      </c>
      <c r="S9" s="2841"/>
      <c r="T9" s="2841"/>
      <c r="U9" s="2841"/>
      <c r="V9" s="2849"/>
    </row>
    <row r="10" spans="1:22" s="2853" customFormat="1" ht="13.2" customHeight="1">
      <c r="A10" s="2888">
        <v>2</v>
      </c>
      <c r="B10" s="3671" t="s">
        <v>2356</v>
      </c>
      <c r="C10" s="3672"/>
      <c r="D10" s="2889">
        <f>ROUND(D6*E10,0)</f>
        <v>0</v>
      </c>
      <c r="E10" s="2893"/>
      <c r="F10" s="2894" t="s">
        <v>2357</v>
      </c>
      <c r="G10" s="2873"/>
      <c r="H10" s="2848"/>
      <c r="I10" s="2849"/>
      <c r="J10" s="3667"/>
      <c r="K10" s="3669"/>
      <c r="L10" s="2883" t="s">
        <v>2358</v>
      </c>
      <c r="M10" s="2884"/>
      <c r="N10" s="2860"/>
      <c r="O10" s="2885"/>
      <c r="P10" s="2885"/>
      <c r="Q10" s="2886">
        <v>365</v>
      </c>
      <c r="R10" s="2887">
        <f t="shared" si="0"/>
        <v>0</v>
      </c>
      <c r="S10" s="2841"/>
      <c r="T10" s="2841"/>
      <c r="U10" s="2841"/>
      <c r="V10" s="2849"/>
    </row>
    <row r="11" spans="1:22" s="2853" customFormat="1" ht="13.2" customHeight="1">
      <c r="A11" s="2888">
        <v>3</v>
      </c>
      <c r="B11" s="3671" t="s">
        <v>2359</v>
      </c>
      <c r="C11" s="3672"/>
      <c r="D11" s="2889">
        <f>D12+D14+D15+D16</f>
        <v>0</v>
      </c>
      <c r="E11" s="2895" t="e">
        <f>D11/D6</f>
        <v>#DIV/0!</v>
      </c>
      <c r="F11" s="2891"/>
      <c r="G11" s="2892"/>
      <c r="H11" s="2848"/>
      <c r="I11" s="2849"/>
      <c r="J11" s="3667"/>
      <c r="K11" s="3669"/>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73" t="s">
        <v>2362</v>
      </c>
      <c r="C12" s="3674"/>
      <c r="D12" s="2897">
        <f>ROUND(D13*1.2%*(1-30%),0)</f>
        <v>0</v>
      </c>
      <c r="E12" s="2898">
        <v>1.2E-2</v>
      </c>
      <c r="F12" s="2891" t="s">
        <v>2363</v>
      </c>
      <c r="G12" s="2892"/>
      <c r="H12" s="2848"/>
      <c r="I12" s="2849"/>
      <c r="J12" s="3667"/>
      <c r="K12" s="3669"/>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67"/>
      <c r="K13" s="3669"/>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73" t="s">
        <v>2368</v>
      </c>
      <c r="C14" s="3674"/>
      <c r="D14" s="2897">
        <f>ROUND(E14*B5/10000,0)</f>
        <v>0</v>
      </c>
      <c r="E14" s="2886"/>
      <c r="F14" s="2891" t="s">
        <v>2369</v>
      </c>
      <c r="G14" s="2892"/>
      <c r="H14" s="2848"/>
      <c r="I14" s="2849"/>
      <c r="J14" s="3667"/>
      <c r="K14" s="3670"/>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73" t="s">
        <v>2372</v>
      </c>
      <c r="C15" s="3674"/>
      <c r="D15" s="2897">
        <f>ROUND(D6*E15,0)</f>
        <v>0</v>
      </c>
      <c r="E15" s="2898">
        <v>5.5E-2</v>
      </c>
      <c r="F15" s="2891" t="s">
        <v>2373</v>
      </c>
      <c r="G15" s="2873"/>
      <c r="H15" s="2848"/>
      <c r="I15" s="2849"/>
      <c r="J15" s="3667">
        <v>2</v>
      </c>
      <c r="K15" s="3668"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73" t="s">
        <v>2381</v>
      </c>
      <c r="C16" s="3674"/>
      <c r="D16" s="2908">
        <f>D6*E16</f>
        <v>0</v>
      </c>
      <c r="E16" s="2909"/>
      <c r="F16" s="2894" t="s">
        <v>2382</v>
      </c>
      <c r="G16" s="2873"/>
      <c r="H16" s="2848"/>
      <c r="I16" s="2849"/>
      <c r="J16" s="3667"/>
      <c r="K16" s="3669"/>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75" t="s">
        <v>2384</v>
      </c>
      <c r="C17" s="3676"/>
      <c r="D17" s="2911">
        <f>ROUND(D6*E17,0)</f>
        <v>0</v>
      </c>
      <c r="E17" s="2912"/>
      <c r="F17" s="2913" t="s">
        <v>2385</v>
      </c>
      <c r="G17" s="2873"/>
      <c r="H17" s="2848"/>
      <c r="I17" s="2849"/>
      <c r="J17" s="3667"/>
      <c r="K17" s="3669"/>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67"/>
      <c r="K18" s="3669"/>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67"/>
      <c r="K19" s="3670"/>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67">
        <v>3</v>
      </c>
      <c r="K20" s="3668"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67"/>
      <c r="K21" s="3669"/>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67"/>
      <c r="K22" s="3669"/>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67"/>
      <c r="K23" s="3669"/>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67"/>
      <c r="K24" s="3670"/>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77">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78"/>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60" t="s">
        <v>2317</v>
      </c>
      <c r="K32" s="3661"/>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62" t="s">
        <v>2327</v>
      </c>
      <c r="K33" s="3663"/>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62" t="s">
        <v>2329</v>
      </c>
      <c r="K34" s="3663"/>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67">
        <v>1</v>
      </c>
      <c r="K36" s="3668"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67"/>
      <c r="K37" s="3669"/>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67"/>
      <c r="K38" s="3669"/>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67"/>
      <c r="K39" s="3669"/>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67"/>
      <c r="K40" s="3670"/>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77">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78"/>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13072.6538</v>
      </c>
      <c r="C2" s="1872" t="s">
        <v>1651</v>
      </c>
      <c r="D2" s="1873" t="s">
        <v>1652</v>
      </c>
      <c r="E2" s="2607">
        <f>SUM(E6:E13)</f>
        <v>35325.379999999997</v>
      </c>
      <c r="F2" s="2707"/>
      <c r="G2" s="1489"/>
      <c r="H2" s="1489"/>
      <c r="I2" s="1489"/>
      <c r="J2" s="1489"/>
      <c r="K2" s="1489"/>
      <c r="L2" s="1489"/>
      <c r="M2" s="1489"/>
      <c r="N2" s="1489"/>
      <c r="O2" s="1489"/>
      <c r="P2" s="1489"/>
      <c r="Q2" s="1489"/>
      <c r="R2" s="1489"/>
      <c r="S2" s="1489"/>
    </row>
    <row r="3" spans="1:22" ht="15.6">
      <c r="A3" s="1870" t="s">
        <v>686</v>
      </c>
      <c r="B3" s="2601">
        <f ca="1">ROUND(B2*10000/E2,0)</f>
        <v>3701</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79" t="s">
        <v>1654</v>
      </c>
      <c r="C5" s="3680"/>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t="str">
        <f>'数据-取费表'!AN7</f>
        <v>收益法-仓储</v>
      </c>
      <c r="B7" s="2602">
        <f ca="1">IF(F7="是",'数据-取费表'!AO7,0)</f>
        <v>13072.6538</v>
      </c>
      <c r="C7" s="1872" t="s">
        <v>1651</v>
      </c>
      <c r="D7" s="2709"/>
      <c r="E7" s="2606">
        <f>IF(OR(A7=0,F7="否"),0,'数据-取费表'!K7+'数据-取费表'!S7)</f>
        <v>35325.379999999997</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41650.49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99" t="s">
        <v>1667</v>
      </c>
      <c r="D4" s="3700"/>
      <c r="E4" s="3701" t="s">
        <v>1668</v>
      </c>
      <c r="F4" s="3702"/>
      <c r="G4" s="3699" t="s">
        <v>1669</v>
      </c>
      <c r="H4" s="3700"/>
      <c r="I4" s="3699" t="s">
        <v>1670</v>
      </c>
      <c r="J4" s="3700"/>
      <c r="K4" s="1889" t="s">
        <v>1671</v>
      </c>
      <c r="L4" s="2715"/>
      <c r="M4" s="2716"/>
      <c r="N4" s="2716"/>
      <c r="O4" s="2716"/>
      <c r="P4" s="3703" t="s">
        <v>1672</v>
      </c>
      <c r="Q4" s="3704"/>
      <c r="R4" s="3686" t="s">
        <v>1668</v>
      </c>
      <c r="S4" s="3687"/>
      <c r="T4" s="3686" t="s">
        <v>1669</v>
      </c>
      <c r="U4" s="3687"/>
      <c r="V4" s="3711" t="s">
        <v>1670</v>
      </c>
      <c r="W4" s="3711"/>
      <c r="X4" s="1355"/>
      <c r="Y4" s="3686" t="s">
        <v>1672</v>
      </c>
      <c r="Z4" s="3687"/>
      <c r="AA4" s="3681" t="s">
        <v>1668</v>
      </c>
      <c r="AB4" s="3681" t="s">
        <v>1669</v>
      </c>
      <c r="AC4" s="3681" t="s">
        <v>1670</v>
      </c>
    </row>
    <row r="5" spans="1:29">
      <c r="A5" s="358"/>
      <c r="B5" s="359"/>
      <c r="C5" s="3692" t="s">
        <v>1673</v>
      </c>
      <c r="D5" s="3693"/>
      <c r="E5" s="3690" t="s">
        <v>1674</v>
      </c>
      <c r="F5" s="3691"/>
      <c r="G5" s="3692" t="s">
        <v>1675</v>
      </c>
      <c r="H5" s="3693"/>
      <c r="I5" s="3692" t="s">
        <v>1676</v>
      </c>
      <c r="J5" s="3693"/>
      <c r="K5" s="1890"/>
      <c r="L5" s="2715"/>
      <c r="M5" s="2716"/>
      <c r="N5" s="2716"/>
      <c r="O5" s="2716"/>
      <c r="P5" s="3705"/>
      <c r="Q5" s="3706"/>
      <c r="R5" s="3688"/>
      <c r="S5" s="3689"/>
      <c r="T5" s="3688"/>
      <c r="U5" s="3689"/>
      <c r="V5" s="3711"/>
      <c r="W5" s="3711"/>
      <c r="X5" s="1355"/>
      <c r="Y5" s="3688"/>
      <c r="Z5" s="3689"/>
      <c r="AA5" s="3682"/>
      <c r="AB5" s="3682"/>
      <c r="AC5" s="3682"/>
    </row>
    <row r="6" spans="1:29" ht="15" thickBot="1">
      <c r="A6" s="360"/>
      <c r="B6" s="361"/>
      <c r="C6" s="3694" t="s">
        <v>1677</v>
      </c>
      <c r="D6" s="3695"/>
      <c r="E6" s="3696" t="s">
        <v>1677</v>
      </c>
      <c r="F6" s="3697"/>
      <c r="G6" s="3694" t="s">
        <v>1677</v>
      </c>
      <c r="H6" s="3695"/>
      <c r="I6" s="3694" t="s">
        <v>1677</v>
      </c>
      <c r="J6" s="3695"/>
      <c r="K6" s="1890" t="s">
        <v>1678</v>
      </c>
      <c r="L6" s="2715"/>
      <c r="M6" s="2716"/>
      <c r="N6" s="2716"/>
      <c r="O6" s="2716"/>
      <c r="P6" s="3707"/>
      <c r="Q6" s="3708"/>
      <c r="R6" s="3688"/>
      <c r="S6" s="3689"/>
      <c r="T6" s="3709"/>
      <c r="U6" s="3710"/>
      <c r="V6" s="3711"/>
      <c r="W6" s="3711"/>
      <c r="X6" s="1355"/>
      <c r="Y6" s="3709"/>
      <c r="Z6" s="3710"/>
      <c r="AA6" s="3683"/>
      <c r="AB6" s="3683"/>
      <c r="AC6" s="3683"/>
    </row>
    <row r="7" spans="1:29" s="108" customFormat="1" ht="15" thickBot="1">
      <c r="A7" s="362" t="s">
        <v>1679</v>
      </c>
      <c r="B7" s="363"/>
      <c r="C7" s="364">
        <f>'数据-取费表'!B2</f>
        <v>45696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4" t="s">
        <v>1680</v>
      </c>
      <c r="Q7" s="3712"/>
      <c r="R7" s="701" t="s">
        <v>20</v>
      </c>
      <c r="S7" s="702">
        <f t="shared" ref="S7:S15" si="0">F7</f>
        <v>0</v>
      </c>
      <c r="T7" s="701" t="s">
        <v>20</v>
      </c>
      <c r="U7" s="702">
        <f t="shared" ref="U7:U15" si="1">H7</f>
        <v>0</v>
      </c>
      <c r="V7" s="701" t="s">
        <v>20</v>
      </c>
      <c r="W7" s="702">
        <f t="shared" ref="W7:W15" si="2">J7</f>
        <v>0</v>
      </c>
      <c r="X7" s="703"/>
      <c r="Y7" s="3684" t="s">
        <v>1680</v>
      </c>
      <c r="Z7" s="3685"/>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4" t="s">
        <v>1683</v>
      </c>
      <c r="Q8" s="3685"/>
      <c r="R8" s="701" t="s">
        <v>20</v>
      </c>
      <c r="S8" s="702">
        <f t="shared" si="0"/>
        <v>100</v>
      </c>
      <c r="T8" s="701" t="s">
        <v>20</v>
      </c>
      <c r="U8" s="702">
        <f t="shared" si="1"/>
        <v>100</v>
      </c>
      <c r="V8" s="701" t="s">
        <v>20</v>
      </c>
      <c r="W8" s="702">
        <f t="shared" si="2"/>
        <v>100</v>
      </c>
      <c r="X8" s="703"/>
      <c r="Y8" s="3684" t="s">
        <v>1683</v>
      </c>
      <c r="Z8" s="3685"/>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8"/>
      <c r="Q11" s="1343" t="str">
        <f t="shared" si="6"/>
        <v>容积率</v>
      </c>
      <c r="R11" s="701" t="s">
        <v>18</v>
      </c>
      <c r="S11" s="702" t="e">
        <f t="shared" si="0"/>
        <v>#N/A</v>
      </c>
      <c r="T11" s="701" t="s">
        <v>18</v>
      </c>
      <c r="U11" s="702" t="e">
        <f t="shared" si="1"/>
        <v>#N/A</v>
      </c>
      <c r="V11" s="701" t="s">
        <v>18</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8"/>
      <c r="Q12" s="1343">
        <f t="shared" si="6"/>
        <v>111</v>
      </c>
      <c r="R12" s="701" t="s">
        <v>18</v>
      </c>
      <c r="S12" s="702">
        <f t="shared" si="0"/>
        <v>100</v>
      </c>
      <c r="T12" s="701" t="s">
        <v>18</v>
      </c>
      <c r="U12" s="702">
        <f t="shared" si="1"/>
        <v>100</v>
      </c>
      <c r="V12" s="701" t="s">
        <v>18</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8"/>
      <c r="Q13" s="1343">
        <f t="shared" si="6"/>
        <v>111</v>
      </c>
      <c r="R13" s="701" t="s">
        <v>18</v>
      </c>
      <c r="S13" s="702">
        <f t="shared" si="0"/>
        <v>100</v>
      </c>
      <c r="T13" s="701" t="s">
        <v>18</v>
      </c>
      <c r="U13" s="702">
        <f t="shared" si="1"/>
        <v>100</v>
      </c>
      <c r="V13" s="701" t="s">
        <v>18</v>
      </c>
      <c r="W13" s="702">
        <f t="shared" si="2"/>
        <v>100</v>
      </c>
      <c r="X13" s="703"/>
      <c r="Y13" s="3628"/>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8"/>
      <c r="Q14" s="1343">
        <f t="shared" si="6"/>
        <v>111</v>
      </c>
      <c r="R14" s="701" t="s">
        <v>18</v>
      </c>
      <c r="S14" s="702">
        <f t="shared" si="0"/>
        <v>100</v>
      </c>
      <c r="T14" s="701" t="s">
        <v>18</v>
      </c>
      <c r="U14" s="702">
        <f t="shared" si="1"/>
        <v>100</v>
      </c>
      <c r="V14" s="701" t="s">
        <v>18</v>
      </c>
      <c r="W14" s="702">
        <f t="shared" si="2"/>
        <v>100</v>
      </c>
      <c r="X14" s="703"/>
      <c r="Y14" s="3628"/>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5" t="s">
        <v>1691</v>
      </c>
      <c r="Q15" s="1352" t="str">
        <f t="shared" si="6"/>
        <v>居住社区成熟度</v>
      </c>
      <c r="R15" s="705" t="s">
        <v>18</v>
      </c>
      <c r="S15" s="706">
        <f t="shared" si="0"/>
        <v>100</v>
      </c>
      <c r="T15" s="705" t="s">
        <v>18</v>
      </c>
      <c r="U15" s="706">
        <f t="shared" si="1"/>
        <v>100</v>
      </c>
      <c r="V15" s="705" t="s">
        <v>18</v>
      </c>
      <c r="W15" s="706">
        <f t="shared" si="2"/>
        <v>100</v>
      </c>
      <c r="X15" s="1355"/>
      <c r="Y15" s="371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6"/>
      <c r="Q16" s="1352"/>
      <c r="R16" s="705"/>
      <c r="S16" s="706"/>
      <c r="T16" s="705"/>
      <c r="U16" s="706"/>
      <c r="V16" s="705"/>
      <c r="W16" s="706"/>
      <c r="X16" s="1355"/>
      <c r="Y16" s="371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6"/>
      <c r="Q17" s="1352" t="str">
        <f>B17</f>
        <v>交通便捷度</v>
      </c>
      <c r="R17" s="705" t="s">
        <v>18</v>
      </c>
      <c r="S17" s="706">
        <f>F17</f>
        <v>100</v>
      </c>
      <c r="T17" s="705" t="s">
        <v>18</v>
      </c>
      <c r="U17" s="706">
        <f>H17</f>
        <v>100</v>
      </c>
      <c r="V17" s="705" t="s">
        <v>18</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6"/>
      <c r="Q18" s="1352"/>
      <c r="R18" s="705"/>
      <c r="S18" s="706"/>
      <c r="T18" s="705"/>
      <c r="U18" s="706"/>
      <c r="V18" s="705"/>
      <c r="W18" s="706"/>
      <c r="X18" s="1355"/>
      <c r="Y18" s="3719"/>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6"/>
      <c r="Q19" s="1352" t="str">
        <f>B19</f>
        <v>公共配套设施</v>
      </c>
      <c r="R19" s="705" t="s">
        <v>18</v>
      </c>
      <c r="S19" s="706">
        <f>F19</f>
        <v>100</v>
      </c>
      <c r="T19" s="705" t="s">
        <v>18</v>
      </c>
      <c r="U19" s="706">
        <f>H19</f>
        <v>100</v>
      </c>
      <c r="V19" s="705" t="s">
        <v>18</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6"/>
      <c r="Q20" s="1352"/>
      <c r="R20" s="705"/>
      <c r="S20" s="706"/>
      <c r="T20" s="705"/>
      <c r="U20" s="706"/>
      <c r="V20" s="705"/>
      <c r="W20" s="706"/>
      <c r="X20" s="1355"/>
      <c r="Y20" s="371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6"/>
      <c r="Q22" s="1352"/>
      <c r="R22" s="705"/>
      <c r="S22" s="706"/>
      <c r="T22" s="705"/>
      <c r="U22" s="706"/>
      <c r="V22" s="705"/>
      <c r="W22" s="706"/>
      <c r="X22" s="1355"/>
      <c r="Y22" s="3719"/>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6"/>
      <c r="Q23" s="1352" t="str">
        <f>B23</f>
        <v>自然及人文环境</v>
      </c>
      <c r="R23" s="705" t="s">
        <v>18</v>
      </c>
      <c r="S23" s="706">
        <f>F23</f>
        <v>100</v>
      </c>
      <c r="T23" s="705" t="s">
        <v>18</v>
      </c>
      <c r="U23" s="706">
        <f>H23</f>
        <v>100</v>
      </c>
      <c r="V23" s="705" t="s">
        <v>18</v>
      </c>
      <c r="W23" s="706">
        <f>J23</f>
        <v>100</v>
      </c>
      <c r="X23" s="1355"/>
      <c r="Y23" s="371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6"/>
      <c r="Q24" s="1352"/>
      <c r="R24" s="705"/>
      <c r="S24" s="706"/>
      <c r="T24" s="705"/>
      <c r="U24" s="706"/>
      <c r="V24" s="705"/>
      <c r="W24" s="706"/>
      <c r="X24" s="1355"/>
      <c r="Y24" s="371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6"/>
      <c r="Q26" s="1352" t="str">
        <f t="shared" si="11"/>
        <v>朝向</v>
      </c>
      <c r="R26" s="705" t="s">
        <v>18</v>
      </c>
      <c r="S26" s="706">
        <f t="shared" si="12"/>
        <v>100</v>
      </c>
      <c r="T26" s="705" t="s">
        <v>18</v>
      </c>
      <c r="U26" s="706">
        <f t="shared" si="13"/>
        <v>100</v>
      </c>
      <c r="V26" s="705" t="s">
        <v>18</v>
      </c>
      <c r="W26" s="706">
        <f t="shared" si="14"/>
        <v>100</v>
      </c>
      <c r="X26" s="1355"/>
      <c r="Y26" s="371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6"/>
      <c r="Q27" s="1343">
        <f t="shared" si="11"/>
        <v>111</v>
      </c>
      <c r="R27" s="701" t="s">
        <v>18</v>
      </c>
      <c r="S27" s="702">
        <f t="shared" si="12"/>
        <v>100</v>
      </c>
      <c r="T27" s="701" t="s">
        <v>18</v>
      </c>
      <c r="U27" s="702">
        <f t="shared" si="13"/>
        <v>100</v>
      </c>
      <c r="V27" s="701" t="s">
        <v>18</v>
      </c>
      <c r="W27" s="702">
        <f t="shared" si="14"/>
        <v>100</v>
      </c>
      <c r="X27" s="703"/>
      <c r="Y27" s="371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6"/>
      <c r="Q28" s="1352">
        <f t="shared" si="11"/>
        <v>111</v>
      </c>
      <c r="R28" s="705" t="s">
        <v>18</v>
      </c>
      <c r="S28" s="706">
        <f t="shared" si="12"/>
        <v>100</v>
      </c>
      <c r="T28" s="705" t="s">
        <v>18</v>
      </c>
      <c r="U28" s="706">
        <f t="shared" si="13"/>
        <v>100</v>
      </c>
      <c r="V28" s="705" t="s">
        <v>18</v>
      </c>
      <c r="W28" s="706">
        <f t="shared" si="14"/>
        <v>100</v>
      </c>
      <c r="X28" s="1355"/>
      <c r="Y28" s="371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6"/>
      <c r="Q29" s="1352">
        <f t="shared" si="11"/>
        <v>111</v>
      </c>
      <c r="R29" s="705" t="s">
        <v>18</v>
      </c>
      <c r="S29" s="706">
        <f t="shared" si="12"/>
        <v>100</v>
      </c>
      <c r="T29" s="705" t="s">
        <v>18</v>
      </c>
      <c r="U29" s="706">
        <f t="shared" si="13"/>
        <v>100</v>
      </c>
      <c r="V29" s="705" t="s">
        <v>18</v>
      </c>
      <c r="W29" s="706">
        <f t="shared" si="14"/>
        <v>100</v>
      </c>
      <c r="X29" s="1355"/>
      <c r="Y29" s="371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6"/>
      <c r="Q30" s="1352">
        <f t="shared" si="11"/>
        <v>111</v>
      </c>
      <c r="R30" s="705" t="s">
        <v>18</v>
      </c>
      <c r="S30" s="706">
        <f t="shared" si="12"/>
        <v>100</v>
      </c>
      <c r="T30" s="705" t="s">
        <v>18</v>
      </c>
      <c r="U30" s="706">
        <f t="shared" si="13"/>
        <v>100</v>
      </c>
      <c r="V30" s="705" t="s">
        <v>18</v>
      </c>
      <c r="W30" s="706">
        <f t="shared" si="14"/>
        <v>100</v>
      </c>
      <c r="X30" s="1355"/>
      <c r="Y30" s="3719"/>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6"/>
      <c r="Q31" s="1352">
        <f t="shared" si="11"/>
        <v>111</v>
      </c>
      <c r="R31" s="705" t="s">
        <v>18</v>
      </c>
      <c r="S31" s="706">
        <f t="shared" si="12"/>
        <v>100</v>
      </c>
      <c r="T31" s="705" t="s">
        <v>18</v>
      </c>
      <c r="U31" s="706">
        <f t="shared" si="13"/>
        <v>100</v>
      </c>
      <c r="V31" s="705" t="s">
        <v>18</v>
      </c>
      <c r="W31" s="706">
        <f t="shared" si="14"/>
        <v>100</v>
      </c>
      <c r="X31" s="1355"/>
      <c r="Y31" s="371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0" t="s">
        <v>1696</v>
      </c>
      <c r="Q32" s="1352" t="str">
        <f t="shared" si="11"/>
        <v>建筑类型</v>
      </c>
      <c r="R32" s="705" t="s">
        <v>18</v>
      </c>
      <c r="S32" s="706">
        <f t="shared" si="12"/>
        <v>100</v>
      </c>
      <c r="T32" s="705" t="s">
        <v>18</v>
      </c>
      <c r="U32" s="706">
        <f t="shared" si="13"/>
        <v>100</v>
      </c>
      <c r="V32" s="705" t="s">
        <v>18</v>
      </c>
      <c r="W32" s="706">
        <f t="shared" si="14"/>
        <v>100</v>
      </c>
      <c r="X32" s="1355"/>
      <c r="Y32" s="372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1"/>
      <c r="Q33" s="707" t="str">
        <f t="shared" si="11"/>
        <v>项目建筑规模</v>
      </c>
      <c r="R33" s="708" t="s">
        <v>18</v>
      </c>
      <c r="S33" s="709" t="e">
        <f t="shared" si="12"/>
        <v>#N/A</v>
      </c>
      <c r="T33" s="708" t="s">
        <v>18</v>
      </c>
      <c r="U33" s="709" t="e">
        <f t="shared" si="13"/>
        <v>#N/A</v>
      </c>
      <c r="V33" s="708" t="s">
        <v>18</v>
      </c>
      <c r="W33" s="709" t="e">
        <f t="shared" si="14"/>
        <v>#N/A</v>
      </c>
      <c r="X33" s="710"/>
      <c r="Y33" s="372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1"/>
      <c r="Q34" s="1352" t="str">
        <f t="shared" si="11"/>
        <v>建筑结构</v>
      </c>
      <c r="R34" s="705" t="s">
        <v>18</v>
      </c>
      <c r="S34" s="706">
        <f t="shared" si="12"/>
        <v>100</v>
      </c>
      <c r="T34" s="705" t="s">
        <v>18</v>
      </c>
      <c r="U34" s="706">
        <f t="shared" si="13"/>
        <v>100</v>
      </c>
      <c r="V34" s="705" t="s">
        <v>18</v>
      </c>
      <c r="W34" s="706">
        <f t="shared" si="14"/>
        <v>100</v>
      </c>
      <c r="X34" s="1355"/>
      <c r="Y34" s="372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1"/>
      <c r="Q35" s="1352" t="str">
        <f t="shared" si="11"/>
        <v>建筑品质</v>
      </c>
      <c r="R35" s="705" t="s">
        <v>18</v>
      </c>
      <c r="S35" s="706">
        <f t="shared" si="12"/>
        <v>100</v>
      </c>
      <c r="T35" s="705" t="s">
        <v>18</v>
      </c>
      <c r="U35" s="706">
        <f t="shared" si="13"/>
        <v>100</v>
      </c>
      <c r="V35" s="705" t="s">
        <v>18</v>
      </c>
      <c r="W35" s="706">
        <f t="shared" si="14"/>
        <v>100</v>
      </c>
      <c r="X35" s="1355"/>
      <c r="Y35" s="372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1"/>
      <c r="Q36" s="1352" t="str">
        <f t="shared" si="11"/>
        <v>公共部分装修</v>
      </c>
      <c r="R36" s="705" t="s">
        <v>18</v>
      </c>
      <c r="S36" s="706">
        <f t="shared" si="12"/>
        <v>100</v>
      </c>
      <c r="T36" s="705" t="s">
        <v>18</v>
      </c>
      <c r="U36" s="706">
        <f t="shared" si="13"/>
        <v>100</v>
      </c>
      <c r="V36" s="705" t="s">
        <v>18</v>
      </c>
      <c r="W36" s="706">
        <f t="shared" si="14"/>
        <v>100</v>
      </c>
      <c r="X36" s="1355"/>
      <c r="Y36" s="372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1"/>
      <c r="Q37" s="1343" t="str">
        <f t="shared" si="11"/>
        <v>成新度</v>
      </c>
      <c r="R37" s="701" t="s">
        <v>18</v>
      </c>
      <c r="S37" s="702" t="e">
        <f t="shared" si="12"/>
        <v>#N/A</v>
      </c>
      <c r="T37" s="701" t="s">
        <v>18</v>
      </c>
      <c r="U37" s="702" t="e">
        <f t="shared" si="13"/>
        <v>#N/A</v>
      </c>
      <c r="V37" s="701" t="s">
        <v>18</v>
      </c>
      <c r="W37" s="702" t="e">
        <f t="shared" si="14"/>
        <v>#N/A</v>
      </c>
      <c r="X37" s="703"/>
      <c r="Y37" s="372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1" t="s">
        <v>1696</v>
      </c>
      <c r="Q38" s="1352" t="str">
        <f t="shared" si="11"/>
        <v>物业管理</v>
      </c>
      <c r="R38" s="705" t="s">
        <v>18</v>
      </c>
      <c r="S38" s="706">
        <f t="shared" si="12"/>
        <v>100</v>
      </c>
      <c r="T38" s="705" t="s">
        <v>18</v>
      </c>
      <c r="U38" s="706">
        <f t="shared" si="13"/>
        <v>100</v>
      </c>
      <c r="V38" s="705" t="s">
        <v>18</v>
      </c>
      <c r="W38" s="706">
        <f t="shared" si="14"/>
        <v>100</v>
      </c>
      <c r="X38" s="1355"/>
      <c r="Y38" s="372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1"/>
      <c r="Q39" s="1352" t="str">
        <f t="shared" si="11"/>
        <v>市政基础设施</v>
      </c>
      <c r="R39" s="705" t="s">
        <v>18</v>
      </c>
      <c r="S39" s="706">
        <f t="shared" si="12"/>
        <v>100</v>
      </c>
      <c r="T39" s="705" t="s">
        <v>18</v>
      </c>
      <c r="U39" s="706">
        <f t="shared" si="13"/>
        <v>100</v>
      </c>
      <c r="V39" s="705" t="s">
        <v>18</v>
      </c>
      <c r="W39" s="706">
        <f t="shared" si="14"/>
        <v>100</v>
      </c>
      <c r="X39" s="1355"/>
      <c r="Y39" s="372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1"/>
      <c r="Q40" s="1352" t="str">
        <f t="shared" si="11"/>
        <v>房型</v>
      </c>
      <c r="R40" s="705" t="s">
        <v>18</v>
      </c>
      <c r="S40" s="706">
        <f t="shared" si="12"/>
        <v>100</v>
      </c>
      <c r="T40" s="705" t="s">
        <v>18</v>
      </c>
      <c r="U40" s="706">
        <f t="shared" si="13"/>
        <v>100</v>
      </c>
      <c r="V40" s="705" t="s">
        <v>18</v>
      </c>
      <c r="W40" s="706">
        <f t="shared" si="14"/>
        <v>100</v>
      </c>
      <c r="X40" s="1355"/>
      <c r="Y40" s="3723"/>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1"/>
      <c r="Q41" s="707" t="str">
        <f t="shared" si="11"/>
        <v>单套/主力户型建筑面积</v>
      </c>
      <c r="R41" s="708" t="s">
        <v>18</v>
      </c>
      <c r="S41" s="709">
        <f t="shared" si="12"/>
        <v>100</v>
      </c>
      <c r="T41" s="708" t="s">
        <v>18</v>
      </c>
      <c r="U41" s="709">
        <f t="shared" si="13"/>
        <v>100</v>
      </c>
      <c r="V41" s="708" t="s">
        <v>18</v>
      </c>
      <c r="W41" s="709">
        <f t="shared" si="14"/>
        <v>100</v>
      </c>
      <c r="X41" s="710"/>
      <c r="Y41" s="372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1"/>
      <c r="Q42" s="1352" t="str">
        <f t="shared" si="11"/>
        <v>内部装修</v>
      </c>
      <c r="R42" s="705" t="s">
        <v>18</v>
      </c>
      <c r="S42" s="706">
        <f t="shared" si="12"/>
        <v>100</v>
      </c>
      <c r="T42" s="705" t="s">
        <v>18</v>
      </c>
      <c r="U42" s="706">
        <f t="shared" si="13"/>
        <v>100</v>
      </c>
      <c r="V42" s="705" t="s">
        <v>18</v>
      </c>
      <c r="W42" s="706">
        <f t="shared" si="14"/>
        <v>100</v>
      </c>
      <c r="X42" s="1355"/>
      <c r="Y42" s="3723"/>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1"/>
      <c r="Q43" s="1352" t="str">
        <f t="shared" si="11"/>
        <v>内部装修维护情况</v>
      </c>
      <c r="R43" s="705" t="s">
        <v>18</v>
      </c>
      <c r="S43" s="706">
        <f t="shared" si="12"/>
        <v>100</v>
      </c>
      <c r="T43" s="705" t="s">
        <v>18</v>
      </c>
      <c r="U43" s="706">
        <f t="shared" si="13"/>
        <v>100</v>
      </c>
      <c r="V43" s="705" t="s">
        <v>18</v>
      </c>
      <c r="W43" s="706">
        <f t="shared" si="14"/>
        <v>100</v>
      </c>
      <c r="X43" s="1355"/>
      <c r="Y43" s="372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1"/>
      <c r="Q44" s="1343">
        <f t="shared" si="11"/>
        <v>111</v>
      </c>
      <c r="R44" s="701" t="s">
        <v>18</v>
      </c>
      <c r="S44" s="702">
        <f t="shared" si="12"/>
        <v>100</v>
      </c>
      <c r="T44" s="701" t="s">
        <v>18</v>
      </c>
      <c r="U44" s="702">
        <f t="shared" si="13"/>
        <v>100</v>
      </c>
      <c r="V44" s="701" t="s">
        <v>18</v>
      </c>
      <c r="W44" s="702">
        <f t="shared" si="14"/>
        <v>100</v>
      </c>
      <c r="X44" s="703"/>
      <c r="Y44" s="372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1"/>
      <c r="Q45" s="1352">
        <f t="shared" si="11"/>
        <v>111</v>
      </c>
      <c r="R45" s="705" t="s">
        <v>18</v>
      </c>
      <c r="S45" s="706">
        <f t="shared" si="12"/>
        <v>100</v>
      </c>
      <c r="T45" s="705" t="s">
        <v>18</v>
      </c>
      <c r="U45" s="706">
        <f t="shared" si="13"/>
        <v>100</v>
      </c>
      <c r="V45" s="705" t="s">
        <v>18</v>
      </c>
      <c r="W45" s="706">
        <f t="shared" si="14"/>
        <v>100</v>
      </c>
      <c r="X45" s="1355"/>
      <c r="Y45" s="372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2"/>
      <c r="Q46" s="1352">
        <f t="shared" si="11"/>
        <v>111</v>
      </c>
      <c r="R46" s="705" t="s">
        <v>17</v>
      </c>
      <c r="S46" s="706">
        <f t="shared" si="12"/>
        <v>100</v>
      </c>
      <c r="T46" s="705" t="s">
        <v>17</v>
      </c>
      <c r="U46" s="706">
        <f t="shared" si="13"/>
        <v>100</v>
      </c>
      <c r="V46" s="705" t="s">
        <v>17</v>
      </c>
      <c r="W46" s="706">
        <f t="shared" si="14"/>
        <v>100</v>
      </c>
      <c r="X46" s="1355"/>
      <c r="Y46" s="3724"/>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16" t="str">
        <f>A47</f>
        <v>成交单价（元/平方米）</v>
      </c>
      <c r="Q47" s="3716"/>
      <c r="R47" s="3717">
        <f>E47</f>
        <v>0</v>
      </c>
      <c r="S47" s="3717"/>
      <c r="T47" s="3717">
        <f>G47</f>
        <v>0</v>
      </c>
      <c r="U47" s="3717"/>
      <c r="V47" s="3717">
        <f>I47</f>
        <v>0</v>
      </c>
      <c r="W47" s="3717"/>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4" zoomScale="80" zoomScaleNormal="70" zoomScaleSheetLayoutView="80" workbookViewId="0">
      <selection activeCell="D60" sqref="D6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t="s">
        <v>673</v>
      </c>
      <c r="E1" s="3426"/>
      <c r="F1" s="1879" t="s">
        <v>3438</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20077</v>
      </c>
      <c r="C3" s="354" t="s">
        <v>1768</v>
      </c>
      <c r="D3" s="353">
        <f>IF(D1="",'数据-汇总表'!E3,SUMIF('数据-汇总表'!$C19:$C33,D1,'数据-汇总表'!$E19:$E33))</f>
        <v>6325.11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711" t="s">
        <v>1772</v>
      </c>
      <c r="AC4" s="3681" t="s">
        <v>1773</v>
      </c>
    </row>
    <row r="5" spans="1:29">
      <c r="A5" s="358"/>
      <c r="B5" s="359"/>
      <c r="C5" s="3809" t="s">
        <v>3422</v>
      </c>
      <c r="D5" s="3693"/>
      <c r="E5" s="3813" t="s">
        <v>3435</v>
      </c>
      <c r="F5" s="3691"/>
      <c r="G5" s="3809" t="s">
        <v>3436</v>
      </c>
      <c r="H5" s="3693"/>
      <c r="I5" s="3809" t="s">
        <v>3437</v>
      </c>
      <c r="J5" s="3693"/>
      <c r="K5" s="559"/>
      <c r="L5" s="2715"/>
      <c r="M5" s="2716"/>
      <c r="N5" s="2716"/>
      <c r="O5" s="2716"/>
      <c r="P5" s="3705"/>
      <c r="Q5" s="3706"/>
      <c r="R5" s="3688"/>
      <c r="S5" s="3689"/>
      <c r="T5" s="3688"/>
      <c r="U5" s="3689"/>
      <c r="V5" s="3711"/>
      <c r="W5" s="3711"/>
      <c r="X5" s="1355"/>
      <c r="Y5" s="3688"/>
      <c r="Z5" s="3689"/>
      <c r="AA5" s="3682"/>
      <c r="AB5" s="3711"/>
      <c r="AC5" s="3682"/>
    </row>
    <row r="6" spans="1:29" ht="1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711"/>
      <c r="AC6" s="3683"/>
    </row>
    <row r="7" spans="1:29" s="108" customFormat="1" ht="15" thickBot="1">
      <c r="A7" s="362" t="s">
        <v>1679</v>
      </c>
      <c r="B7" s="363"/>
      <c r="C7" s="364">
        <f>'数据-取费表'!B2</f>
        <v>45696</v>
      </c>
      <c r="D7" s="365">
        <v>100</v>
      </c>
      <c r="E7" s="366">
        <f>C7</f>
        <v>45696</v>
      </c>
      <c r="F7" s="367">
        <f>SUMIF(58:58,YEAR(E7)&amp;"-"&amp;MONTH(E7),59:59)</f>
        <v>100</v>
      </c>
      <c r="G7" s="366">
        <f>C7</f>
        <v>45696</v>
      </c>
      <c r="H7" s="365">
        <f>SUMIF(58:58,YEAR(G7)&amp;"-"&amp;MONTH(G7),59:59)</f>
        <v>100</v>
      </c>
      <c r="I7" s="366">
        <f>C7</f>
        <v>45696</v>
      </c>
      <c r="J7" s="365">
        <f>SUMIF(58:58,YEAR(I7)&amp;"-"&amp;MONTH(I7),59:59)</f>
        <v>100</v>
      </c>
      <c r="K7" s="560"/>
      <c r="L7" s="2717"/>
      <c r="M7" s="2718"/>
      <c r="N7" s="2718"/>
      <c r="O7" s="2718"/>
      <c r="P7" s="3684" t="s">
        <v>1680</v>
      </c>
      <c r="Q7" s="3712"/>
      <c r="R7" s="701" t="s">
        <v>14</v>
      </c>
      <c r="S7" s="702">
        <f t="shared" ref="S7:S15" si="0">F7</f>
        <v>100</v>
      </c>
      <c r="T7" s="701" t="s">
        <v>14</v>
      </c>
      <c r="U7" s="702">
        <f t="shared" ref="U7:U15" si="1">H7</f>
        <v>100</v>
      </c>
      <c r="V7" s="701" t="s">
        <v>14</v>
      </c>
      <c r="W7" s="702">
        <f t="shared" ref="W7:W15" si="2">J7</f>
        <v>100</v>
      </c>
      <c r="X7" s="703"/>
      <c r="Y7" s="3684" t="s">
        <v>1680</v>
      </c>
      <c r="Z7" s="3685"/>
      <c r="AA7" s="704">
        <f>D7/F7</f>
        <v>1</v>
      </c>
      <c r="AB7" s="704">
        <f>D7/H7</f>
        <v>1</v>
      </c>
      <c r="AC7" s="704">
        <f>D7/J7</f>
        <v>1</v>
      </c>
    </row>
    <row r="8" spans="1:29" s="108" customFormat="1" ht="15" thickBot="1">
      <c r="A8" s="362" t="s">
        <v>1681</v>
      </c>
      <c r="B8" s="363"/>
      <c r="C8" s="368" t="s">
        <v>3423</v>
      </c>
      <c r="D8" s="365">
        <v>100</v>
      </c>
      <c r="E8" s="368" t="s">
        <v>3444</v>
      </c>
      <c r="F8" s="367">
        <f>SUMIF(61:61,E8,62:62)-SUMIF(61:61,C8,62:62)+100</f>
        <v>103</v>
      </c>
      <c r="G8" s="368" t="s">
        <v>3444</v>
      </c>
      <c r="H8" s="365">
        <f>SUMIF(61:61,G8,62:62)-SUMIF(61:61,C8,62:62)+100</f>
        <v>103</v>
      </c>
      <c r="I8" s="368" t="s">
        <v>3444</v>
      </c>
      <c r="J8" s="365">
        <f>SUMIF(61:61,I8,62:62)-SUMIF(61:61,C8,62:62)+100</f>
        <v>103</v>
      </c>
      <c r="K8" s="560"/>
      <c r="L8" s="2717"/>
      <c r="M8" s="2718"/>
      <c r="N8" s="2718"/>
      <c r="O8" s="2718"/>
      <c r="P8" s="3684" t="s">
        <v>1683</v>
      </c>
      <c r="Q8" s="3685"/>
      <c r="R8" s="701" t="s">
        <v>14</v>
      </c>
      <c r="S8" s="702">
        <f t="shared" si="0"/>
        <v>103</v>
      </c>
      <c r="T8" s="701" t="s">
        <v>14</v>
      </c>
      <c r="U8" s="702">
        <f t="shared" si="1"/>
        <v>103</v>
      </c>
      <c r="V8" s="701" t="s">
        <v>14</v>
      </c>
      <c r="W8" s="702">
        <f t="shared" si="2"/>
        <v>103</v>
      </c>
      <c r="X8" s="703"/>
      <c r="Y8" s="3684" t="s">
        <v>1683</v>
      </c>
      <c r="Z8" s="3685"/>
      <c r="AA8" s="704">
        <f t="shared" ref="AA8:AA46" si="3">D8/F8</f>
        <v>0.970873786407767</v>
      </c>
      <c r="AB8" s="704">
        <f t="shared" ref="AB8:AB46" si="4">D8/H8</f>
        <v>0.970873786407767</v>
      </c>
      <c r="AC8" s="704">
        <f t="shared" ref="AC8:AC46" si="5">D8/J8</f>
        <v>0.970873786407767</v>
      </c>
    </row>
    <row r="9" spans="1:29" s="108" customFormat="1" ht="15" thickBot="1">
      <c r="A9" s="369" t="s">
        <v>1684</v>
      </c>
      <c r="B9" s="63" t="s">
        <v>1685</v>
      </c>
      <c r="C9" s="3810" t="s">
        <v>3424</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8.8" hidden="1">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561">
        <v>1</v>
      </c>
      <c r="L11" s="2721"/>
      <c r="M11" s="2716"/>
      <c r="N11" s="2716"/>
      <c r="O11" s="2716"/>
      <c r="P11" s="3698"/>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6"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8"/>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103</v>
      </c>
      <c r="G15" s="395"/>
      <c r="H15" s="392">
        <f>SUMIF(76:76,G16,77:77)-SUMIF(76:76,C16,77:77)+100</f>
        <v>103</v>
      </c>
      <c r="I15" s="393"/>
      <c r="J15" s="392">
        <f>SUMIF(76:76,I16,77:77)-SUMIF(76:76,C16,77:77)+100</f>
        <v>100</v>
      </c>
      <c r="K15" s="563">
        <v>3</v>
      </c>
      <c r="L15" s="2722"/>
      <c r="M15" s="2716"/>
      <c r="N15" s="2716"/>
      <c r="O15" s="2716"/>
      <c r="P15" s="3725" t="s">
        <v>1691</v>
      </c>
      <c r="Q15" s="1352" t="str">
        <f t="shared" si="6"/>
        <v>商业繁华度</v>
      </c>
      <c r="R15" s="705" t="s">
        <v>14</v>
      </c>
      <c r="S15" s="706">
        <f t="shared" si="0"/>
        <v>103</v>
      </c>
      <c r="T15" s="705" t="s">
        <v>14</v>
      </c>
      <c r="U15" s="706">
        <f t="shared" si="1"/>
        <v>103</v>
      </c>
      <c r="V15" s="705" t="s">
        <v>14</v>
      </c>
      <c r="W15" s="706">
        <f t="shared" si="2"/>
        <v>100</v>
      </c>
      <c r="X15" s="1355"/>
      <c r="Y15" s="3718" t="s">
        <v>1691</v>
      </c>
      <c r="Z15" s="1356" t="str">
        <f t="shared" si="7"/>
        <v>商业繁华度</v>
      </c>
      <c r="AA15" s="1353">
        <f t="shared" si="3"/>
        <v>0.970873786407767</v>
      </c>
      <c r="AB15" s="1353">
        <f t="shared" si="4"/>
        <v>0.970873786407767</v>
      </c>
      <c r="AC15" s="1353">
        <f t="shared" si="5"/>
        <v>1</v>
      </c>
    </row>
    <row r="16" spans="1:29" ht="15">
      <c r="A16" s="379"/>
      <c r="B16" s="397"/>
      <c r="C16" s="398" t="s">
        <v>3429</v>
      </c>
      <c r="D16" s="399"/>
      <c r="E16" s="398" t="s">
        <v>3430</v>
      </c>
      <c r="F16" s="400"/>
      <c r="G16" s="398" t="s">
        <v>3430</v>
      </c>
      <c r="H16" s="401"/>
      <c r="I16" s="398" t="s">
        <v>3429</v>
      </c>
      <c r="J16" s="399"/>
      <c r="K16" s="564"/>
      <c r="L16" s="2722"/>
      <c r="M16" s="2716"/>
      <c r="N16" s="2716"/>
      <c r="O16" s="2716"/>
      <c r="P16" s="3726"/>
      <c r="Q16" s="1352"/>
      <c r="R16" s="705"/>
      <c r="S16" s="706"/>
      <c r="T16" s="705"/>
      <c r="U16" s="706"/>
      <c r="V16" s="705"/>
      <c r="W16" s="706"/>
      <c r="X16" s="1355"/>
      <c r="Y16" s="371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103</v>
      </c>
      <c r="G17" s="405"/>
      <c r="H17" s="406">
        <f>SUMIF(78:78,G18,79:79)-SUMIF(78:78,C18,79:79)+100</f>
        <v>103</v>
      </c>
      <c r="I17" s="403"/>
      <c r="J17" s="406">
        <f>SUMIF(78:78,I18,79:79)-SUMIF(78:78,C18,79:79)+100</f>
        <v>103</v>
      </c>
      <c r="K17" s="563">
        <v>3</v>
      </c>
      <c r="L17" s="2722"/>
      <c r="M17" s="2716"/>
      <c r="N17" s="2716"/>
      <c r="O17" s="2716"/>
      <c r="P17" s="3726"/>
      <c r="Q17" s="1352" t="str">
        <f>B17</f>
        <v>交通便捷度</v>
      </c>
      <c r="R17" s="705" t="s">
        <v>14</v>
      </c>
      <c r="S17" s="706">
        <f>F17</f>
        <v>103</v>
      </c>
      <c r="T17" s="705" t="s">
        <v>14</v>
      </c>
      <c r="U17" s="706">
        <f>H17</f>
        <v>103</v>
      </c>
      <c r="V17" s="705" t="s">
        <v>14</v>
      </c>
      <c r="W17" s="706">
        <f>J17</f>
        <v>103</v>
      </c>
      <c r="X17" s="1355"/>
      <c r="Y17" s="3719"/>
      <c r="Z17" s="1356" t="str">
        <f>Q17</f>
        <v>交通便捷度</v>
      </c>
      <c r="AA17" s="1353">
        <f t="shared" si="3"/>
        <v>0.970873786407767</v>
      </c>
      <c r="AB17" s="1353">
        <f t="shared" si="4"/>
        <v>0.970873786407767</v>
      </c>
      <c r="AC17" s="1353">
        <f t="shared" si="5"/>
        <v>0.970873786407767</v>
      </c>
    </row>
    <row r="18" spans="1:29" ht="15">
      <c r="A18" s="379"/>
      <c r="B18" s="407"/>
      <c r="C18" s="1901" t="s">
        <v>3430</v>
      </c>
      <c r="D18" s="401"/>
      <c r="E18" s="1903" t="s">
        <v>3431</v>
      </c>
      <c r="F18" s="404"/>
      <c r="G18" s="1902" t="s">
        <v>3431</v>
      </c>
      <c r="H18" s="399"/>
      <c r="I18" s="1903" t="s">
        <v>3431</v>
      </c>
      <c r="J18" s="399"/>
      <c r="K18" s="564"/>
      <c r="L18" s="2722"/>
      <c r="M18" s="2716"/>
      <c r="N18" s="2716"/>
      <c r="O18" s="2716"/>
      <c r="P18" s="3726"/>
      <c r="Q18" s="1352"/>
      <c r="R18" s="705"/>
      <c r="S18" s="706"/>
      <c r="T18" s="705"/>
      <c r="U18" s="706"/>
      <c r="V18" s="705"/>
      <c r="W18" s="706"/>
      <c r="X18" s="1355"/>
      <c r="Y18" s="3719"/>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103</v>
      </c>
      <c r="G19" s="410"/>
      <c r="H19" s="401">
        <f>SUMIF(80:80,G20,81:81)-SUMIF(80:80,C20,81:81)+100</f>
        <v>103</v>
      </c>
      <c r="I19" s="408"/>
      <c r="J19" s="401">
        <f>SUMIF(80:80,I20,81:81)-SUMIF(80:80,C20,81:81)+100</f>
        <v>103</v>
      </c>
      <c r="K19" s="563">
        <v>3</v>
      </c>
      <c r="L19" s="2722"/>
      <c r="M19" s="2716"/>
      <c r="N19" s="2716"/>
      <c r="O19" s="2716"/>
      <c r="P19" s="3726"/>
      <c r="Q19" s="1352" t="str">
        <f>B19</f>
        <v>公共配套设施</v>
      </c>
      <c r="R19" s="705" t="s">
        <v>14</v>
      </c>
      <c r="S19" s="706">
        <f>F19</f>
        <v>103</v>
      </c>
      <c r="T19" s="705" t="s">
        <v>14</v>
      </c>
      <c r="U19" s="706">
        <f>H19</f>
        <v>103</v>
      </c>
      <c r="V19" s="705" t="s">
        <v>14</v>
      </c>
      <c r="W19" s="706">
        <f>J19</f>
        <v>103</v>
      </c>
      <c r="X19" s="1355"/>
      <c r="Y19" s="3719"/>
      <c r="Z19" s="1356" t="str">
        <f>Q19</f>
        <v>公共配套设施</v>
      </c>
      <c r="AA19" s="1353">
        <f t="shared" si="3"/>
        <v>0.970873786407767</v>
      </c>
      <c r="AB19" s="1353">
        <f t="shared" si="4"/>
        <v>0.970873786407767</v>
      </c>
      <c r="AC19" s="1353">
        <f t="shared" si="5"/>
        <v>0.970873786407767</v>
      </c>
    </row>
    <row r="20" spans="1:29" ht="15">
      <c r="A20" s="379"/>
      <c r="B20" s="407"/>
      <c r="C20" s="398" t="s">
        <v>3430</v>
      </c>
      <c r="D20" s="399"/>
      <c r="E20" s="1898" t="s">
        <v>3431</v>
      </c>
      <c r="F20" s="400"/>
      <c r="G20" s="1898" t="s">
        <v>3431</v>
      </c>
      <c r="H20" s="399"/>
      <c r="I20" s="1898" t="s">
        <v>3431</v>
      </c>
      <c r="J20" s="399"/>
      <c r="K20" s="564"/>
      <c r="L20" s="2722"/>
      <c r="M20" s="2716"/>
      <c r="N20" s="2716"/>
      <c r="O20" s="2716"/>
      <c r="P20" s="3726"/>
      <c r="Q20" s="1352"/>
      <c r="R20" s="705"/>
      <c r="S20" s="706"/>
      <c r="T20" s="705"/>
      <c r="U20" s="706"/>
      <c r="V20" s="705"/>
      <c r="W20" s="706"/>
      <c r="X20" s="1355"/>
      <c r="Y20" s="3719"/>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t="s">
        <v>3432</v>
      </c>
      <c r="D22" s="399"/>
      <c r="E22" s="1901" t="s">
        <v>3432</v>
      </c>
      <c r="F22" s="400"/>
      <c r="G22" s="1901" t="s">
        <v>3432</v>
      </c>
      <c r="H22" s="399"/>
      <c r="I22" s="1901" t="s">
        <v>3432</v>
      </c>
      <c r="J22" s="399"/>
      <c r="K22" s="1130"/>
      <c r="L22" s="2722"/>
      <c r="M22" s="2716"/>
      <c r="N22" s="2716"/>
      <c r="O22" s="2716"/>
      <c r="P22" s="3726"/>
      <c r="Q22" s="1352"/>
      <c r="R22" s="705"/>
      <c r="S22" s="706"/>
      <c r="T22" s="705"/>
      <c r="U22" s="706"/>
      <c r="V22" s="705"/>
      <c r="W22" s="706"/>
      <c r="X22" s="1355"/>
      <c r="Y22" s="3719"/>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726"/>
      <c r="Q23" s="1352" t="str">
        <f>B23</f>
        <v>自然及人文环境</v>
      </c>
      <c r="R23" s="705" t="s">
        <v>14</v>
      </c>
      <c r="S23" s="706">
        <f>F23</f>
        <v>100</v>
      </c>
      <c r="T23" s="705" t="s">
        <v>14</v>
      </c>
      <c r="U23" s="706">
        <f>H23</f>
        <v>100</v>
      </c>
      <c r="V23" s="705" t="s">
        <v>14</v>
      </c>
      <c r="W23" s="706">
        <f>J23</f>
        <v>100</v>
      </c>
      <c r="X23" s="1355"/>
      <c r="Y23" s="3719"/>
      <c r="Z23" s="1356" t="str">
        <f>Q23</f>
        <v>自然及人文环境</v>
      </c>
      <c r="AA23" s="1353">
        <f t="shared" si="3"/>
        <v>1</v>
      </c>
      <c r="AB23" s="1353">
        <f t="shared" si="4"/>
        <v>1</v>
      </c>
      <c r="AC23" s="1353">
        <f t="shared" si="5"/>
        <v>1</v>
      </c>
    </row>
    <row r="24" spans="1:29" ht="15">
      <c r="A24" s="379"/>
      <c r="B24" s="407"/>
      <c r="C24" s="398" t="s">
        <v>3430</v>
      </c>
      <c r="D24" s="399"/>
      <c r="E24" s="398" t="s">
        <v>3430</v>
      </c>
      <c r="F24" s="400"/>
      <c r="G24" s="398" t="s">
        <v>3430</v>
      </c>
      <c r="H24" s="399"/>
      <c r="I24" s="398" t="s">
        <v>3430</v>
      </c>
      <c r="J24" s="399"/>
      <c r="K24" s="564"/>
      <c r="L24" s="2722"/>
      <c r="M24" s="2716"/>
      <c r="N24" s="2716"/>
      <c r="O24" s="2716"/>
      <c r="P24" s="3726"/>
      <c r="Q24" s="1352"/>
      <c r="R24" s="705"/>
      <c r="S24" s="706"/>
      <c r="T24" s="705"/>
      <c r="U24" s="706"/>
      <c r="V24" s="705"/>
      <c r="W24" s="706"/>
      <c r="X24" s="1355"/>
      <c r="Y24" s="3719"/>
      <c r="Z24" s="1356"/>
      <c r="AA24" s="1353">
        <v>1</v>
      </c>
      <c r="AB24" s="1353">
        <v>1</v>
      </c>
      <c r="AC24" s="1353">
        <v>1</v>
      </c>
    </row>
    <row r="25" spans="1:29" ht="15">
      <c r="A25" s="379"/>
      <c r="B25" s="375" t="s">
        <v>1780</v>
      </c>
      <c r="C25" s="398" t="s">
        <v>3430</v>
      </c>
      <c r="D25" s="386">
        <v>100</v>
      </c>
      <c r="E25" s="398" t="s">
        <v>3430</v>
      </c>
      <c r="F25" s="412">
        <f>SUMIF(86:86,E25,87:87)-SUMIF(86:86,C25,87:87)+100</f>
        <v>100</v>
      </c>
      <c r="G25" s="398" t="s">
        <v>3430</v>
      </c>
      <c r="H25" s="386">
        <f>SUMIF(86:86,G25,87:87)-SUMIF(86:86,C25,87:87)+100</f>
        <v>100</v>
      </c>
      <c r="I25" s="398" t="s">
        <v>3430</v>
      </c>
      <c r="J25" s="386">
        <f>SUMIF(86:86,I25,87:87)-SUMIF(86:86,C25,87:87)+100</f>
        <v>100</v>
      </c>
      <c r="K25" s="561"/>
      <c r="L25" s="2722"/>
      <c r="M25" s="2716"/>
      <c r="N25" s="2716"/>
      <c r="O25" s="2716"/>
      <c r="P25" s="3726"/>
      <c r="Q25" s="1352" t="str">
        <f t="shared" ref="Q25:Q46" si="11">B25</f>
        <v>临街状况</v>
      </c>
      <c r="R25" s="705" t="s">
        <v>14</v>
      </c>
      <c r="S25" s="706">
        <f>F25</f>
        <v>100</v>
      </c>
      <c r="T25" s="705" t="s">
        <v>14</v>
      </c>
      <c r="U25" s="706">
        <f>H25</f>
        <v>100</v>
      </c>
      <c r="V25" s="705" t="s">
        <v>14</v>
      </c>
      <c r="W25" s="706">
        <f>J25</f>
        <v>100</v>
      </c>
      <c r="X25" s="1355"/>
      <c r="Y25" s="371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6"/>
      <c r="Q26" s="1352" t="str">
        <f t="shared" si="11"/>
        <v>平面位置/可视性</v>
      </c>
      <c r="R26" s="705" t="s">
        <v>14</v>
      </c>
      <c r="S26" s="706">
        <f>F26</f>
        <v>100</v>
      </c>
      <c r="T26" s="705" t="s">
        <v>14</v>
      </c>
      <c r="U26" s="706">
        <f>H26</f>
        <v>100</v>
      </c>
      <c r="V26" s="705" t="s">
        <v>14</v>
      </c>
      <c r="W26" s="706">
        <f>J26</f>
        <v>100</v>
      </c>
      <c r="X26" s="1355"/>
      <c r="Y26" s="3719"/>
      <c r="Z26" s="1356" t="str">
        <f>Q26</f>
        <v>平面位置/可视性</v>
      </c>
      <c r="AA26" s="1353">
        <f t="shared" si="3"/>
        <v>1</v>
      </c>
      <c r="AB26" s="1353">
        <f t="shared" si="4"/>
        <v>1</v>
      </c>
      <c r="AC26" s="1353">
        <f t="shared" si="5"/>
        <v>1</v>
      </c>
    </row>
    <row r="27" spans="1:29" s="108" customFormat="1" ht="15">
      <c r="A27" s="382"/>
      <c r="B27" s="402" t="s">
        <v>1782</v>
      </c>
      <c r="C27" s="1956" t="s">
        <v>3429</v>
      </c>
      <c r="D27" s="413">
        <v>100</v>
      </c>
      <c r="E27" s="1956" t="s">
        <v>3430</v>
      </c>
      <c r="F27" s="415">
        <f>SUMIF(90:90,E27,91:91)-SUMIF(90:90,C27,91:91)+100</f>
        <v>103</v>
      </c>
      <c r="G27" s="1956" t="s">
        <v>3430</v>
      </c>
      <c r="H27" s="413">
        <f>SUMIF(90:90,G27,91:91)-SUMIF(90:90,C27,91:91)+100</f>
        <v>103</v>
      </c>
      <c r="I27" s="1956" t="s">
        <v>3430</v>
      </c>
      <c r="J27" s="413">
        <f>SUMIF(90:90,I27,91:91)-SUMIF(90:90,C27,91:91)+100</f>
        <v>103</v>
      </c>
      <c r="K27" s="561">
        <v>3</v>
      </c>
      <c r="L27" s="2717"/>
      <c r="M27" s="2718"/>
      <c r="N27" s="2718"/>
      <c r="O27" s="2718"/>
      <c r="P27" s="3726"/>
      <c r="Q27" s="1343" t="str">
        <f t="shared" si="11"/>
        <v>人流量</v>
      </c>
      <c r="R27" s="701" t="s">
        <v>14</v>
      </c>
      <c r="S27" s="702">
        <f>F27</f>
        <v>103</v>
      </c>
      <c r="T27" s="701" t="s">
        <v>14</v>
      </c>
      <c r="U27" s="702">
        <f>H27</f>
        <v>103</v>
      </c>
      <c r="V27" s="701" t="s">
        <v>14</v>
      </c>
      <c r="W27" s="702">
        <f>J27</f>
        <v>103</v>
      </c>
      <c r="X27" s="703"/>
      <c r="Y27" s="3719"/>
      <c r="Z27" s="52" t="str">
        <f>Q27</f>
        <v>人流量</v>
      </c>
      <c r="AA27" s="1353">
        <f>D27/F27</f>
        <v>0.970873786407767</v>
      </c>
      <c r="AB27" s="1353">
        <f>D27/H27</f>
        <v>0.970873786407767</v>
      </c>
      <c r="AC27" s="1353">
        <f>D27/J27</f>
        <v>0.970873786407767</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2"/>
      <c r="M28" s="2716"/>
      <c r="N28" s="2716"/>
      <c r="O28" s="2716"/>
      <c r="P28" s="372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6"/>
      <c r="Q29" s="1352">
        <f t="shared" si="11"/>
        <v>111</v>
      </c>
      <c r="R29" s="705" t="s">
        <v>14</v>
      </c>
      <c r="S29" s="706">
        <f t="shared" si="12"/>
        <v>100</v>
      </c>
      <c r="T29" s="705" t="s">
        <v>14</v>
      </c>
      <c r="U29" s="706">
        <f t="shared" si="13"/>
        <v>100</v>
      </c>
      <c r="V29" s="705" t="s">
        <v>14</v>
      </c>
      <c r="W29" s="706">
        <f t="shared" si="14"/>
        <v>100</v>
      </c>
      <c r="X29" s="1355"/>
      <c r="Y29" s="371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6"/>
      <c r="Q30" s="1352">
        <f t="shared" si="11"/>
        <v>111</v>
      </c>
      <c r="R30" s="705" t="s">
        <v>14</v>
      </c>
      <c r="S30" s="706">
        <f t="shared" si="12"/>
        <v>100</v>
      </c>
      <c r="T30" s="705" t="s">
        <v>14</v>
      </c>
      <c r="U30" s="706">
        <f t="shared" si="13"/>
        <v>100</v>
      </c>
      <c r="V30" s="705" t="s">
        <v>14</v>
      </c>
      <c r="W30" s="706">
        <f t="shared" si="14"/>
        <v>100</v>
      </c>
      <c r="X30" s="1355"/>
      <c r="Y30" s="371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6"/>
      <c r="Q31" s="1352">
        <f t="shared" si="11"/>
        <v>111</v>
      </c>
      <c r="R31" s="705" t="s">
        <v>14</v>
      </c>
      <c r="S31" s="706">
        <f t="shared" si="12"/>
        <v>100</v>
      </c>
      <c r="T31" s="705" t="s">
        <v>14</v>
      </c>
      <c r="U31" s="706">
        <f t="shared" si="13"/>
        <v>100</v>
      </c>
      <c r="V31" s="705" t="s">
        <v>14</v>
      </c>
      <c r="W31" s="706">
        <f t="shared" si="14"/>
        <v>100</v>
      </c>
      <c r="X31" s="1355"/>
      <c r="Y31" s="3719"/>
      <c r="Z31" s="1356">
        <f t="shared" si="15"/>
        <v>111</v>
      </c>
      <c r="AA31" s="1353">
        <f t="shared" si="3"/>
        <v>1</v>
      </c>
      <c r="AB31" s="1353">
        <f t="shared" si="4"/>
        <v>1</v>
      </c>
      <c r="AC31" s="1353">
        <f t="shared" si="5"/>
        <v>1</v>
      </c>
    </row>
    <row r="32" spans="1:29" ht="15">
      <c r="A32" s="391" t="s">
        <v>1694</v>
      </c>
      <c r="B32" s="63" t="s">
        <v>1784</v>
      </c>
      <c r="C32" s="1910" t="s">
        <v>3425</v>
      </c>
      <c r="D32" s="418">
        <v>100</v>
      </c>
      <c r="E32" s="1910" t="s">
        <v>3425</v>
      </c>
      <c r="F32" s="412">
        <f>SUMIF(100:100,E32,101:101)-SUMIF(100:100,C32,101:101)+100</f>
        <v>100</v>
      </c>
      <c r="G32" s="1910" t="s">
        <v>3425</v>
      </c>
      <c r="H32" s="386">
        <f>SUMIF(100:100,G32,101:101)-SUMIF(100:100,C32,101:101)+100</f>
        <v>100</v>
      </c>
      <c r="I32" s="1910" t="s">
        <v>3425</v>
      </c>
      <c r="J32" s="418">
        <f>SUMIF(100:100,I32,101:101)-SUMIF(100:100,C32,101:101)+100</f>
        <v>100</v>
      </c>
      <c r="K32" s="561"/>
      <c r="L32" s="2722"/>
      <c r="M32" s="2716"/>
      <c r="N32" s="2716"/>
      <c r="O32" s="2716"/>
      <c r="P32" s="3720" t="s">
        <v>1696</v>
      </c>
      <c r="Q32" s="1352" t="str">
        <f t="shared" si="11"/>
        <v>商业类型</v>
      </c>
      <c r="R32" s="705" t="s">
        <v>14</v>
      </c>
      <c r="S32" s="706">
        <f t="shared" si="12"/>
        <v>100</v>
      </c>
      <c r="T32" s="705" t="s">
        <v>14</v>
      </c>
      <c r="U32" s="706">
        <f t="shared" si="13"/>
        <v>100</v>
      </c>
      <c r="V32" s="705" t="s">
        <v>14</v>
      </c>
      <c r="W32" s="706">
        <f t="shared" si="14"/>
        <v>100</v>
      </c>
      <c r="X32" s="1355"/>
      <c r="Y32" s="3723" t="s">
        <v>1696</v>
      </c>
      <c r="Z32" s="1356" t="str">
        <f t="shared" si="15"/>
        <v>商业类型</v>
      </c>
      <c r="AA32" s="1353">
        <f t="shared" si="3"/>
        <v>1</v>
      </c>
      <c r="AB32" s="1353">
        <f t="shared" si="4"/>
        <v>1</v>
      </c>
      <c r="AC32" s="1353">
        <f t="shared" si="5"/>
        <v>1</v>
      </c>
    </row>
    <row r="33" spans="1:29" s="422" customFormat="1" ht="15" hidden="1">
      <c r="A33" s="419"/>
      <c r="B33" s="375" t="s">
        <v>1697</v>
      </c>
      <c r="C33" s="420">
        <v>10000</v>
      </c>
      <c r="D33" s="127">
        <v>100</v>
      </c>
      <c r="E33" s="381">
        <v>10000</v>
      </c>
      <c r="F33" s="376">
        <f>LOOKUP(E33,103:103,104:104)-LOOKUP(C33,103:103,104:104)+100</f>
        <v>100</v>
      </c>
      <c r="G33" s="380">
        <v>10000</v>
      </c>
      <c r="H33" s="127">
        <f>LOOKUP(G33,103:103,104:104)-LOOKUP(C33,103:103,104:104)+100</f>
        <v>100</v>
      </c>
      <c r="I33" s="380">
        <v>10000</v>
      </c>
      <c r="J33" s="127">
        <f>LOOKUP(I33,103:103,104:104)-LOOKUP(C33,103:103,104:104)+100</f>
        <v>100</v>
      </c>
      <c r="K33" s="562"/>
      <c r="L33" s="2721"/>
      <c r="M33" s="2723"/>
      <c r="N33" s="2723"/>
      <c r="O33" s="2723"/>
      <c r="P33" s="3721"/>
      <c r="Q33" s="707" t="str">
        <f t="shared" si="11"/>
        <v>项目建筑规模</v>
      </c>
      <c r="R33" s="708" t="s">
        <v>14</v>
      </c>
      <c r="S33" s="709">
        <f t="shared" si="12"/>
        <v>100</v>
      </c>
      <c r="T33" s="708" t="s">
        <v>14</v>
      </c>
      <c r="U33" s="709">
        <f t="shared" si="13"/>
        <v>100</v>
      </c>
      <c r="V33" s="708" t="s">
        <v>14</v>
      </c>
      <c r="W33" s="709">
        <f t="shared" si="14"/>
        <v>100</v>
      </c>
      <c r="X33" s="710"/>
      <c r="Y33" s="3723"/>
      <c r="Z33" s="711" t="str">
        <f t="shared" si="15"/>
        <v>项目建筑规模</v>
      </c>
      <c r="AA33" s="1353">
        <f t="shared" si="3"/>
        <v>1</v>
      </c>
      <c r="AB33" s="1353">
        <f t="shared" si="4"/>
        <v>1</v>
      </c>
      <c r="AC33" s="1353">
        <f t="shared" si="5"/>
        <v>1</v>
      </c>
    </row>
    <row r="34" spans="1:29" ht="15" hidden="1">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1"/>
      <c r="Q34" s="1352" t="str">
        <f t="shared" si="11"/>
        <v>建筑结构</v>
      </c>
      <c r="R34" s="705" t="s">
        <v>14</v>
      </c>
      <c r="S34" s="706">
        <f t="shared" si="12"/>
        <v>100</v>
      </c>
      <c r="T34" s="705" t="s">
        <v>14</v>
      </c>
      <c r="U34" s="706">
        <f t="shared" si="13"/>
        <v>100</v>
      </c>
      <c r="V34" s="705" t="s">
        <v>14</v>
      </c>
      <c r="W34" s="706">
        <f t="shared" si="14"/>
        <v>100</v>
      </c>
      <c r="X34" s="1355"/>
      <c r="Y34" s="3723"/>
      <c r="Z34" s="1356" t="str">
        <f t="shared" si="15"/>
        <v>建筑结构</v>
      </c>
      <c r="AA34" s="1353">
        <f t="shared" si="3"/>
        <v>1</v>
      </c>
      <c r="AB34" s="1353">
        <f t="shared" si="4"/>
        <v>1</v>
      </c>
      <c r="AC34" s="1353">
        <f t="shared" si="5"/>
        <v>1</v>
      </c>
    </row>
    <row r="35" spans="1:29" ht="15" hidden="1">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1"/>
      <c r="Q35" s="1352" t="str">
        <f t="shared" si="11"/>
        <v>公共部分装修</v>
      </c>
      <c r="R35" s="705" t="s">
        <v>14</v>
      </c>
      <c r="S35" s="706">
        <f t="shared" si="12"/>
        <v>100</v>
      </c>
      <c r="T35" s="705" t="s">
        <v>14</v>
      </c>
      <c r="U35" s="706">
        <f t="shared" si="13"/>
        <v>100</v>
      </c>
      <c r="V35" s="705" t="s">
        <v>14</v>
      </c>
      <c r="W35" s="706">
        <f t="shared" si="14"/>
        <v>100</v>
      </c>
      <c r="X35" s="1355"/>
      <c r="Y35" s="3723"/>
      <c r="Z35" s="1356" t="str">
        <f t="shared" si="15"/>
        <v>公共部分装修</v>
      </c>
      <c r="AA35" s="1353">
        <f t="shared" si="3"/>
        <v>1</v>
      </c>
      <c r="AB35" s="1353">
        <f t="shared" si="4"/>
        <v>1</v>
      </c>
      <c r="AC35" s="1353">
        <f t="shared" si="5"/>
        <v>1</v>
      </c>
    </row>
    <row r="36" spans="1:29" ht="15" hidden="1">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2"/>
      <c r="M36" s="2716"/>
      <c r="N36" s="2716"/>
      <c r="O36" s="2716"/>
      <c r="P36" s="3721"/>
      <c r="Q36" s="1352" t="str">
        <f t="shared" si="11"/>
        <v>成新度</v>
      </c>
      <c r="R36" s="705" t="s">
        <v>14</v>
      </c>
      <c r="S36" s="706">
        <f t="shared" si="12"/>
        <v>100</v>
      </c>
      <c r="T36" s="705" t="s">
        <v>14</v>
      </c>
      <c r="U36" s="706">
        <f t="shared" si="13"/>
        <v>100</v>
      </c>
      <c r="V36" s="705" t="s">
        <v>14</v>
      </c>
      <c r="W36" s="706">
        <f t="shared" si="14"/>
        <v>100</v>
      </c>
      <c r="X36" s="1355"/>
      <c r="Y36" s="3723"/>
      <c r="Z36" s="1356" t="str">
        <f t="shared" si="15"/>
        <v>成新度</v>
      </c>
      <c r="AA36" s="1353">
        <f t="shared" si="3"/>
        <v>1</v>
      </c>
      <c r="AB36" s="1353">
        <f t="shared" si="4"/>
        <v>1</v>
      </c>
      <c r="AC36" s="1353">
        <f t="shared" si="5"/>
        <v>1</v>
      </c>
    </row>
    <row r="37" spans="1:29" s="108" customFormat="1" ht="15" hidden="1">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1"/>
      <c r="Q37" s="1343" t="str">
        <f t="shared" si="11"/>
        <v>市政基础设施</v>
      </c>
      <c r="R37" s="701" t="s">
        <v>14</v>
      </c>
      <c r="S37" s="702">
        <f t="shared" si="12"/>
        <v>100</v>
      </c>
      <c r="T37" s="701" t="s">
        <v>14</v>
      </c>
      <c r="U37" s="702">
        <f t="shared" si="13"/>
        <v>100</v>
      </c>
      <c r="V37" s="701" t="s">
        <v>14</v>
      </c>
      <c r="W37" s="702">
        <f t="shared" si="14"/>
        <v>100</v>
      </c>
      <c r="X37" s="703"/>
      <c r="Y37" s="3723"/>
      <c r="Z37" s="52"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1" t="s">
        <v>1696</v>
      </c>
      <c r="Q38" s="1352" t="str">
        <f t="shared" si="11"/>
        <v>业态</v>
      </c>
      <c r="R38" s="705" t="s">
        <v>14</v>
      </c>
      <c r="S38" s="706">
        <f t="shared" si="12"/>
        <v>100</v>
      </c>
      <c r="T38" s="705" t="s">
        <v>14</v>
      </c>
      <c r="U38" s="706">
        <f t="shared" si="13"/>
        <v>100</v>
      </c>
      <c r="V38" s="705" t="s">
        <v>14</v>
      </c>
      <c r="W38" s="706">
        <f t="shared" si="14"/>
        <v>100</v>
      </c>
      <c r="X38" s="1355"/>
      <c r="Y38" s="3723" t="s">
        <v>1696</v>
      </c>
      <c r="Z38" s="1356" t="str">
        <f t="shared" si="15"/>
        <v>业态</v>
      </c>
      <c r="AA38" s="1353">
        <f t="shared" si="3"/>
        <v>1</v>
      </c>
      <c r="AB38" s="1353">
        <f t="shared" si="4"/>
        <v>1</v>
      </c>
      <c r="AC38" s="1353">
        <f t="shared" si="5"/>
        <v>1</v>
      </c>
    </row>
    <row r="39" spans="1:29" ht="15" hidden="1">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1"/>
      <c r="Q39" s="1352" t="str">
        <f t="shared" si="11"/>
        <v>层高</v>
      </c>
      <c r="R39" s="705" t="s">
        <v>14</v>
      </c>
      <c r="S39" s="706">
        <f t="shared" si="12"/>
        <v>100</v>
      </c>
      <c r="T39" s="705" t="s">
        <v>14</v>
      </c>
      <c r="U39" s="706">
        <f t="shared" si="13"/>
        <v>100</v>
      </c>
      <c r="V39" s="705" t="s">
        <v>14</v>
      </c>
      <c r="W39" s="706">
        <f t="shared" si="14"/>
        <v>100</v>
      </c>
      <c r="X39" s="1355"/>
      <c r="Y39" s="372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1"/>
      <c r="Q40" s="1352" t="str">
        <f t="shared" si="11"/>
        <v>单套建筑面积</v>
      </c>
      <c r="R40" s="705" t="s">
        <v>14</v>
      </c>
      <c r="S40" s="706">
        <f t="shared" si="12"/>
        <v>100</v>
      </c>
      <c r="T40" s="705" t="s">
        <v>14</v>
      </c>
      <c r="U40" s="706">
        <f t="shared" si="13"/>
        <v>100</v>
      </c>
      <c r="V40" s="705" t="s">
        <v>14</v>
      </c>
      <c r="W40" s="706">
        <f t="shared" si="14"/>
        <v>100</v>
      </c>
      <c r="X40" s="1355"/>
      <c r="Y40" s="372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1"/>
      <c r="Q41" s="707" t="str">
        <f t="shared" si="11"/>
        <v>进深比</v>
      </c>
      <c r="R41" s="708" t="s">
        <v>14</v>
      </c>
      <c r="S41" s="709">
        <f t="shared" si="12"/>
        <v>100</v>
      </c>
      <c r="T41" s="708" t="s">
        <v>14</v>
      </c>
      <c r="U41" s="709">
        <f t="shared" si="13"/>
        <v>100</v>
      </c>
      <c r="V41" s="708" t="s">
        <v>14</v>
      </c>
      <c r="W41" s="709">
        <f t="shared" si="14"/>
        <v>100</v>
      </c>
      <c r="X41" s="710"/>
      <c r="Y41" s="372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1"/>
      <c r="Q42" s="1352" t="str">
        <f t="shared" si="11"/>
        <v>内部装修</v>
      </c>
      <c r="R42" s="705" t="s">
        <v>14</v>
      </c>
      <c r="S42" s="706">
        <f t="shared" si="12"/>
        <v>100</v>
      </c>
      <c r="T42" s="705" t="s">
        <v>14</v>
      </c>
      <c r="U42" s="706">
        <f t="shared" si="13"/>
        <v>100</v>
      </c>
      <c r="V42" s="705" t="s">
        <v>14</v>
      </c>
      <c r="W42" s="706">
        <f t="shared" si="14"/>
        <v>100</v>
      </c>
      <c r="X42" s="1355"/>
      <c r="Y42" s="3723"/>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1"/>
      <c r="Q43" s="1352" t="str">
        <f t="shared" si="11"/>
        <v>内部装修维护情况</v>
      </c>
      <c r="R43" s="705" t="s">
        <v>14</v>
      </c>
      <c r="S43" s="706">
        <f t="shared" si="12"/>
        <v>100</v>
      </c>
      <c r="T43" s="705" t="s">
        <v>14</v>
      </c>
      <c r="U43" s="706">
        <f t="shared" si="13"/>
        <v>100</v>
      </c>
      <c r="V43" s="705" t="s">
        <v>14</v>
      </c>
      <c r="W43" s="706">
        <f t="shared" si="14"/>
        <v>100</v>
      </c>
      <c r="X43" s="1355"/>
      <c r="Y43" s="372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1"/>
      <c r="Q44" s="1343">
        <f t="shared" si="11"/>
        <v>111</v>
      </c>
      <c r="R44" s="701" t="s">
        <v>14</v>
      </c>
      <c r="S44" s="702">
        <f t="shared" si="12"/>
        <v>100</v>
      </c>
      <c r="T44" s="701" t="s">
        <v>14</v>
      </c>
      <c r="U44" s="702">
        <f t="shared" si="13"/>
        <v>100</v>
      </c>
      <c r="V44" s="701" t="s">
        <v>14</v>
      </c>
      <c r="W44" s="702">
        <f t="shared" si="14"/>
        <v>100</v>
      </c>
      <c r="X44" s="703"/>
      <c r="Y44" s="372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1"/>
      <c r="Q45" s="1352">
        <f t="shared" si="11"/>
        <v>111</v>
      </c>
      <c r="R45" s="705" t="s">
        <v>14</v>
      </c>
      <c r="S45" s="706">
        <f t="shared" si="12"/>
        <v>100</v>
      </c>
      <c r="T45" s="705" t="s">
        <v>14</v>
      </c>
      <c r="U45" s="706">
        <f t="shared" si="13"/>
        <v>100</v>
      </c>
      <c r="V45" s="705" t="s">
        <v>14</v>
      </c>
      <c r="W45" s="706">
        <f t="shared" si="14"/>
        <v>100</v>
      </c>
      <c r="X45" s="1355"/>
      <c r="Y45" s="372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353">
        <f t="shared" si="5"/>
        <v>1</v>
      </c>
    </row>
    <row r="47" spans="1:29" ht="14.4">
      <c r="A47" s="430" t="s">
        <v>1708</v>
      </c>
      <c r="B47" s="431"/>
      <c r="C47" s="1154" t="s">
        <v>0</v>
      </c>
      <c r="D47" s="1155"/>
      <c r="E47" s="1156">
        <v>21650</v>
      </c>
      <c r="F47" s="1157"/>
      <c r="G47" s="1158">
        <v>25000</v>
      </c>
      <c r="H47" s="1159"/>
      <c r="I47" s="1156">
        <v>22500</v>
      </c>
      <c r="J47" s="1159"/>
      <c r="K47" s="714"/>
      <c r="L47" s="2724"/>
      <c r="M47" s="2725"/>
      <c r="N47" s="2716"/>
      <c r="O47" s="2725"/>
      <c r="P47" s="3716" t="str">
        <f>A47</f>
        <v>成交单价（元/平方米）</v>
      </c>
      <c r="Q47" s="3716"/>
      <c r="R47" s="3711">
        <f>E47</f>
        <v>21650</v>
      </c>
      <c r="S47" s="3711"/>
      <c r="T47" s="3711">
        <f>G47</f>
        <v>25000</v>
      </c>
      <c r="U47" s="3711"/>
      <c r="V47" s="3711">
        <f>I47</f>
        <v>22500</v>
      </c>
      <c r="W47" s="3711"/>
      <c r="X47" s="690"/>
      <c r="Y47" s="712"/>
      <c r="Z47" s="690"/>
      <c r="AA47" s="690"/>
      <c r="AB47" s="690"/>
      <c r="AC47" s="690"/>
    </row>
    <row r="48" spans="1:29" ht="15" thickBot="1">
      <c r="A48" s="437" t="s">
        <v>1793</v>
      </c>
      <c r="B48" s="438"/>
      <c r="C48" s="1160">
        <f>R49</f>
        <v>20077</v>
      </c>
      <c r="D48" s="2317" t="s">
        <v>2138</v>
      </c>
      <c r="E48" s="1161">
        <f>R48</f>
        <v>18675</v>
      </c>
      <c r="F48" s="2318"/>
      <c r="G48" s="1160">
        <f>T48</f>
        <v>21565</v>
      </c>
      <c r="H48" s="2318"/>
      <c r="I48" s="1161">
        <f>V48</f>
        <v>19991</v>
      </c>
      <c r="J48" s="2318"/>
      <c r="K48" s="2320">
        <f>F48+H48+J48</f>
        <v>0</v>
      </c>
      <c r="L48" s="2724"/>
      <c r="M48" s="2725"/>
      <c r="N48" s="2716"/>
      <c r="O48" s="2725"/>
      <c r="P48" s="3716" t="str">
        <f>A48</f>
        <v>比较价值（元/平方米）</v>
      </c>
      <c r="Q48" s="3716"/>
      <c r="R48" s="3717">
        <f>IF(F1="售价",ROUND(PRODUCT(R47,AA7:AA46),0),ROUND(PRODUCT(R47,AA7:AA46),1))</f>
        <v>18675</v>
      </c>
      <c r="S48" s="3717"/>
      <c r="T48" s="3717">
        <f>IF(F1="售价",ROUND(PRODUCT(T47,AB7:AB46),0),ROUND(PRODUCT(T47,AB7:AB46),1))</f>
        <v>21565</v>
      </c>
      <c r="U48" s="3717"/>
      <c r="V48" s="3717">
        <f>IF(F1="售价",ROUND(PRODUCT(V47,AC7:AC46),0),ROUND(PRODUCT(V47,AC7:AC46),1))</f>
        <v>19991</v>
      </c>
      <c r="W48" s="3717"/>
      <c r="X48" s="690"/>
      <c r="Y48" s="690"/>
      <c r="Z48" s="690"/>
      <c r="AA48" s="690"/>
      <c r="AB48" s="690"/>
      <c r="AC48" s="690"/>
    </row>
    <row r="49" spans="1:29" ht="15" thickBot="1">
      <c r="A49" s="441" t="s">
        <v>1794</v>
      </c>
      <c r="B49" s="442"/>
      <c r="C49" s="1163">
        <f>R49</f>
        <v>20077</v>
      </c>
      <c r="D49" s="1163"/>
      <c r="E49" s="1163"/>
      <c r="F49" s="1163"/>
      <c r="G49" s="1163"/>
      <c r="H49" s="1163"/>
      <c r="I49" s="1163"/>
      <c r="J49" s="1163"/>
      <c r="K49" s="715"/>
      <c r="L49" s="2724"/>
      <c r="M49" s="2725"/>
      <c r="N49" s="2716"/>
      <c r="O49" s="2725"/>
      <c r="P49" s="3713" t="str">
        <f>A49</f>
        <v>估价对象XX用房的比较价值（楼面单价，元/平方米）</v>
      </c>
      <c r="Q49" s="3714"/>
      <c r="R49" s="3715">
        <f>IF(F1="售价",ROUND(IF(D48="简单平均",AVERAGE(R48:V48),R48*F48+T48*H48+V48*J48),0),ROUND(IF(D48="简单平均",AVERAGE(R48:V48),R48*F48+T48*H48+V48*J48),1))</f>
        <v>20077</v>
      </c>
      <c r="S49" s="3715"/>
      <c r="T49" s="3715"/>
      <c r="U49" s="3715"/>
      <c r="V49" s="3715"/>
      <c r="W49" s="3715"/>
      <c r="X49" s="690"/>
      <c r="Y49" s="690"/>
      <c r="Z49" s="690"/>
      <c r="AA49" s="690"/>
      <c r="AB49" s="690"/>
      <c r="AC49" s="690"/>
    </row>
    <row r="50" spans="1:29">
      <c r="A50" s="2725"/>
      <c r="B50" s="2725"/>
      <c r="C50" s="3816">
        <f>C49*0.9</f>
        <v>18069.3</v>
      </c>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t="s">
        <v>3421</v>
      </c>
      <c r="B52" s="2725"/>
      <c r="C52" s="446" t="s">
        <v>1795</v>
      </c>
      <c r="D52" s="447"/>
      <c r="E52" s="448">
        <f>IF(E47&lt;E48,E48/E47-1,E47/E48-1)</f>
        <v>0.15930388219544844</v>
      </c>
      <c r="F52" s="449" t="str">
        <f>IF(OR(E52&gt;=0.3,E52&lt;=-0.3),"超过30%","")</f>
        <v/>
      </c>
      <c r="G52" s="448">
        <f>IF(G47&lt;G48,G48/G47-1,G47/G48-1)</f>
        <v>0.15928587989798282</v>
      </c>
      <c r="H52" s="449" t="str">
        <f>IF(OR(G52&gt;=0.3,G52&lt;=-0.3),"超过30%","")</f>
        <v/>
      </c>
      <c r="I52" s="448">
        <f>IF(I47&lt;I48,I48/I47-1,I47/I48-1)</f>
        <v>0.12550647791506186</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0.15475234270414995</v>
      </c>
      <c r="F53" s="449" t="str">
        <f>IF(OR(E53&gt;=0.2,E53&lt;=-0.2),"超过20%","")</f>
        <v/>
      </c>
      <c r="G53" s="448">
        <f>IF(G48&lt;I48,I48/G48-1,G48/I48-1)</f>
        <v>7.8735430943924767E-2</v>
      </c>
      <c r="H53" s="449" t="str">
        <f>IF(OR(G53&gt;=0.2,G53&lt;=-0.2),"超过20%","")</f>
        <v/>
      </c>
      <c r="I53" s="448">
        <f>IF(I48&lt;E48,E48/I48-1,I48/E48-1)</f>
        <v>7.0468540829986548E-2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0.15473441108545027</v>
      </c>
      <c r="F54" s="449" t="str">
        <f>IF(OR(E54&gt;=0.3,E54&lt;=-0.3),"超过30%","")</f>
        <v/>
      </c>
      <c r="G54" s="448">
        <f>IF(G47&lt;I47,I47/G47-1,G47/I47-1)</f>
        <v>0.11111111111111116</v>
      </c>
      <c r="H54" s="449" t="str">
        <f>IF(OR(G54&gt;=0.3,G54&lt;=-0.3),"超过30%","")</f>
        <v/>
      </c>
      <c r="I54" s="448">
        <f>IF(I47&lt;E47,E47/I47-1,I47/E47-1)</f>
        <v>3.9260969976905313E-2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3814" t="s">
        <v>3445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v>103</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v>0</v>
      </c>
      <c r="D68" s="498">
        <v>1</v>
      </c>
      <c r="E68" s="498">
        <v>2</v>
      </c>
      <c r="F68" s="498">
        <v>3</v>
      </c>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99</v>
      </c>
      <c r="E69" s="493">
        <f t="shared" si="18"/>
        <v>98</v>
      </c>
      <c r="F69" s="493">
        <f t="shared" si="18"/>
        <v>97</v>
      </c>
      <c r="G69" s="493">
        <f t="shared" si="18"/>
        <v>96</v>
      </c>
      <c r="H69" s="493">
        <f t="shared" si="18"/>
        <v>95</v>
      </c>
      <c r="I69" s="493">
        <f t="shared" si="18"/>
        <v>94</v>
      </c>
      <c r="J69" s="493">
        <f t="shared" si="18"/>
        <v>93</v>
      </c>
      <c r="K69" s="493">
        <f t="shared" si="18"/>
        <v>92</v>
      </c>
      <c r="L69" s="493">
        <f t="shared" si="18"/>
        <v>91</v>
      </c>
      <c r="M69" s="494">
        <f t="shared" si="18"/>
        <v>90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97</v>
      </c>
      <c r="E79" s="493">
        <f>D79-$K17</f>
        <v>94</v>
      </c>
      <c r="F79" s="493">
        <f>E79-$K17</f>
        <v>91</v>
      </c>
      <c r="G79" s="493">
        <f>F79-$K17</f>
        <v>88</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97</v>
      </c>
      <c r="E81" s="493">
        <f>D81-$K19</f>
        <v>94</v>
      </c>
      <c r="F81" s="493">
        <f>E81-$K19</f>
        <v>91</v>
      </c>
      <c r="G81" s="493">
        <f>F81-$K19</f>
        <v>88</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3812" t="s">
        <v>3433</v>
      </c>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 thickTop="1">
      <c r="A90" s="502"/>
      <c r="B90" s="487" t="str">
        <f>B27</f>
        <v>人流量</v>
      </c>
      <c r="C90" s="3812" t="s">
        <v>3433</v>
      </c>
      <c r="D90" s="3812" t="s">
        <v>3434</v>
      </c>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v>1</v>
      </c>
      <c r="D92" s="3815" t="s">
        <v>3446</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v>110</v>
      </c>
      <c r="D93" s="485">
        <v>100</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3811" t="s">
        <v>3426</v>
      </c>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0(含)-10000</v>
      </c>
      <c r="D102" s="527" t="str">
        <f t="shared" ref="D102:L102" si="23">D103&amp;"(含)"&amp;"-"&amp;E103</f>
        <v>10000(含)-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10000</v>
      </c>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v>100</v>
      </c>
      <c r="D104" s="485">
        <v>100</v>
      </c>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812" t="s">
        <v>3428</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41650.49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99" t="s">
        <v>1770</v>
      </c>
      <c r="D4" s="3700"/>
      <c r="E4" s="3701" t="s">
        <v>1771</v>
      </c>
      <c r="F4" s="3702"/>
      <c r="G4" s="3699" t="s">
        <v>1772</v>
      </c>
      <c r="H4" s="3700"/>
      <c r="I4" s="3699" t="s">
        <v>1773</v>
      </c>
      <c r="J4" s="3700"/>
      <c r="K4" s="559" t="s">
        <v>1774</v>
      </c>
      <c r="L4" s="2715"/>
      <c r="M4" s="2716"/>
      <c r="N4" s="2716"/>
      <c r="O4" s="2716"/>
      <c r="P4" s="3733" t="s">
        <v>1775</v>
      </c>
      <c r="Q4" s="3734"/>
      <c r="R4" s="3728" t="s">
        <v>1771</v>
      </c>
      <c r="S4" s="3729"/>
      <c r="T4" s="3728" t="s">
        <v>1772</v>
      </c>
      <c r="U4" s="3729"/>
      <c r="V4" s="3737" t="s">
        <v>1773</v>
      </c>
      <c r="W4" s="3737"/>
      <c r="X4" s="1958"/>
      <c r="Y4" s="3728" t="s">
        <v>1775</v>
      </c>
      <c r="Z4" s="3729"/>
      <c r="AA4" s="3727" t="s">
        <v>1771</v>
      </c>
      <c r="AB4" s="3727" t="s">
        <v>1772</v>
      </c>
      <c r="AC4" s="3730" t="s">
        <v>1773</v>
      </c>
    </row>
    <row r="5" spans="1:29">
      <c r="A5" s="358"/>
      <c r="B5" s="359"/>
      <c r="C5" s="3692" t="s">
        <v>1673</v>
      </c>
      <c r="D5" s="3693"/>
      <c r="E5" s="3690" t="s">
        <v>1674</v>
      </c>
      <c r="F5" s="3691"/>
      <c r="G5" s="3692" t="s">
        <v>1675</v>
      </c>
      <c r="H5" s="3693"/>
      <c r="I5" s="3692" t="s">
        <v>1676</v>
      </c>
      <c r="J5" s="3693"/>
      <c r="K5" s="559"/>
      <c r="L5" s="2715"/>
      <c r="M5" s="2716"/>
      <c r="N5" s="2716"/>
      <c r="O5" s="2716"/>
      <c r="P5" s="3735"/>
      <c r="Q5" s="3706"/>
      <c r="R5" s="3688"/>
      <c r="S5" s="3689"/>
      <c r="T5" s="3688"/>
      <c r="U5" s="3689"/>
      <c r="V5" s="3711"/>
      <c r="W5" s="3711"/>
      <c r="X5" s="1355"/>
      <c r="Y5" s="3688"/>
      <c r="Z5" s="3689"/>
      <c r="AA5" s="3682"/>
      <c r="AB5" s="3682"/>
      <c r="AC5" s="3731"/>
    </row>
    <row r="6" spans="1:29" ht="15" thickBot="1">
      <c r="A6" s="360"/>
      <c r="B6" s="361"/>
      <c r="C6" s="3694" t="s">
        <v>1677</v>
      </c>
      <c r="D6" s="3695"/>
      <c r="E6" s="3696" t="s">
        <v>1677</v>
      </c>
      <c r="F6" s="3697"/>
      <c r="G6" s="3694" t="s">
        <v>1677</v>
      </c>
      <c r="H6" s="3695"/>
      <c r="I6" s="3694" t="s">
        <v>1677</v>
      </c>
      <c r="J6" s="3695"/>
      <c r="K6" s="559" t="s">
        <v>1678</v>
      </c>
      <c r="L6" s="2715"/>
      <c r="M6" s="2716"/>
      <c r="N6" s="2716"/>
      <c r="O6" s="2716"/>
      <c r="P6" s="3736"/>
      <c r="Q6" s="3708"/>
      <c r="R6" s="3688"/>
      <c r="S6" s="3689"/>
      <c r="T6" s="3709"/>
      <c r="U6" s="3710"/>
      <c r="V6" s="3711"/>
      <c r="W6" s="3711"/>
      <c r="X6" s="1355"/>
      <c r="Y6" s="3709"/>
      <c r="Z6" s="3710"/>
      <c r="AA6" s="3683"/>
      <c r="AB6" s="3683"/>
      <c r="AC6" s="3732"/>
    </row>
    <row r="7" spans="1:29" s="108" customFormat="1" ht="15" thickBot="1">
      <c r="A7" s="362" t="s">
        <v>1679</v>
      </c>
      <c r="B7" s="363"/>
      <c r="C7" s="364">
        <f>'数据-取费表'!B2</f>
        <v>45696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685"/>
      <c r="R8" s="701" t="s">
        <v>14</v>
      </c>
      <c r="S8" s="702">
        <f t="shared" si="0"/>
        <v>100</v>
      </c>
      <c r="T8" s="701" t="s">
        <v>14</v>
      </c>
      <c r="U8" s="702">
        <f t="shared" si="1"/>
        <v>100</v>
      </c>
      <c r="V8" s="701" t="s">
        <v>14</v>
      </c>
      <c r="W8" s="702">
        <f t="shared" si="2"/>
        <v>100</v>
      </c>
      <c r="X8" s="703"/>
      <c r="Y8" s="3684" t="s">
        <v>1683</v>
      </c>
      <c r="Z8" s="3685"/>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8"/>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8"/>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5" t="s">
        <v>1691</v>
      </c>
      <c r="Q15" s="1352" t="str">
        <f t="shared" si="6"/>
        <v>办公集聚程度</v>
      </c>
      <c r="R15" s="705" t="s">
        <v>14</v>
      </c>
      <c r="S15" s="706">
        <f t="shared" si="0"/>
        <v>100</v>
      </c>
      <c r="T15" s="705" t="s">
        <v>14</v>
      </c>
      <c r="U15" s="706">
        <f t="shared" si="1"/>
        <v>100</v>
      </c>
      <c r="V15" s="705" t="s">
        <v>14</v>
      </c>
      <c r="W15" s="706">
        <f t="shared" si="2"/>
        <v>100</v>
      </c>
      <c r="X15" s="1355"/>
      <c r="Y15" s="371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6"/>
      <c r="Q16" s="1352"/>
      <c r="R16" s="705"/>
      <c r="S16" s="706"/>
      <c r="T16" s="705"/>
      <c r="U16" s="706"/>
      <c r="V16" s="705"/>
      <c r="W16" s="706"/>
      <c r="X16" s="1355"/>
      <c r="Y16" s="3719"/>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6"/>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6"/>
      <c r="Q18" s="1352"/>
      <c r="R18" s="705"/>
      <c r="S18" s="706"/>
      <c r="T18" s="705"/>
      <c r="U18" s="706"/>
      <c r="V18" s="705"/>
      <c r="W18" s="706"/>
      <c r="X18" s="1355"/>
      <c r="Y18" s="3719"/>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6"/>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6"/>
      <c r="Q20" s="1352"/>
      <c r="R20" s="705"/>
      <c r="S20" s="706"/>
      <c r="T20" s="705"/>
      <c r="U20" s="706"/>
      <c r="V20" s="705"/>
      <c r="W20" s="706"/>
      <c r="X20" s="1355"/>
      <c r="Y20" s="3719"/>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6"/>
      <c r="Q22" s="1352"/>
      <c r="R22" s="705"/>
      <c r="S22" s="706"/>
      <c r="T22" s="705"/>
      <c r="U22" s="706"/>
      <c r="V22" s="705"/>
      <c r="W22" s="706"/>
      <c r="X22" s="1355"/>
      <c r="Y22" s="3719"/>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6"/>
      <c r="Q23" s="1352" t="str">
        <f>B23</f>
        <v>环境质量</v>
      </c>
      <c r="R23" s="705" t="s">
        <v>14</v>
      </c>
      <c r="S23" s="706">
        <f>F23</f>
        <v>100</v>
      </c>
      <c r="T23" s="705" t="s">
        <v>14</v>
      </c>
      <c r="U23" s="706">
        <f>H23</f>
        <v>100</v>
      </c>
      <c r="V23" s="705" t="s">
        <v>14</v>
      </c>
      <c r="W23" s="706">
        <f>J23</f>
        <v>100</v>
      </c>
      <c r="X23" s="1355"/>
      <c r="Y23" s="371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6"/>
      <c r="Q24" s="1352"/>
      <c r="R24" s="705"/>
      <c r="S24" s="706"/>
      <c r="T24" s="705"/>
      <c r="U24" s="706"/>
      <c r="V24" s="705"/>
      <c r="W24" s="706"/>
      <c r="X24" s="1355"/>
      <c r="Y24" s="3719"/>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6"/>
      <c r="Q25" s="1352" t="str">
        <f>B25</f>
        <v>毗邻道路的类型与等级</v>
      </c>
      <c r="R25" s="705" t="s">
        <v>14</v>
      </c>
      <c r="S25" s="706">
        <f>F25</f>
        <v>100</v>
      </c>
      <c r="T25" s="705" t="s">
        <v>14</v>
      </c>
      <c r="U25" s="706">
        <f>H25</f>
        <v>100</v>
      </c>
      <c r="V25" s="705" t="s">
        <v>14</v>
      </c>
      <c r="W25" s="706">
        <f>J25</f>
        <v>100</v>
      </c>
      <c r="X25" s="1355"/>
      <c r="Y25" s="371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6"/>
      <c r="Q26" s="1352"/>
      <c r="R26" s="705"/>
      <c r="S26" s="706"/>
      <c r="T26" s="705"/>
      <c r="U26" s="706"/>
      <c r="V26" s="705"/>
      <c r="W26" s="706"/>
      <c r="X26" s="1355"/>
      <c r="Y26" s="371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6"/>
      <c r="Q27" s="1352" t="str">
        <f t="shared" ref="Q27:Q47" si="11">B27</f>
        <v>楼层</v>
      </c>
      <c r="R27" s="705" t="s">
        <v>14</v>
      </c>
      <c r="S27" s="706">
        <f>F27</f>
        <v>100</v>
      </c>
      <c r="T27" s="705" t="s">
        <v>14</v>
      </c>
      <c r="U27" s="706">
        <f>H27</f>
        <v>100</v>
      </c>
      <c r="V27" s="705" t="s">
        <v>14</v>
      </c>
      <c r="W27" s="706">
        <f>J27</f>
        <v>100</v>
      </c>
      <c r="X27" s="1355"/>
      <c r="Y27" s="371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6"/>
      <c r="Q28" s="1343" t="str">
        <f t="shared" si="11"/>
        <v>朝向</v>
      </c>
      <c r="R28" s="701" t="s">
        <v>14</v>
      </c>
      <c r="S28" s="702">
        <f>F28</f>
        <v>100</v>
      </c>
      <c r="T28" s="701" t="s">
        <v>14</v>
      </c>
      <c r="U28" s="702">
        <f>H28</f>
        <v>100</v>
      </c>
      <c r="V28" s="701" t="s">
        <v>14</v>
      </c>
      <c r="W28" s="702">
        <f>J28</f>
        <v>100</v>
      </c>
      <c r="X28" s="703"/>
      <c r="Y28" s="371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6"/>
      <c r="Q29" s="1352">
        <f t="shared" si="11"/>
        <v>111</v>
      </c>
      <c r="R29" s="705" t="s">
        <v>14</v>
      </c>
      <c r="S29" s="706">
        <f t="shared" ref="S29:S47" si="12">F29</f>
        <v>100</v>
      </c>
      <c r="T29" s="705" t="s">
        <v>14</v>
      </c>
      <c r="U29" s="706">
        <f t="shared" ref="U29:U47" si="13">H29</f>
        <v>100</v>
      </c>
      <c r="V29" s="705" t="s">
        <v>14</v>
      </c>
      <c r="W29" s="706">
        <f t="shared" ref="W29:W47" si="14">J29</f>
        <v>100</v>
      </c>
      <c r="X29" s="1355"/>
      <c r="Y29" s="371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6"/>
      <c r="Q30" s="1352">
        <f t="shared" si="11"/>
        <v>111</v>
      </c>
      <c r="R30" s="705" t="s">
        <v>14</v>
      </c>
      <c r="S30" s="706">
        <f t="shared" si="12"/>
        <v>100</v>
      </c>
      <c r="T30" s="705" t="s">
        <v>14</v>
      </c>
      <c r="U30" s="706">
        <f t="shared" si="13"/>
        <v>100</v>
      </c>
      <c r="V30" s="705" t="s">
        <v>14</v>
      </c>
      <c r="W30" s="706">
        <f t="shared" si="14"/>
        <v>100</v>
      </c>
      <c r="X30" s="1355"/>
      <c r="Y30" s="371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6"/>
      <c r="Q31" s="1352">
        <f t="shared" si="11"/>
        <v>111</v>
      </c>
      <c r="R31" s="705" t="s">
        <v>14</v>
      </c>
      <c r="S31" s="706">
        <f t="shared" si="12"/>
        <v>100</v>
      </c>
      <c r="T31" s="705" t="s">
        <v>14</v>
      </c>
      <c r="U31" s="706">
        <f t="shared" si="13"/>
        <v>100</v>
      </c>
      <c r="V31" s="705" t="s">
        <v>14</v>
      </c>
      <c r="W31" s="706">
        <f t="shared" si="14"/>
        <v>100</v>
      </c>
      <c r="X31" s="1355"/>
      <c r="Y31" s="3719"/>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6"/>
      <c r="Q32" s="1352">
        <f t="shared" si="11"/>
        <v>111</v>
      </c>
      <c r="R32" s="705" t="s">
        <v>14</v>
      </c>
      <c r="S32" s="706">
        <f t="shared" si="12"/>
        <v>100</v>
      </c>
      <c r="T32" s="705" t="s">
        <v>14</v>
      </c>
      <c r="U32" s="706">
        <f t="shared" si="13"/>
        <v>100</v>
      </c>
      <c r="V32" s="705" t="s">
        <v>14</v>
      </c>
      <c r="W32" s="706">
        <f t="shared" si="14"/>
        <v>100</v>
      </c>
      <c r="X32" s="1355"/>
      <c r="Y32" s="371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0" t="s">
        <v>1696</v>
      </c>
      <c r="Q33" s="1352" t="str">
        <f t="shared" si="11"/>
        <v>建筑类型</v>
      </c>
      <c r="R33" s="705" t="s">
        <v>14</v>
      </c>
      <c r="S33" s="706">
        <f t="shared" si="12"/>
        <v>100</v>
      </c>
      <c r="T33" s="705" t="s">
        <v>14</v>
      </c>
      <c r="U33" s="706">
        <f t="shared" si="13"/>
        <v>100</v>
      </c>
      <c r="V33" s="705" t="s">
        <v>14</v>
      </c>
      <c r="W33" s="706">
        <f t="shared" si="14"/>
        <v>100</v>
      </c>
      <c r="X33" s="1355"/>
      <c r="Y33" s="372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1"/>
      <c r="Q34" s="707" t="str">
        <f t="shared" si="11"/>
        <v>项目建筑规模</v>
      </c>
      <c r="R34" s="708" t="s">
        <v>14</v>
      </c>
      <c r="S34" s="709" t="e">
        <f t="shared" si="12"/>
        <v>#N/A</v>
      </c>
      <c r="T34" s="708" t="s">
        <v>14</v>
      </c>
      <c r="U34" s="709" t="e">
        <f t="shared" si="13"/>
        <v>#N/A</v>
      </c>
      <c r="V34" s="708" t="s">
        <v>14</v>
      </c>
      <c r="W34" s="709" t="e">
        <f t="shared" si="14"/>
        <v>#N/A</v>
      </c>
      <c r="X34" s="710"/>
      <c r="Y34" s="372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1"/>
      <c r="Q35" s="1352" t="str">
        <f t="shared" si="11"/>
        <v>建筑结构</v>
      </c>
      <c r="R35" s="705" t="s">
        <v>14</v>
      </c>
      <c r="S35" s="706">
        <f t="shared" si="12"/>
        <v>100</v>
      </c>
      <c r="T35" s="705" t="s">
        <v>14</v>
      </c>
      <c r="U35" s="706">
        <f t="shared" si="13"/>
        <v>100</v>
      </c>
      <c r="V35" s="705" t="s">
        <v>14</v>
      </c>
      <c r="W35" s="706">
        <f t="shared" si="14"/>
        <v>100</v>
      </c>
      <c r="X35" s="1355"/>
      <c r="Y35" s="372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1"/>
      <c r="Q36" s="1352" t="str">
        <f t="shared" si="11"/>
        <v>公共部分装修</v>
      </c>
      <c r="R36" s="705" t="s">
        <v>14</v>
      </c>
      <c r="S36" s="706">
        <f t="shared" si="12"/>
        <v>100</v>
      </c>
      <c r="T36" s="705" t="s">
        <v>14</v>
      </c>
      <c r="U36" s="706">
        <f t="shared" si="13"/>
        <v>100</v>
      </c>
      <c r="V36" s="705" t="s">
        <v>14</v>
      </c>
      <c r="W36" s="706">
        <f t="shared" si="14"/>
        <v>100</v>
      </c>
      <c r="X36" s="1355"/>
      <c r="Y36" s="372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1"/>
      <c r="Q37" s="1352" t="str">
        <f t="shared" si="11"/>
        <v>成新度</v>
      </c>
      <c r="R37" s="705" t="s">
        <v>14</v>
      </c>
      <c r="S37" s="706" t="e">
        <f t="shared" si="12"/>
        <v>#N/A</v>
      </c>
      <c r="T37" s="705" t="s">
        <v>14</v>
      </c>
      <c r="U37" s="706" t="e">
        <f t="shared" si="13"/>
        <v>#N/A</v>
      </c>
      <c r="V37" s="705" t="s">
        <v>14</v>
      </c>
      <c r="W37" s="706" t="e">
        <f t="shared" si="14"/>
        <v>#N/A</v>
      </c>
      <c r="X37" s="1355"/>
      <c r="Y37" s="372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1"/>
      <c r="Q38" s="1343" t="str">
        <f t="shared" si="11"/>
        <v>写字楼等级</v>
      </c>
      <c r="R38" s="701" t="s">
        <v>14</v>
      </c>
      <c r="S38" s="702">
        <f t="shared" si="12"/>
        <v>100</v>
      </c>
      <c r="T38" s="701" t="s">
        <v>14</v>
      </c>
      <c r="U38" s="702">
        <f t="shared" si="13"/>
        <v>100</v>
      </c>
      <c r="V38" s="701" t="s">
        <v>14</v>
      </c>
      <c r="W38" s="702">
        <f t="shared" si="14"/>
        <v>100</v>
      </c>
      <c r="X38" s="703"/>
      <c r="Y38" s="372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1" t="s">
        <v>1696</v>
      </c>
      <c r="Q39" s="1352" t="str">
        <f t="shared" si="11"/>
        <v>物业管理</v>
      </c>
      <c r="R39" s="705" t="s">
        <v>14</v>
      </c>
      <c r="S39" s="706">
        <f t="shared" si="12"/>
        <v>100</v>
      </c>
      <c r="T39" s="705" t="s">
        <v>14</v>
      </c>
      <c r="U39" s="706">
        <f t="shared" si="13"/>
        <v>100</v>
      </c>
      <c r="V39" s="705" t="s">
        <v>14</v>
      </c>
      <c r="W39" s="706">
        <f t="shared" si="14"/>
        <v>100</v>
      </c>
      <c r="X39" s="1355"/>
      <c r="Y39" s="372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1"/>
      <c r="Q40" s="1352" t="str">
        <f t="shared" si="11"/>
        <v>市政基础设施</v>
      </c>
      <c r="R40" s="705" t="s">
        <v>14</v>
      </c>
      <c r="S40" s="706">
        <f t="shared" si="12"/>
        <v>100</v>
      </c>
      <c r="T40" s="705" t="s">
        <v>14</v>
      </c>
      <c r="U40" s="706">
        <f t="shared" si="13"/>
        <v>100</v>
      </c>
      <c r="V40" s="705" t="s">
        <v>14</v>
      </c>
      <c r="W40" s="706">
        <f t="shared" si="14"/>
        <v>100</v>
      </c>
      <c r="X40" s="1355"/>
      <c r="Y40" s="372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1"/>
      <c r="Q41" s="1352" t="str">
        <f t="shared" si="11"/>
        <v>层高</v>
      </c>
      <c r="R41" s="705" t="s">
        <v>14</v>
      </c>
      <c r="S41" s="706">
        <f t="shared" si="12"/>
        <v>100</v>
      </c>
      <c r="T41" s="705" t="s">
        <v>14</v>
      </c>
      <c r="U41" s="706">
        <f t="shared" si="13"/>
        <v>100</v>
      </c>
      <c r="V41" s="705" t="s">
        <v>14</v>
      </c>
      <c r="W41" s="706">
        <f t="shared" si="14"/>
        <v>100</v>
      </c>
      <c r="X41" s="1355"/>
      <c r="Y41" s="372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1"/>
      <c r="Q42" s="707" t="str">
        <f t="shared" si="11"/>
        <v>单套建筑面积</v>
      </c>
      <c r="R42" s="708" t="s">
        <v>14</v>
      </c>
      <c r="S42" s="709">
        <f t="shared" si="12"/>
        <v>100</v>
      </c>
      <c r="T42" s="708" t="s">
        <v>14</v>
      </c>
      <c r="U42" s="709">
        <f t="shared" si="13"/>
        <v>100</v>
      </c>
      <c r="V42" s="708" t="s">
        <v>14</v>
      </c>
      <c r="W42" s="709">
        <f t="shared" si="14"/>
        <v>100</v>
      </c>
      <c r="X42" s="710"/>
      <c r="Y42" s="372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1"/>
      <c r="Q43" s="1352" t="str">
        <f t="shared" si="11"/>
        <v>内部装修</v>
      </c>
      <c r="R43" s="705" t="s">
        <v>14</v>
      </c>
      <c r="S43" s="706">
        <f t="shared" si="12"/>
        <v>100</v>
      </c>
      <c r="T43" s="705" t="s">
        <v>14</v>
      </c>
      <c r="U43" s="706">
        <f t="shared" si="13"/>
        <v>100</v>
      </c>
      <c r="V43" s="705" t="s">
        <v>14</v>
      </c>
      <c r="W43" s="706">
        <f t="shared" si="14"/>
        <v>100</v>
      </c>
      <c r="X43" s="1355"/>
      <c r="Y43" s="3723"/>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1"/>
      <c r="Q44" s="1352" t="str">
        <f t="shared" si="11"/>
        <v>内部装修维护情况</v>
      </c>
      <c r="R44" s="705" t="s">
        <v>14</v>
      </c>
      <c r="S44" s="706">
        <f t="shared" si="12"/>
        <v>100</v>
      </c>
      <c r="T44" s="705" t="s">
        <v>14</v>
      </c>
      <c r="U44" s="706">
        <f t="shared" si="13"/>
        <v>100</v>
      </c>
      <c r="V44" s="705" t="s">
        <v>14</v>
      </c>
      <c r="W44" s="706">
        <f t="shared" si="14"/>
        <v>100</v>
      </c>
      <c r="X44" s="1355"/>
      <c r="Y44" s="372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1"/>
      <c r="Q45" s="1343">
        <f t="shared" si="11"/>
        <v>111</v>
      </c>
      <c r="R45" s="701" t="s">
        <v>14</v>
      </c>
      <c r="S45" s="702">
        <f t="shared" si="12"/>
        <v>100</v>
      </c>
      <c r="T45" s="701" t="s">
        <v>14</v>
      </c>
      <c r="U45" s="702">
        <f t="shared" si="13"/>
        <v>100</v>
      </c>
      <c r="V45" s="701" t="s">
        <v>14</v>
      </c>
      <c r="W45" s="702">
        <f t="shared" si="14"/>
        <v>100</v>
      </c>
      <c r="X45" s="703"/>
      <c r="Y45" s="372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2"/>
      <c r="Q47" s="1352">
        <f t="shared" si="11"/>
        <v>111</v>
      </c>
      <c r="R47" s="705" t="s">
        <v>14</v>
      </c>
      <c r="S47" s="706">
        <f t="shared" si="12"/>
        <v>100</v>
      </c>
      <c r="T47" s="705" t="s">
        <v>14</v>
      </c>
      <c r="U47" s="706">
        <f t="shared" si="13"/>
        <v>100</v>
      </c>
      <c r="V47" s="705" t="s">
        <v>14</v>
      </c>
      <c r="W47" s="706">
        <f t="shared" si="14"/>
        <v>100</v>
      </c>
      <c r="X47" s="1355"/>
      <c r="Y47" s="3724"/>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98" t="str">
        <f>A48</f>
        <v>成交单价（元/平方米）</v>
      </c>
      <c r="Q48" s="3716"/>
      <c r="R48" s="3717">
        <f>E48</f>
        <v>0</v>
      </c>
      <c r="S48" s="3717"/>
      <c r="T48" s="3717">
        <f>G48</f>
        <v>0</v>
      </c>
      <c r="U48" s="3717"/>
      <c r="V48" s="3717">
        <f>I48</f>
        <v>0</v>
      </c>
      <c r="W48" s="3717"/>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8" t="str">
        <f>A49</f>
        <v>比较价值（元/平方米）</v>
      </c>
      <c r="Q49" s="3716"/>
      <c r="R49" s="3717" t="e">
        <f>IF(F1="售价",ROUND(PRODUCT(R48,AA7:AA47),0),ROUND(PRODUCT(R48,AA7:AA47),1))</f>
        <v>#DIV/0!</v>
      </c>
      <c r="S49" s="3717"/>
      <c r="T49" s="3717" t="e">
        <f>IF(F1="售价",ROUND(PRODUCT(T48,AB7:AB47),0),ROUND(PRODUCT(T48,AB7:AB47),1))</f>
        <v>#DIV/0!</v>
      </c>
      <c r="U49" s="3717"/>
      <c r="V49" s="3717" t="e">
        <f>IF(F1="售价",ROUND(PRODUCT(V48,AC7:AC47),0),ROUND(PRODUCT(V48,AC7:AC47),1))</f>
        <v>#DIV/0!</v>
      </c>
      <c r="W49" s="3717"/>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41650.49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c r="A5" s="358"/>
      <c r="B5" s="359"/>
      <c r="C5" s="3692" t="s">
        <v>1673</v>
      </c>
      <c r="D5" s="3693"/>
      <c r="E5" s="3690" t="s">
        <v>1674</v>
      </c>
      <c r="F5" s="3691"/>
      <c r="G5" s="3692" t="s">
        <v>1675</v>
      </c>
      <c r="H5" s="3693"/>
      <c r="I5" s="3692" t="s">
        <v>1676</v>
      </c>
      <c r="J5" s="3693"/>
      <c r="K5" s="559"/>
      <c r="L5" s="913"/>
      <c r="M5" s="914"/>
      <c r="N5" s="914"/>
      <c r="O5" s="914"/>
      <c r="P5" s="3705"/>
      <c r="Q5" s="3706"/>
      <c r="R5" s="3688"/>
      <c r="S5" s="3689"/>
      <c r="T5" s="3688"/>
      <c r="U5" s="3689"/>
      <c r="V5" s="3711"/>
      <c r="W5" s="3711"/>
      <c r="X5" s="1355"/>
      <c r="Y5" s="3688"/>
      <c r="Z5" s="3689"/>
      <c r="AA5" s="3682"/>
      <c r="AB5" s="3682"/>
      <c r="AC5" s="3682"/>
    </row>
    <row r="6" spans="1:29" ht="15" thickBot="1">
      <c r="A6" s="360"/>
      <c r="B6" s="361"/>
      <c r="C6" s="3694" t="s">
        <v>1677</v>
      </c>
      <c r="D6" s="3695"/>
      <c r="E6" s="3696" t="s">
        <v>1677</v>
      </c>
      <c r="F6" s="3697"/>
      <c r="G6" s="3694" t="s">
        <v>1677</v>
      </c>
      <c r="H6" s="3695"/>
      <c r="I6" s="3694" t="s">
        <v>1677</v>
      </c>
      <c r="J6" s="3695"/>
      <c r="K6" s="559" t="s">
        <v>1678</v>
      </c>
      <c r="L6" s="913"/>
      <c r="M6" s="914"/>
      <c r="N6" s="914"/>
      <c r="O6" s="914"/>
      <c r="P6" s="3707"/>
      <c r="Q6" s="3708"/>
      <c r="R6" s="3688"/>
      <c r="S6" s="3689"/>
      <c r="T6" s="3709"/>
      <c r="U6" s="3710"/>
      <c r="V6" s="3711"/>
      <c r="W6" s="3711"/>
      <c r="X6" s="1355"/>
      <c r="Y6" s="3709"/>
      <c r="Z6" s="3710"/>
      <c r="AA6" s="3683"/>
      <c r="AB6" s="3683"/>
      <c r="AC6" s="3683"/>
    </row>
    <row r="7" spans="1:29" s="108" customFormat="1" ht="15" thickBot="1">
      <c r="A7" s="362" t="s">
        <v>1679</v>
      </c>
      <c r="B7" s="363"/>
      <c r="C7" s="364">
        <f>'数据-取费表'!B2</f>
        <v>45696</v>
      </c>
      <c r="D7" s="365">
        <v>100</v>
      </c>
      <c r="E7" s="366"/>
      <c r="F7" s="367">
        <f>SUMIF(52:52,YEAR(E7)&amp;"-"&amp;MONTH(E7),53:53)</f>
        <v>0</v>
      </c>
      <c r="G7" s="366"/>
      <c r="H7" s="365">
        <f>SUMIF(52:52,YEAR(G7)&amp;"-"&amp;MONTH(G7),53:53)</f>
        <v>0</v>
      </c>
      <c r="I7" s="366"/>
      <c r="J7" s="365">
        <f>SUMIF(52:52,YEAR(I7)&amp;"-"&amp;MONTH(I7),53:53)</f>
        <v>0</v>
      </c>
      <c r="K7" s="560"/>
      <c r="L7" s="915"/>
      <c r="M7" s="916"/>
      <c r="N7" s="916"/>
      <c r="O7" s="916"/>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4" t="s">
        <v>1683</v>
      </c>
      <c r="Q8" s="3685"/>
      <c r="R8" s="701" t="s">
        <v>14</v>
      </c>
      <c r="S8" s="702">
        <f t="shared" si="0"/>
        <v>100</v>
      </c>
      <c r="T8" s="701" t="s">
        <v>14</v>
      </c>
      <c r="U8" s="702">
        <f t="shared" si="1"/>
        <v>100</v>
      </c>
      <c r="V8" s="701" t="s">
        <v>14</v>
      </c>
      <c r="W8" s="702">
        <f t="shared" si="2"/>
        <v>100</v>
      </c>
      <c r="X8" s="703"/>
      <c r="Y8" s="3684" t="s">
        <v>1683</v>
      </c>
      <c r="Z8" s="368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6"/>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6"/>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8" t="s">
        <v>1691</v>
      </c>
      <c r="Q15" s="1352" t="str">
        <f t="shared" si="6"/>
        <v>产业集聚程度</v>
      </c>
      <c r="R15" s="705" t="s">
        <v>14</v>
      </c>
      <c r="S15" s="706">
        <f t="shared" si="0"/>
        <v>100</v>
      </c>
      <c r="T15" s="705" t="s">
        <v>14</v>
      </c>
      <c r="U15" s="706">
        <f t="shared" si="1"/>
        <v>100</v>
      </c>
      <c r="V15" s="705" t="s">
        <v>14</v>
      </c>
      <c r="W15" s="706">
        <f t="shared" si="2"/>
        <v>100</v>
      </c>
      <c r="X15" s="1355"/>
      <c r="Y15" s="371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9"/>
      <c r="Q16" s="1352"/>
      <c r="R16" s="705"/>
      <c r="S16" s="706"/>
      <c r="T16" s="705"/>
      <c r="U16" s="706"/>
      <c r="V16" s="705"/>
      <c r="W16" s="706"/>
      <c r="X16" s="1355"/>
      <c r="Y16" s="371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9"/>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9"/>
      <c r="Q18" s="1352"/>
      <c r="R18" s="705"/>
      <c r="S18" s="706"/>
      <c r="T18" s="705"/>
      <c r="U18" s="706"/>
      <c r="V18" s="705"/>
      <c r="W18" s="706"/>
      <c r="X18" s="1355"/>
      <c r="Y18" s="3719"/>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9"/>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9"/>
      <c r="Q20" s="1352"/>
      <c r="R20" s="705"/>
      <c r="S20" s="706"/>
      <c r="T20" s="705"/>
      <c r="U20" s="706"/>
      <c r="V20" s="705"/>
      <c r="W20" s="706"/>
      <c r="X20" s="1355"/>
      <c r="Y20" s="3719"/>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9"/>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9"/>
      <c r="Q22" s="1352"/>
      <c r="R22" s="705"/>
      <c r="S22" s="706"/>
      <c r="T22" s="705"/>
      <c r="U22" s="706"/>
      <c r="V22" s="705"/>
      <c r="W22" s="706"/>
      <c r="X22" s="1355"/>
      <c r="Y22" s="3719"/>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9"/>
      <c r="Q23" s="1352" t="str">
        <f>B23</f>
        <v>环境质量</v>
      </c>
      <c r="R23" s="705" t="s">
        <v>14</v>
      </c>
      <c r="S23" s="706">
        <f>F23</f>
        <v>100</v>
      </c>
      <c r="T23" s="705" t="s">
        <v>14</v>
      </c>
      <c r="U23" s="706">
        <f>H23</f>
        <v>100</v>
      </c>
      <c r="V23" s="705" t="s">
        <v>14</v>
      </c>
      <c r="W23" s="706">
        <f>J23</f>
        <v>100</v>
      </c>
      <c r="X23" s="1355"/>
      <c r="Y23" s="371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9"/>
      <c r="Q24" s="1352"/>
      <c r="R24" s="705"/>
      <c r="S24" s="706"/>
      <c r="T24" s="705"/>
      <c r="U24" s="706"/>
      <c r="V24" s="705"/>
      <c r="W24" s="706"/>
      <c r="X24" s="1355"/>
      <c r="Y24" s="371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9"/>
      <c r="Q25" s="1352">
        <f>B25</f>
        <v>111</v>
      </c>
      <c r="R25" s="705" t="s">
        <v>14</v>
      </c>
      <c r="S25" s="706">
        <f>F25</f>
        <v>100</v>
      </c>
      <c r="T25" s="705" t="s">
        <v>14</v>
      </c>
      <c r="U25" s="706">
        <f>H25</f>
        <v>100</v>
      </c>
      <c r="V25" s="705" t="s">
        <v>14</v>
      </c>
      <c r="W25" s="706">
        <f>J25</f>
        <v>100</v>
      </c>
      <c r="X25" s="1355"/>
      <c r="Y25" s="371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9"/>
      <c r="Q26" s="1352">
        <f t="shared" ref="Q26:Q40" si="11">B26</f>
        <v>111</v>
      </c>
      <c r="R26" s="705" t="s">
        <v>14</v>
      </c>
      <c r="S26" s="706">
        <f>F26</f>
        <v>100</v>
      </c>
      <c r="T26" s="705" t="s">
        <v>14</v>
      </c>
      <c r="U26" s="706">
        <f>H26</f>
        <v>100</v>
      </c>
      <c r="V26" s="705" t="s">
        <v>14</v>
      </c>
      <c r="W26" s="706">
        <f>J26</f>
        <v>100</v>
      </c>
      <c r="X26" s="1355"/>
      <c r="Y26" s="371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9"/>
      <c r="Q27" s="1343">
        <f t="shared" si="11"/>
        <v>111</v>
      </c>
      <c r="R27" s="701" t="s">
        <v>14</v>
      </c>
      <c r="S27" s="702">
        <f>F27</f>
        <v>100</v>
      </c>
      <c r="T27" s="701" t="s">
        <v>14</v>
      </c>
      <c r="U27" s="702">
        <f>H27</f>
        <v>100</v>
      </c>
      <c r="V27" s="701" t="s">
        <v>14</v>
      </c>
      <c r="W27" s="702">
        <f>J27</f>
        <v>100</v>
      </c>
      <c r="X27" s="703"/>
      <c r="Y27" s="371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9"/>
      <c r="Q28" s="1352">
        <f t="shared" si="11"/>
        <v>111</v>
      </c>
      <c r="R28" s="705" t="s">
        <v>14</v>
      </c>
      <c r="S28" s="706">
        <f t="shared" ref="S28:S40" si="12">F28</f>
        <v>100</v>
      </c>
      <c r="T28" s="705" t="s">
        <v>14</v>
      </c>
      <c r="U28" s="706">
        <f t="shared" ref="U28:U40" si="13">H28</f>
        <v>100</v>
      </c>
      <c r="V28" s="705" t="s">
        <v>14</v>
      </c>
      <c r="W28" s="706">
        <f t="shared" ref="W28:W40" si="14">J28</f>
        <v>100</v>
      </c>
      <c r="X28" s="1355"/>
      <c r="Y28" s="3719"/>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72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3"/>
      <c r="Q30" s="707" t="str">
        <f t="shared" si="11"/>
        <v>项目建筑规模</v>
      </c>
      <c r="R30" s="708" t="s">
        <v>14</v>
      </c>
      <c r="S30" s="709" t="e">
        <f t="shared" si="12"/>
        <v>#N/A</v>
      </c>
      <c r="T30" s="708" t="s">
        <v>14</v>
      </c>
      <c r="U30" s="709" t="e">
        <f t="shared" si="13"/>
        <v>#N/A</v>
      </c>
      <c r="V30" s="708" t="s">
        <v>14</v>
      </c>
      <c r="W30" s="709" t="e">
        <f t="shared" si="14"/>
        <v>#N/A</v>
      </c>
      <c r="X30" s="710"/>
      <c r="Y30" s="372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3"/>
      <c r="Q31" s="1352" t="str">
        <f t="shared" si="11"/>
        <v>建筑结构</v>
      </c>
      <c r="R31" s="705" t="s">
        <v>14</v>
      </c>
      <c r="S31" s="706">
        <f t="shared" si="12"/>
        <v>100</v>
      </c>
      <c r="T31" s="705" t="s">
        <v>14</v>
      </c>
      <c r="U31" s="706">
        <f t="shared" si="13"/>
        <v>100</v>
      </c>
      <c r="V31" s="705" t="s">
        <v>14</v>
      </c>
      <c r="W31" s="706">
        <f t="shared" si="14"/>
        <v>100</v>
      </c>
      <c r="X31" s="1355"/>
      <c r="Y31" s="372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3"/>
      <c r="Q32" s="1352" t="str">
        <f t="shared" si="11"/>
        <v>公共部分装修</v>
      </c>
      <c r="R32" s="705" t="s">
        <v>14</v>
      </c>
      <c r="S32" s="706">
        <f t="shared" si="12"/>
        <v>100</v>
      </c>
      <c r="T32" s="705" t="s">
        <v>14</v>
      </c>
      <c r="U32" s="706">
        <f t="shared" si="13"/>
        <v>100</v>
      </c>
      <c r="V32" s="705" t="s">
        <v>14</v>
      </c>
      <c r="W32" s="706">
        <f t="shared" si="14"/>
        <v>100</v>
      </c>
      <c r="X32" s="1355"/>
      <c r="Y32" s="372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3"/>
      <c r="Q33" s="1352" t="str">
        <f t="shared" si="11"/>
        <v>成新度</v>
      </c>
      <c r="R33" s="705" t="s">
        <v>14</v>
      </c>
      <c r="S33" s="706" t="e">
        <f t="shared" si="12"/>
        <v>#N/A</v>
      </c>
      <c r="T33" s="705" t="s">
        <v>14</v>
      </c>
      <c r="U33" s="706" t="e">
        <f t="shared" si="13"/>
        <v>#N/A</v>
      </c>
      <c r="V33" s="705" t="s">
        <v>14</v>
      </c>
      <c r="W33" s="706" t="e">
        <f t="shared" si="14"/>
        <v>#N/A</v>
      </c>
      <c r="X33" s="1355"/>
      <c r="Y33" s="372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3"/>
      <c r="Q34" s="1343" t="str">
        <f t="shared" si="11"/>
        <v>物业管理</v>
      </c>
      <c r="R34" s="701" t="s">
        <v>14</v>
      </c>
      <c r="S34" s="702">
        <f t="shared" si="12"/>
        <v>100</v>
      </c>
      <c r="T34" s="701" t="s">
        <v>14</v>
      </c>
      <c r="U34" s="702">
        <f t="shared" si="13"/>
        <v>100</v>
      </c>
      <c r="V34" s="701" t="s">
        <v>14</v>
      </c>
      <c r="W34" s="702">
        <f t="shared" si="14"/>
        <v>100</v>
      </c>
      <c r="X34" s="703"/>
      <c r="Y34" s="372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3" t="s">
        <v>1696</v>
      </c>
      <c r="Q35" s="1352" t="str">
        <f t="shared" si="11"/>
        <v>市政基础设施</v>
      </c>
      <c r="R35" s="705" t="s">
        <v>14</v>
      </c>
      <c r="S35" s="706">
        <f t="shared" si="12"/>
        <v>100</v>
      </c>
      <c r="T35" s="705" t="s">
        <v>14</v>
      </c>
      <c r="U35" s="706">
        <f t="shared" si="13"/>
        <v>100</v>
      </c>
      <c r="V35" s="705" t="s">
        <v>14</v>
      </c>
      <c r="W35" s="706">
        <f t="shared" si="14"/>
        <v>100</v>
      </c>
      <c r="X35" s="1355"/>
      <c r="Y35" s="372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3"/>
      <c r="Q36" s="1352" t="str">
        <f t="shared" si="11"/>
        <v>内部装修</v>
      </c>
      <c r="R36" s="705" t="s">
        <v>14</v>
      </c>
      <c r="S36" s="706">
        <f t="shared" si="12"/>
        <v>100</v>
      </c>
      <c r="T36" s="705" t="s">
        <v>14</v>
      </c>
      <c r="U36" s="706">
        <f t="shared" si="13"/>
        <v>100</v>
      </c>
      <c r="V36" s="705" t="s">
        <v>14</v>
      </c>
      <c r="W36" s="706">
        <f t="shared" si="14"/>
        <v>100</v>
      </c>
      <c r="X36" s="1355"/>
      <c r="Y36" s="372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3"/>
      <c r="Q37" s="1352" t="str">
        <f t="shared" si="11"/>
        <v>内部装修状况</v>
      </c>
      <c r="R37" s="705" t="s">
        <v>14</v>
      </c>
      <c r="S37" s="706">
        <f t="shared" si="12"/>
        <v>100</v>
      </c>
      <c r="T37" s="705" t="s">
        <v>14</v>
      </c>
      <c r="U37" s="706">
        <f t="shared" si="13"/>
        <v>100</v>
      </c>
      <c r="V37" s="705" t="s">
        <v>14</v>
      </c>
      <c r="W37" s="706">
        <f t="shared" si="14"/>
        <v>100</v>
      </c>
      <c r="X37" s="1355"/>
      <c r="Y37" s="372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3"/>
      <c r="Q38" s="707">
        <f t="shared" si="11"/>
        <v>111</v>
      </c>
      <c r="R38" s="708" t="s">
        <v>14</v>
      </c>
      <c r="S38" s="709">
        <f t="shared" si="12"/>
        <v>100</v>
      </c>
      <c r="T38" s="708" t="s">
        <v>14</v>
      </c>
      <c r="U38" s="709">
        <f t="shared" si="13"/>
        <v>100</v>
      </c>
      <c r="V38" s="708" t="s">
        <v>14</v>
      </c>
      <c r="W38" s="709">
        <f t="shared" si="14"/>
        <v>100</v>
      </c>
      <c r="X38" s="710"/>
      <c r="Y38" s="372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3"/>
      <c r="Q39" s="1352">
        <f t="shared" si="11"/>
        <v>111</v>
      </c>
      <c r="R39" s="705" t="s">
        <v>14</v>
      </c>
      <c r="S39" s="706">
        <f t="shared" si="12"/>
        <v>100</v>
      </c>
      <c r="T39" s="705" t="s">
        <v>14</v>
      </c>
      <c r="U39" s="706">
        <f t="shared" si="13"/>
        <v>100</v>
      </c>
      <c r="V39" s="705" t="s">
        <v>14</v>
      </c>
      <c r="W39" s="706">
        <f t="shared" si="14"/>
        <v>100</v>
      </c>
      <c r="X39" s="1355"/>
      <c r="Y39" s="372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4"/>
      <c r="Q40" s="1352">
        <f t="shared" si="11"/>
        <v>111</v>
      </c>
      <c r="R40" s="705" t="s">
        <v>14</v>
      </c>
      <c r="S40" s="706">
        <f t="shared" si="12"/>
        <v>100</v>
      </c>
      <c r="T40" s="705" t="s">
        <v>14</v>
      </c>
      <c r="U40" s="706">
        <f t="shared" si="13"/>
        <v>100</v>
      </c>
      <c r="V40" s="705" t="s">
        <v>14</v>
      </c>
      <c r="W40" s="706">
        <f t="shared" si="14"/>
        <v>100</v>
      </c>
      <c r="X40" s="1355"/>
      <c r="Y40" s="3724"/>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16" t="str">
        <f>A41</f>
        <v>成交单价（元/平方米）</v>
      </c>
      <c r="Q41" s="3716"/>
      <c r="R41" s="3717">
        <f>E41</f>
        <v>0</v>
      </c>
      <c r="S41" s="3717"/>
      <c r="T41" s="3717">
        <f>G41</f>
        <v>0</v>
      </c>
      <c r="U41" s="3717"/>
      <c r="V41" s="3717">
        <f>I41</f>
        <v>0</v>
      </c>
      <c r="W41" s="3717"/>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6" t="str">
        <f>A42</f>
        <v>比较价值（元/平方米）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 thickBot="1">
      <c r="A7" s="362" t="s">
        <v>1679</v>
      </c>
      <c r="B7" s="363"/>
      <c r="C7" s="364">
        <f>'数据-取费表'!B2</f>
        <v>45696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4" t="s">
        <v>1680</v>
      </c>
      <c r="Q7" s="3712"/>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6"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6"/>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8" t="s">
        <v>1691</v>
      </c>
      <c r="Q14" s="1352" t="str">
        <f t="shared" si="6"/>
        <v>交通便捷度</v>
      </c>
      <c r="R14" s="705" t="s">
        <v>14</v>
      </c>
      <c r="S14" s="706">
        <f t="shared" si="0"/>
        <v>100</v>
      </c>
      <c r="T14" s="705" t="s">
        <v>14</v>
      </c>
      <c r="U14" s="706">
        <f t="shared" si="1"/>
        <v>100</v>
      </c>
      <c r="V14" s="705" t="s">
        <v>14</v>
      </c>
      <c r="W14" s="706">
        <f t="shared" si="2"/>
        <v>100</v>
      </c>
      <c r="X14" s="1355"/>
      <c r="Y14" s="371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9"/>
      <c r="Q15" s="1352"/>
      <c r="R15" s="705"/>
      <c r="S15" s="706"/>
      <c r="T15" s="705"/>
      <c r="U15" s="706"/>
      <c r="V15" s="705"/>
      <c r="W15" s="706"/>
      <c r="X15" s="1355"/>
      <c r="Y15" s="3719"/>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9"/>
      <c r="Q16" s="1352" t="str">
        <f>B16</f>
        <v>公共配套设施</v>
      </c>
      <c r="R16" s="705" t="s">
        <v>14</v>
      </c>
      <c r="S16" s="706">
        <f>F16</f>
        <v>100</v>
      </c>
      <c r="T16" s="705" t="s">
        <v>14</v>
      </c>
      <c r="U16" s="706">
        <f>H16</f>
        <v>100</v>
      </c>
      <c r="V16" s="705" t="s">
        <v>14</v>
      </c>
      <c r="W16" s="706">
        <f>J16</f>
        <v>100</v>
      </c>
      <c r="X16" s="1355"/>
      <c r="Y16" s="371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9"/>
      <c r="Q17" s="1352"/>
      <c r="R17" s="705"/>
      <c r="S17" s="706"/>
      <c r="T17" s="705"/>
      <c r="U17" s="706"/>
      <c r="V17" s="705"/>
      <c r="W17" s="706"/>
      <c r="X17" s="1355"/>
      <c r="Y17" s="3719"/>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9"/>
      <c r="Q18" s="1352" t="str">
        <f>B18</f>
        <v>基础设施水平</v>
      </c>
      <c r="R18" s="705" t="s">
        <v>14</v>
      </c>
      <c r="S18" s="706">
        <f>F18</f>
        <v>100</v>
      </c>
      <c r="T18" s="705" t="s">
        <v>14</v>
      </c>
      <c r="U18" s="706">
        <f>H18</f>
        <v>100</v>
      </c>
      <c r="V18" s="705" t="s">
        <v>14</v>
      </c>
      <c r="W18" s="706">
        <f>J18</f>
        <v>100</v>
      </c>
      <c r="X18" s="1355"/>
      <c r="Y18" s="371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9"/>
      <c r="Q19" s="1352"/>
      <c r="R19" s="705"/>
      <c r="S19" s="706"/>
      <c r="T19" s="705"/>
      <c r="U19" s="706"/>
      <c r="V19" s="705"/>
      <c r="W19" s="706"/>
      <c r="X19" s="1355"/>
      <c r="Y19" s="3719"/>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9"/>
      <c r="Q20" s="1352" t="str">
        <f>B20</f>
        <v>自然及人文环境</v>
      </c>
      <c r="R20" s="705" t="s">
        <v>14</v>
      </c>
      <c r="S20" s="706">
        <f>F20</f>
        <v>100</v>
      </c>
      <c r="T20" s="705" t="s">
        <v>14</v>
      </c>
      <c r="U20" s="706">
        <f>H20</f>
        <v>100</v>
      </c>
      <c r="V20" s="705" t="s">
        <v>14</v>
      </c>
      <c r="W20" s="706">
        <f>J20</f>
        <v>100</v>
      </c>
      <c r="X20" s="1355"/>
      <c r="Y20" s="371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9"/>
      <c r="Q21" s="1352"/>
      <c r="R21" s="705"/>
      <c r="S21" s="706"/>
      <c r="T21" s="705"/>
      <c r="U21" s="706"/>
      <c r="V21" s="705"/>
      <c r="W21" s="706"/>
      <c r="X21" s="1355"/>
      <c r="Y21" s="371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9"/>
      <c r="Q22" s="1352" t="str">
        <f>B22</f>
        <v>楼层</v>
      </c>
      <c r="R22" s="705" t="s">
        <v>14</v>
      </c>
      <c r="S22" s="706">
        <f>F22</f>
        <v>100</v>
      </c>
      <c r="T22" s="705" t="s">
        <v>14</v>
      </c>
      <c r="U22" s="706">
        <f>H22</f>
        <v>100</v>
      </c>
      <c r="V22" s="705" t="s">
        <v>14</v>
      </c>
      <c r="W22" s="706">
        <f>J22</f>
        <v>100</v>
      </c>
      <c r="X22" s="1355"/>
      <c r="Y22" s="371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9"/>
      <c r="Q23" s="1352">
        <f>B23</f>
        <v>111</v>
      </c>
      <c r="R23" s="705" t="s">
        <v>14</v>
      </c>
      <c r="S23" s="706">
        <f>F23</f>
        <v>100</v>
      </c>
      <c r="T23" s="705" t="s">
        <v>14</v>
      </c>
      <c r="U23" s="706">
        <f>H23</f>
        <v>100</v>
      </c>
      <c r="V23" s="705" t="s">
        <v>14</v>
      </c>
      <c r="W23" s="706">
        <f>J23</f>
        <v>100</v>
      </c>
      <c r="X23" s="1355"/>
      <c r="Y23" s="371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9"/>
      <c r="Q24" s="1352">
        <f t="shared" ref="Q24:Q36" si="11">B24</f>
        <v>111</v>
      </c>
      <c r="R24" s="705" t="s">
        <v>14</v>
      </c>
      <c r="S24" s="706">
        <f>F24</f>
        <v>100</v>
      </c>
      <c r="T24" s="705" t="s">
        <v>14</v>
      </c>
      <c r="U24" s="706">
        <f>H24</f>
        <v>100</v>
      </c>
      <c r="V24" s="705" t="s">
        <v>14</v>
      </c>
      <c r="W24" s="706">
        <f>J24</f>
        <v>100</v>
      </c>
      <c r="X24" s="1355"/>
      <c r="Y24" s="371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9"/>
      <c r="Q25" s="1343">
        <f t="shared" si="11"/>
        <v>111</v>
      </c>
      <c r="R25" s="701" t="s">
        <v>14</v>
      </c>
      <c r="S25" s="702">
        <f>F25</f>
        <v>100</v>
      </c>
      <c r="T25" s="701" t="s">
        <v>14</v>
      </c>
      <c r="U25" s="702">
        <f>H25</f>
        <v>100</v>
      </c>
      <c r="V25" s="701" t="s">
        <v>14</v>
      </c>
      <c r="W25" s="702">
        <f>J25</f>
        <v>100</v>
      </c>
      <c r="X25" s="703"/>
      <c r="Y25" s="3719"/>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3"/>
      <c r="Q27" s="707" t="str">
        <f t="shared" si="11"/>
        <v>项目停车位配比</v>
      </c>
      <c r="R27" s="708" t="s">
        <v>14</v>
      </c>
      <c r="S27" s="709">
        <f t="shared" si="12"/>
        <v>100</v>
      </c>
      <c r="T27" s="708" t="s">
        <v>14</v>
      </c>
      <c r="U27" s="709">
        <f t="shared" si="13"/>
        <v>100</v>
      </c>
      <c r="V27" s="708" t="s">
        <v>14</v>
      </c>
      <c r="W27" s="709">
        <f t="shared" si="14"/>
        <v>100</v>
      </c>
      <c r="X27" s="710"/>
      <c r="Y27" s="372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3"/>
      <c r="Q28" s="1352" t="str">
        <f t="shared" si="11"/>
        <v>公共部分装修</v>
      </c>
      <c r="R28" s="705" t="s">
        <v>14</v>
      </c>
      <c r="S28" s="706">
        <f t="shared" si="12"/>
        <v>100</v>
      </c>
      <c r="T28" s="705" t="s">
        <v>14</v>
      </c>
      <c r="U28" s="706">
        <f t="shared" si="13"/>
        <v>100</v>
      </c>
      <c r="V28" s="705" t="s">
        <v>14</v>
      </c>
      <c r="W28" s="706">
        <f t="shared" si="14"/>
        <v>100</v>
      </c>
      <c r="X28" s="1355"/>
      <c r="Y28" s="372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3"/>
      <c r="Q29" s="1352" t="str">
        <f t="shared" si="11"/>
        <v>成新率</v>
      </c>
      <c r="R29" s="705" t="s">
        <v>14</v>
      </c>
      <c r="S29" s="706" t="e">
        <f t="shared" si="12"/>
        <v>#N/A</v>
      </c>
      <c r="T29" s="705" t="s">
        <v>14</v>
      </c>
      <c r="U29" s="706" t="e">
        <f t="shared" si="13"/>
        <v>#N/A</v>
      </c>
      <c r="V29" s="705" t="s">
        <v>14</v>
      </c>
      <c r="W29" s="706" t="e">
        <f t="shared" si="14"/>
        <v>#N/A</v>
      </c>
      <c r="X29" s="1355"/>
      <c r="Y29" s="372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3"/>
      <c r="Q30" s="1352" t="str">
        <f t="shared" si="11"/>
        <v>物业等级</v>
      </c>
      <c r="R30" s="705" t="s">
        <v>14</v>
      </c>
      <c r="S30" s="706">
        <f t="shared" si="12"/>
        <v>100</v>
      </c>
      <c r="T30" s="705" t="s">
        <v>14</v>
      </c>
      <c r="U30" s="706">
        <f t="shared" si="13"/>
        <v>100</v>
      </c>
      <c r="V30" s="705" t="s">
        <v>14</v>
      </c>
      <c r="W30" s="706">
        <f t="shared" si="14"/>
        <v>100</v>
      </c>
      <c r="X30" s="1355"/>
      <c r="Y30" s="372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3"/>
      <c r="Q31" s="1343" t="str">
        <f t="shared" si="11"/>
        <v>停车位面积</v>
      </c>
      <c r="R31" s="701" t="s">
        <v>14</v>
      </c>
      <c r="S31" s="702" t="e">
        <f t="shared" si="12"/>
        <v>#N/A</v>
      </c>
      <c r="T31" s="701" t="s">
        <v>14</v>
      </c>
      <c r="U31" s="702" t="e">
        <f t="shared" si="13"/>
        <v>#N/A</v>
      </c>
      <c r="V31" s="701" t="s">
        <v>14</v>
      </c>
      <c r="W31" s="702" t="e">
        <f t="shared" si="14"/>
        <v>#N/A</v>
      </c>
      <c r="X31" s="703"/>
      <c r="Y31" s="372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3" t="s">
        <v>1696</v>
      </c>
      <c r="Q32" s="1352" t="str">
        <f t="shared" si="11"/>
        <v>车位类型</v>
      </c>
      <c r="R32" s="705" t="s">
        <v>14</v>
      </c>
      <c r="S32" s="706">
        <f t="shared" si="12"/>
        <v>100</v>
      </c>
      <c r="T32" s="705" t="s">
        <v>14</v>
      </c>
      <c r="U32" s="706">
        <f t="shared" si="13"/>
        <v>100</v>
      </c>
      <c r="V32" s="705" t="s">
        <v>14</v>
      </c>
      <c r="W32" s="706">
        <f t="shared" si="14"/>
        <v>100</v>
      </c>
      <c r="X32" s="1355"/>
      <c r="Y32" s="372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3"/>
      <c r="Q33" s="1352" t="str">
        <f t="shared" si="11"/>
        <v>是否直接入户</v>
      </c>
      <c r="R33" s="705" t="s">
        <v>14</v>
      </c>
      <c r="S33" s="706">
        <f t="shared" si="12"/>
        <v>100</v>
      </c>
      <c r="T33" s="705" t="s">
        <v>14</v>
      </c>
      <c r="U33" s="706">
        <f t="shared" si="13"/>
        <v>100</v>
      </c>
      <c r="V33" s="705" t="s">
        <v>14</v>
      </c>
      <c r="W33" s="706">
        <f t="shared" si="14"/>
        <v>100</v>
      </c>
      <c r="X33" s="1355"/>
      <c r="Y33" s="372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3"/>
      <c r="Q35" s="707">
        <f t="shared" si="11"/>
        <v>111</v>
      </c>
      <c r="R35" s="708" t="s">
        <v>14</v>
      </c>
      <c r="S35" s="709">
        <f t="shared" si="12"/>
        <v>100</v>
      </c>
      <c r="T35" s="708" t="s">
        <v>14</v>
      </c>
      <c r="U35" s="709">
        <f t="shared" si="13"/>
        <v>100</v>
      </c>
      <c r="V35" s="708" t="s">
        <v>14</v>
      </c>
      <c r="W35" s="709">
        <f t="shared" si="14"/>
        <v>100</v>
      </c>
      <c r="X35" s="710"/>
      <c r="Y35" s="372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3"/>
      <c r="Q36" s="1352">
        <f t="shared" si="11"/>
        <v>111</v>
      </c>
      <c r="R36" s="705" t="s">
        <v>14</v>
      </c>
      <c r="S36" s="706">
        <f t="shared" si="12"/>
        <v>100</v>
      </c>
      <c r="T36" s="705" t="s">
        <v>14</v>
      </c>
      <c r="U36" s="706">
        <f t="shared" si="13"/>
        <v>100</v>
      </c>
      <c r="V36" s="705" t="s">
        <v>14</v>
      </c>
      <c r="W36" s="706">
        <f t="shared" si="14"/>
        <v>100</v>
      </c>
      <c r="X36" s="1355"/>
      <c r="Y36" s="3723"/>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716" t="str">
        <f>A37</f>
        <v>成交单价</v>
      </c>
      <c r="Q37" s="3716"/>
      <c r="R37" s="3717">
        <f>E37</f>
        <v>0</v>
      </c>
      <c r="S37" s="3717"/>
      <c r="T37" s="3717">
        <f>G37</f>
        <v>0</v>
      </c>
      <c r="U37" s="3717"/>
      <c r="V37" s="3717">
        <f>I37</f>
        <v>0</v>
      </c>
      <c r="W37" s="3717"/>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13" t="str">
        <f>A39</f>
        <v>估价对象XX用房的比较价值（楼面单价，元/平方米）</v>
      </c>
      <c r="Q39" s="3714"/>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17.399999999999999">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估价对象为北京市房地产，为所有。根据《国有土地使用证》[]，估价对象（分摊）出让国有建设用地使用权面积为0平方米，建筑面积为41650.49平方米。</v>
      </c>
    </row>
    <row r="8" spans="1:1" ht="54.6">
      <c r="A8" s="1483" t="s">
        <v>901</v>
      </c>
    </row>
    <row r="9" spans="1:1" ht="17.399999999999999">
      <c r="A9" s="1482" t="s">
        <v>902</v>
      </c>
    </row>
    <row r="10" spans="1:1" ht="17.399999999999999">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估价对象为北京市房地产,属开发建设的，该项目尚在开发建设中。根据《国有土地使用证》[]，估价对象（分摊）出让国有建设用地使用权面积为0平方米，规划建筑面积为41650.49平方米。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2025年2月8日（评估专业人员实地查勘之日）</v>
      </c>
    </row>
    <row r="16" spans="1:1" ht="17.399999999999999">
      <c r="A16" s="1485" t="s">
        <v>906</v>
      </c>
    </row>
    <row r="17" spans="1:1" ht="69.599999999999994">
      <c r="A17" s="1480" t="s">
        <v>907</v>
      </c>
    </row>
    <row r="18" spans="1:1" ht="52.2">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2.2">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topLeftCell="A13" workbookViewId="0">
      <selection activeCell="G34" sqref="G34"/>
    </sheetView>
  </sheetViews>
  <sheetFormatPr defaultRowHeight="14.4"/>
  <sheetData>
    <row r="1" spans="1:16">
      <c r="A1" s="3808" t="s">
        <v>3418</v>
      </c>
    </row>
    <row r="6" spans="1:16">
      <c r="P6">
        <v>20645</v>
      </c>
    </row>
    <row r="7" spans="1:16">
      <c r="P7">
        <v>20000</v>
      </c>
    </row>
    <row r="8" spans="1:16">
      <c r="P8">
        <v>26099</v>
      </c>
    </row>
    <row r="9" spans="1:16">
      <c r="P9">
        <v>19854</v>
      </c>
    </row>
    <row r="33" spans="1:1">
      <c r="A33" s="3808" t="s">
        <v>3420</v>
      </c>
    </row>
    <row r="38" spans="1:1">
      <c r="A38" s="3808" t="s">
        <v>3419</v>
      </c>
    </row>
  </sheetData>
  <phoneticPr fontId="134" type="noConversion"/>
  <hyperlinks>
    <hyperlink ref="A1" r:id="rId1"/>
    <hyperlink ref="A38" r:id="rId2"/>
    <hyperlink ref="A33" r:id="rId3"/>
  </hyperlinks>
  <pageMargins left="0.7" right="0.7" top="0.75" bottom="0.75" header="0.3" footer="0.3"/>
  <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7" zoomScale="70" zoomScaleNormal="70" zoomScaleSheetLayoutView="70" workbookViewId="0">
      <selection activeCell="D41" sqref="D4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3334</v>
      </c>
      <c r="D1" s="1362" t="s">
        <v>43</v>
      </c>
      <c r="E1" s="1363" t="s">
        <v>678</v>
      </c>
      <c r="F1" s="1062">
        <f ca="1">J53</f>
        <v>50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13072.6538</v>
      </c>
      <c r="C2" s="1387" t="s">
        <v>879</v>
      </c>
      <c r="D2" s="1471">
        <f ca="1">C40+J29+L46</f>
        <v>130726538</v>
      </c>
      <c r="E2" s="1388" t="s">
        <v>880</v>
      </c>
      <c r="F2" s="1389"/>
      <c r="G2" s="2706"/>
      <c r="H2" s="2695"/>
      <c r="I2" s="2695"/>
      <c r="J2" s="2695"/>
      <c r="K2" s="2696"/>
      <c r="L2" s="2695"/>
      <c r="M2" s="2695"/>
    </row>
    <row r="3" spans="1:37" ht="18" customHeight="1" thickBot="1">
      <c r="A3" s="1390" t="s">
        <v>881</v>
      </c>
      <c r="B3" s="1391">
        <f ca="1">IF(ISERROR(D2/F43),0,ROUND(D2/F43,0))</f>
        <v>3701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8778719</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8767759</v>
      </c>
      <c r="D6" s="155" t="s">
        <v>2106</v>
      </c>
      <c r="E6" s="302" t="s">
        <v>696</v>
      </c>
      <c r="F6" s="303">
        <f ca="1">INDIRECT("'数据-取费表'!u"&amp;$G$1)</f>
        <v>0.8</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3466" t="s">
        <v>697</v>
      </c>
      <c r="F7" s="303">
        <f ca="1">IF(INDIRECT("'数据-取费表'!ah"&amp;$G$1)="",INDIRECT("'数据-取费表'!k"&amp;$G$1),INDIRECT("'数据-取费表'!ah"&amp;$G$1))</f>
        <v>35325.379999999997</v>
      </c>
      <c r="G7" s="1384"/>
      <c r="H7" s="304"/>
      <c r="I7" s="3658"/>
      <c r="J7" s="306"/>
      <c r="K7" s="307"/>
      <c r="L7" s="302" t="s">
        <v>697</v>
      </c>
      <c r="M7" s="303">
        <f ca="1">F7</f>
        <v>35325.379999999997</v>
      </c>
    </row>
    <row r="8" spans="1:37" ht="18" customHeight="1">
      <c r="A8" s="304"/>
      <c r="B8" s="3658"/>
      <c r="C8" s="306"/>
      <c r="D8" s="307"/>
      <c r="E8" s="302" t="s">
        <v>698</v>
      </c>
      <c r="F8" s="303">
        <f ca="1">INDIRECT("'数据-取费表'!ai"&amp;$G$1)</f>
        <v>365</v>
      </c>
      <c r="G8" s="1384"/>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0.15</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10960</v>
      </c>
      <c r="D10" s="1366" t="s">
        <v>2116</v>
      </c>
      <c r="E10" s="313" t="s">
        <v>701</v>
      </c>
      <c r="F10" s="1116" t="s">
        <v>3439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114654834</v>
      </c>
      <c r="D13" s="3458" t="s">
        <v>705</v>
      </c>
      <c r="E13" s="3458" t="s">
        <v>706</v>
      </c>
      <c r="F13" s="1082">
        <f ca="1">INDIRECT("'数据-取费表'!y"&amp;$G$1)</f>
        <v>0.9</v>
      </c>
      <c r="G13" s="1384"/>
      <c r="H13" s="1079">
        <v>2</v>
      </c>
      <c r="I13" s="1080" t="s">
        <v>704</v>
      </c>
      <c r="J13" s="1068">
        <f ca="1">ROUND(J14*J15,0)</f>
        <v>114654834</v>
      </c>
      <c r="K13" s="1087" t="s">
        <v>705</v>
      </c>
      <c r="L13" s="1392"/>
      <c r="M13" s="1393"/>
    </row>
    <row r="14" spans="1:37" ht="18" customHeight="1">
      <c r="A14" s="982" t="s">
        <v>397</v>
      </c>
      <c r="B14" s="302" t="s">
        <v>707</v>
      </c>
      <c r="C14" s="318">
        <f ca="1">ROUND(INDIRECT("'数据-取费表'!l"&amp;$G$1)*F43+'数据-取费表'!L14*INDIRECT("'数据-取费表'!S"&amp;$G$1),0)</f>
        <v>98911064</v>
      </c>
      <c r="D14" s="3462" t="s">
        <v>708</v>
      </c>
      <c r="E14" s="3460"/>
      <c r="F14" s="319"/>
      <c r="G14" s="1384"/>
      <c r="H14" s="982" t="s">
        <v>398</v>
      </c>
      <c r="I14" s="302" t="s">
        <v>709</v>
      </c>
      <c r="J14" s="21">
        <f ca="1">C29</f>
        <v>127394260</v>
      </c>
      <c r="K14" s="3465"/>
      <c r="L14" s="807"/>
      <c r="M14" s="808"/>
    </row>
    <row r="15" spans="1:37" s="1397" customFormat="1" ht="18" customHeight="1" thickBot="1">
      <c r="A15" s="982" t="s">
        <v>399</v>
      </c>
      <c r="B15" s="302" t="s">
        <v>710</v>
      </c>
      <c r="C15" s="21">
        <f ca="1">ROUND(C14*F15,0)</f>
        <v>2967332</v>
      </c>
      <c r="D15" s="3459" t="s">
        <v>711</v>
      </c>
      <c r="E15" s="3459" t="s">
        <v>712</v>
      </c>
      <c r="F15" s="321">
        <f>'数据-取费表'!B33</f>
        <v>0.03</v>
      </c>
      <c r="G15" s="1396"/>
      <c r="H15" s="1089" t="s">
        <v>402</v>
      </c>
      <c r="I15" s="1090" t="s">
        <v>706</v>
      </c>
      <c r="J15" s="1099">
        <f ca="1">INDIRECT("'数据-取费表'!ad"&amp;$G$1)</f>
        <v>0.9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751626</v>
      </c>
      <c r="K16" s="1087" t="s">
        <v>715</v>
      </c>
      <c r="L16" s="3463"/>
      <c r="M16" s="1072"/>
    </row>
    <row r="17" spans="1:37" s="1397" customFormat="1" ht="18" customHeight="1">
      <c r="A17" s="982" t="s">
        <v>681</v>
      </c>
      <c r="B17" s="302" t="s">
        <v>716</v>
      </c>
      <c r="C17" s="21">
        <f ca="1">ROUND(F17*(F43+INDIRECT("'数据-取费表'!S"&amp;$G$1)),0)</f>
        <v>7065076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3462" t="s">
        <v>720</v>
      </c>
      <c r="L17" s="3461"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1978221</v>
      </c>
      <c r="D18" s="302" t="s">
        <v>711</v>
      </c>
      <c r="E18" s="302" t="s">
        <v>712</v>
      </c>
      <c r="F18" s="322">
        <f>'数据-取费表'!B36</f>
        <v>0.02</v>
      </c>
      <c r="G18" s="1396"/>
      <c r="H18" s="982" t="s">
        <v>397</v>
      </c>
      <c r="I18" s="302" t="s">
        <v>723</v>
      </c>
      <c r="J18" s="21">
        <f ca="1">ROUND(J6*M18/(1+'数据-取费表'!C42),0)</f>
        <v>0</v>
      </c>
      <c r="K18" s="3461"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110921693</v>
      </c>
      <c r="D19" s="131" t="s">
        <v>726</v>
      </c>
      <c r="E19" s="3468"/>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1109217</v>
      </c>
      <c r="D20" s="2428" t="s">
        <v>729</v>
      </c>
      <c r="E20" s="302" t="s">
        <v>712</v>
      </c>
      <c r="F20" s="322">
        <f>'数据-取费表'!B37</f>
        <v>0.01</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468"/>
      <c r="F22" s="23"/>
      <c r="G22" s="1384"/>
      <c r="H22" s="982" t="s">
        <v>402</v>
      </c>
      <c r="I22" s="302" t="s">
        <v>738</v>
      </c>
      <c r="J22" s="21">
        <f ca="1">ROUND(J14*M22,0)</f>
        <v>636971</v>
      </c>
      <c r="K22" s="3461"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1723226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114655</v>
      </c>
      <c r="K23" s="3461"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68"/>
      <c r="F25" s="23"/>
      <c r="G25" s="1384"/>
      <c r="H25" s="1079" t="s">
        <v>394</v>
      </c>
      <c r="I25" s="1094" t="s">
        <v>752</v>
      </c>
      <c r="J25" s="310">
        <f ca="1">J5-J16</f>
        <v>-751626</v>
      </c>
      <c r="K25" s="1095" t="s">
        <v>753</v>
      </c>
      <c r="L25" s="1096"/>
      <c r="M25" s="1097"/>
    </row>
    <row r="26" spans="1:37" ht="18" customHeight="1">
      <c r="A26" s="982" t="s">
        <v>397</v>
      </c>
      <c r="B26" s="302" t="s">
        <v>754</v>
      </c>
      <c r="C26" s="21">
        <f ca="1">ROUND((C19+C20)*F26,0)</f>
        <v>5601546</v>
      </c>
      <c r="D26" s="2428"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5.0000000000000001E-4</v>
      </c>
      <c r="D27" s="2428" t="s">
        <v>761</v>
      </c>
      <c r="E27" s="345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127394260</v>
      </c>
      <c r="D29" s="1092"/>
      <c r="E29" s="1090"/>
      <c r="F29" s="1093"/>
      <c r="G29" s="1396"/>
      <c r="H29" s="334" t="s">
        <v>396</v>
      </c>
      <c r="I29" s="335" t="s">
        <v>768</v>
      </c>
      <c r="J29" s="336">
        <f ca="1">ROUND(J26/(1+F40)^F41,0)</f>
        <v>0</v>
      </c>
      <c r="K29" s="337" t="s">
        <v>769</v>
      </c>
      <c r="L29" s="338"/>
      <c r="M29" s="339">
        <f ca="1">INDIRECT("'数据-取费表'!k"&amp;$G$1)</f>
        <v>35325.379999999997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2256814</v>
      </c>
      <c r="D30" s="1087" t="s">
        <v>715</v>
      </c>
      <c r="E30" s="3463"/>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1461294</v>
      </c>
      <c r="D31" s="3462" t="s">
        <v>720</v>
      </c>
      <c r="E31" s="3461"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459264</v>
      </c>
      <c r="D32" s="3461"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1002030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636971</v>
      </c>
      <c r="D36" s="3461"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114655</v>
      </c>
      <c r="D37" s="3461"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43894</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6521905</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128540139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50</v>
      </c>
      <c r="G41" s="1384"/>
      <c r="H41" s="1191"/>
      <c r="I41" s="1398"/>
      <c r="J41" s="1399"/>
      <c r="K41" s="2544"/>
      <c r="L41" s="1191"/>
      <c r="M41" s="1191"/>
    </row>
    <row r="42" spans="1:18" ht="18" customHeight="1">
      <c r="A42" s="308"/>
      <c r="B42" s="309"/>
      <c r="C42" s="310"/>
      <c r="D42" s="327"/>
      <c r="E42" s="302" t="s">
        <v>766</v>
      </c>
      <c r="F42" s="312">
        <f ca="1">INDIRECT("'数据-取费表'!v"&amp;$G$1)</f>
        <v>0.01</v>
      </c>
      <c r="G42" s="1384"/>
      <c r="H42" s="1191"/>
      <c r="I42" s="1398"/>
      <c r="J42" s="1399"/>
      <c r="K42" s="2544"/>
      <c r="L42" s="1191"/>
      <c r="M42" s="1191"/>
    </row>
    <row r="43" spans="1:18" ht="18" customHeight="1" thickBot="1">
      <c r="A43" s="334" t="s">
        <v>396</v>
      </c>
      <c r="B43" s="335" t="s">
        <v>776</v>
      </c>
      <c r="C43" s="336">
        <f ca="1">ROUND(C40/F43,0)</f>
        <v>3639</v>
      </c>
      <c r="D43" s="337" t="s">
        <v>777</v>
      </c>
      <c r="E43" s="338" t="s">
        <v>778</v>
      </c>
      <c r="F43" s="339">
        <f ca="1">INDIRECT("'数据-取费表'!k"&amp;$G$1)</f>
        <v>35325.379999999997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-14126.630800000001</v>
      </c>
      <c r="D45" s="3432" t="s">
        <v>3353</v>
      </c>
      <c r="E45" s="1400"/>
      <c r="F45" s="1400"/>
      <c r="O45" s="1403" t="s">
        <v>808</v>
      </c>
      <c r="P45" s="1461"/>
      <c r="Q45" s="1461"/>
      <c r="R45" s="1461"/>
    </row>
    <row r="46" spans="1:18" s="1384" customFormat="1" ht="13.8" thickBot="1">
      <c r="A46" s="1404" t="s">
        <v>809</v>
      </c>
      <c r="C46" s="1405">
        <f ca="1">ROUND(C45,0)</f>
        <v>-14127</v>
      </c>
      <c r="D46" s="1406" t="str">
        <f>C2</f>
        <v>万元</v>
      </c>
      <c r="I46" s="1407" t="s">
        <v>810</v>
      </c>
      <c r="J46" s="1408"/>
      <c r="K46" s="1409"/>
      <c r="L46" s="1410">
        <f ca="1">IF(M47="住宅",0,IF(L48&gt;J51,L60,J60))</f>
        <v>2186399</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3427</v>
      </c>
      <c r="K47" s="1416" t="s">
        <v>816</v>
      </c>
      <c r="L47" s="1417">
        <f ca="1">INDIRECT("'数据-取费表'!d"&amp;$G$1)</f>
        <v>50</v>
      </c>
      <c r="M47" s="1380" t="str">
        <f>IF(ISNUMBER(FIND("住宅",C1)),"住宅","非住宅")</f>
        <v>非住宅</v>
      </c>
      <c r="O47" s="1418" t="s">
        <v>403</v>
      </c>
      <c r="P47" s="1419" t="s">
        <v>817</v>
      </c>
      <c r="Q47" s="1420">
        <f ca="1">C40+J29</f>
        <v>128540139</v>
      </c>
      <c r="R47" s="1420" t="s">
        <v>818</v>
      </c>
    </row>
    <row r="48" spans="1:18" s="1384" customFormat="1" ht="40.200000000000003" thickBot="1">
      <c r="A48" s="1110" t="s">
        <v>438</v>
      </c>
      <c r="B48" s="300" t="s">
        <v>692</v>
      </c>
      <c r="C48" s="3467">
        <f ca="1">C49+C53+C55</f>
        <v>0</v>
      </c>
      <c r="D48" s="1112"/>
      <c r="E48" s="1113"/>
      <c r="F48" s="962"/>
      <c r="G48" s="722"/>
      <c r="H48" s="723"/>
      <c r="I48" s="1421" t="s">
        <v>819</v>
      </c>
      <c r="J48" s="1422" t="s">
        <v>3440</v>
      </c>
      <c r="K48" s="1423" t="s">
        <v>820</v>
      </c>
      <c r="L48" s="1424">
        <f ca="1">INDIRECT("'数据-取费表'!f"&amp;$G$1)</f>
        <v>50</v>
      </c>
      <c r="O48" s="1418" t="s">
        <v>404</v>
      </c>
      <c r="P48" s="1419" t="s">
        <v>821</v>
      </c>
      <c r="Q48" s="1420">
        <f ca="1">J60</f>
        <v>2186399</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2023</v>
      </c>
      <c r="K49" s="1423" t="s">
        <v>824</v>
      </c>
      <c r="L49" s="1427"/>
      <c r="O49" s="1428" t="s">
        <v>405</v>
      </c>
      <c r="P49" s="1419" t="s">
        <v>825</v>
      </c>
      <c r="Q49" s="1420">
        <f ca="1">C29</f>
        <v>127394260</v>
      </c>
      <c r="R49" s="1420" t="s">
        <v>818</v>
      </c>
    </row>
    <row r="50" spans="1:18" s="1384" customFormat="1" ht="13.8" thickBot="1">
      <c r="A50" s="976"/>
      <c r="B50" s="979"/>
      <c r="C50" s="980"/>
      <c r="D50" s="953"/>
      <c r="E50" s="1056" t="s">
        <v>697</v>
      </c>
      <c r="F50" s="1057">
        <f ca="1">F7</f>
        <v>35325.379999999997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58</v>
      </c>
      <c r="K51" s="1434" t="s">
        <v>830</v>
      </c>
      <c r="L51" s="1435">
        <f ca="1">ROUND(-PV(INDIRECT("'数据-取费表'!h"&amp;$G$1),J51,(C39-C13*C76),0),0)</f>
        <v>-6725823</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c r="O52" s="1428" t="s">
        <v>408</v>
      </c>
      <c r="P52" s="1419" t="s">
        <v>834</v>
      </c>
      <c r="Q52" s="1420">
        <f ca="1">J53</f>
        <v>50</v>
      </c>
      <c r="R52" s="1420" t="s">
        <v>835</v>
      </c>
    </row>
    <row r="53" spans="1:18" s="1384" customFormat="1" ht="30.75" customHeight="1" thickBot="1">
      <c r="A53" s="1111" t="s">
        <v>440</v>
      </c>
      <c r="B53" s="2428"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50</v>
      </c>
      <c r="K53" s="3655" t="s">
        <v>837</v>
      </c>
      <c r="L53" s="3656"/>
      <c r="O53" s="1418" t="s">
        <v>409</v>
      </c>
      <c r="P53" s="1419" t="s">
        <v>838</v>
      </c>
      <c r="Q53" s="1420">
        <f ca="1">Q47+Q48</f>
        <v>130726538</v>
      </c>
      <c r="R53" s="1420" t="s">
        <v>410</v>
      </c>
    </row>
    <row r="54" spans="1:18" s="1384" customFormat="1" ht="13.8" thickBot="1">
      <c r="A54" s="975"/>
      <c r="B54" s="1473" t="s">
        <v>891</v>
      </c>
      <c r="C54" s="959"/>
      <c r="D54" s="1366"/>
      <c r="E54" s="346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3464"/>
      <c r="F55" s="1440"/>
      <c r="I55" s="1443" t="s">
        <v>840</v>
      </c>
      <c r="J55" s="1444">
        <f ca="1">ROUND(IF(J47="钢混",J57/J50,1-(1-2%)*(J50-J57)/J50),3)</f>
        <v>0.13300000000000001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114654834</v>
      </c>
      <c r="D56" s="1447"/>
      <c r="E56" s="1448"/>
      <c r="F56" s="1440"/>
      <c r="I56" s="1449" t="s">
        <v>842</v>
      </c>
      <c r="J56" s="1450" t="s">
        <v>3441</v>
      </c>
      <c r="K56" s="1421" t="s">
        <v>843</v>
      </c>
      <c r="L56" s="1424" t="str">
        <f ca="1">IF(L48&lt;J51,"——",L48-J51)</f>
        <v>——</v>
      </c>
      <c r="O56" s="1418" t="s">
        <v>403</v>
      </c>
      <c r="P56" s="1419" t="s">
        <v>817</v>
      </c>
      <c r="Q56" s="1420">
        <f ca="1">C40+J29</f>
        <v>128540139</v>
      </c>
      <c r="R56" s="1420" t="s">
        <v>818</v>
      </c>
    </row>
    <row r="57" spans="1:18" s="1384" customFormat="1" ht="24.6" thickBot="1">
      <c r="A57" s="1451"/>
      <c r="B57" s="950" t="s">
        <v>767</v>
      </c>
      <c r="C57" s="238">
        <f ca="1">C29</f>
        <v>127394260</v>
      </c>
      <c r="D57" s="1452"/>
      <c r="E57" s="1453"/>
      <c r="F57" s="1454"/>
      <c r="I57" s="1455" t="s">
        <v>844</v>
      </c>
      <c r="J57" s="1456">
        <f ca="1">IF(OR(M47="住宅",J51&lt;L48,J56="是"),"——",J51-L48)</f>
        <v>8</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751626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50957704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2186399</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128540139</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636971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114655</v>
      </c>
      <c r="D65" s="964" t="s">
        <v>743</v>
      </c>
      <c r="E65" s="950" t="s">
        <v>744</v>
      </c>
      <c r="F65" s="330">
        <f t="shared" ca="1" si="0"/>
        <v>1E-3</v>
      </c>
      <c r="I65" s="1462" t="s">
        <v>867</v>
      </c>
      <c r="J65" s="1463">
        <v>40</v>
      </c>
      <c r="K65" s="1463">
        <v>30</v>
      </c>
      <c r="L65" s="1463">
        <v>50</v>
      </c>
      <c r="M65" s="1465">
        <v>0.02</v>
      </c>
      <c r="O65" s="1418" t="s">
        <v>403</v>
      </c>
      <c r="P65" s="1419" t="s">
        <v>868</v>
      </c>
      <c r="Q65" s="1420">
        <f ca="1">C40+J29</f>
        <v>128540139</v>
      </c>
      <c r="R65" s="1420" t="s">
        <v>818</v>
      </c>
    </row>
    <row r="66" spans="1:18" s="1384" customFormat="1" ht="16.2"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-751626</v>
      </c>
      <c r="D67" s="963" t="s">
        <v>753</v>
      </c>
      <c r="E67" s="968"/>
      <c r="F67" s="969"/>
      <c r="O67" s="1428" t="s">
        <v>405</v>
      </c>
      <c r="P67" s="1419" t="s">
        <v>850</v>
      </c>
      <c r="Q67" s="1466">
        <f ca="1">L51</f>
        <v>-6725823</v>
      </c>
      <c r="R67" s="1420" t="s">
        <v>870</v>
      </c>
    </row>
    <row r="68" spans="1:18" s="1384" customFormat="1" ht="16.2" thickBot="1">
      <c r="A68" s="947" t="s">
        <v>395</v>
      </c>
      <c r="B68" s="948" t="s">
        <v>774</v>
      </c>
      <c r="C68" s="301">
        <f ca="1">ROUND(C67*(1-((1+F70)/(1+F68))^F69)/(F68-F70),0)</f>
        <v>-12726169</v>
      </c>
      <c r="D68" s="965" t="s">
        <v>758</v>
      </c>
      <c r="E68" s="950" t="s">
        <v>759</v>
      </c>
      <c r="F68" s="312">
        <f ca="1">F40</f>
        <v>5.5E-2</v>
      </c>
      <c r="O68" s="1428" t="s">
        <v>406</v>
      </c>
      <c r="P68" s="1467" t="s">
        <v>871</v>
      </c>
      <c r="Q68" s="1420">
        <f ca="1">ROUND(Q69-Q70*Q71,0)</f>
        <v>-357385</v>
      </c>
      <c r="R68" s="1420" t="s">
        <v>414</v>
      </c>
    </row>
    <row r="69" spans="1:18" s="1384" customFormat="1" ht="13.8" thickBot="1">
      <c r="A69" s="951"/>
      <c r="B69" s="952"/>
      <c r="C69" s="306"/>
      <c r="D69" s="970" t="s">
        <v>762</v>
      </c>
      <c r="E69" s="950" t="s">
        <v>763</v>
      </c>
      <c r="F69" s="333">
        <f ca="1">F41</f>
        <v>50</v>
      </c>
      <c r="O69" s="1428" t="s">
        <v>411</v>
      </c>
      <c r="P69" s="1467" t="s">
        <v>872</v>
      </c>
      <c r="Q69" s="1420">
        <f ca="1">C39</f>
        <v>6521905</v>
      </c>
      <c r="R69" s="1420" t="s">
        <v>818</v>
      </c>
    </row>
    <row r="70" spans="1:18" s="1384" customFormat="1" ht="13.8" thickBot="1">
      <c r="A70" s="954"/>
      <c r="B70" s="955"/>
      <c r="C70" s="310"/>
      <c r="D70" s="966"/>
      <c r="E70" s="950" t="s">
        <v>766</v>
      </c>
      <c r="F70" s="1054"/>
      <c r="O70" s="1428" t="s">
        <v>412</v>
      </c>
      <c r="P70" s="1467" t="s">
        <v>873</v>
      </c>
      <c r="Q70" s="1420">
        <f ca="1">C13</f>
        <v>114654834</v>
      </c>
      <c r="R70" s="1420" t="s">
        <v>818</v>
      </c>
    </row>
    <row r="71" spans="1:18" s="1384" customFormat="1" ht="13.8" thickBot="1">
      <c r="A71" s="971" t="s">
        <v>396</v>
      </c>
      <c r="B71" s="972" t="s">
        <v>776</v>
      </c>
      <c r="C71" s="336">
        <f ca="1">ROUND(C68/F71,0)</f>
        <v>-360</v>
      </c>
      <c r="D71" s="973" t="s">
        <v>777</v>
      </c>
      <c r="E71" s="974" t="s">
        <v>778</v>
      </c>
      <c r="F71" s="339">
        <f ca="1">F43</f>
        <v>35325.379999999997</v>
      </c>
      <c r="O71" s="1428" t="s">
        <v>413</v>
      </c>
      <c r="P71" s="1467" t="s">
        <v>874</v>
      </c>
      <c r="Q71" s="1431">
        <f ca="1">C76</f>
        <v>0.06</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6879290</v>
      </c>
      <c r="D75" s="1384"/>
      <c r="E75" s="1384"/>
      <c r="F75" s="1384"/>
      <c r="K75" s="1402"/>
      <c r="L75" s="1384"/>
      <c r="O75" s="1418" t="s">
        <v>409</v>
      </c>
      <c r="P75" s="1419" t="s">
        <v>838</v>
      </c>
      <c r="Q75" s="1420">
        <f ca="1">Q65+Q66</f>
        <v>128540139</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-5.4999999999999938E-2</v>
      </c>
    </row>
    <row r="80" spans="1:18">
      <c r="B80" s="340" t="s">
        <v>800</v>
      </c>
      <c r="C80" s="274">
        <f ca="1">ROUND(C75/C39,3)</f>
        <v>1.0549999999999999</v>
      </c>
    </row>
    <row r="81" spans="2:3">
      <c r="B81" s="270" t="s">
        <v>801</v>
      </c>
      <c r="C81" s="238"/>
    </row>
    <row r="82" spans="2:3">
      <c r="B82" s="273" t="s">
        <v>802</v>
      </c>
      <c r="C82" s="275">
        <f ca="1">1-C83</f>
        <v>0.10799999999999998</v>
      </c>
    </row>
    <row r="83" spans="2:3">
      <c r="B83" s="273" t="s">
        <v>803</v>
      </c>
      <c r="C83" s="274">
        <f ca="1">ROUND(C13/C40,3)</f>
        <v>0.89200000000000002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46" workbookViewId="0">
      <selection activeCell="A82" sqref="A82"/>
    </sheetView>
  </sheetViews>
  <sheetFormatPr defaultRowHeight="14.4"/>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6" zoomScale="80" zoomScaleNormal="70" zoomScaleSheetLayoutView="80" workbookViewId="0">
      <selection activeCell="D61" sqref="D6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 thickBot="1">
      <c r="A7" s="362" t="s">
        <v>1679</v>
      </c>
      <c r="B7" s="363"/>
      <c r="C7" s="364">
        <f>'数据-取费表'!B2</f>
        <v>45696</v>
      </c>
      <c r="D7" s="365">
        <v>100</v>
      </c>
      <c r="E7" s="366">
        <f>C7</f>
        <v>45696</v>
      </c>
      <c r="F7" s="367">
        <f>SUMIF(46:46,YEAR(E7)&amp;"-"&amp;MONTH(E7),47:47)</f>
        <v>100</v>
      </c>
      <c r="G7" s="1974">
        <f>E7</f>
        <v>45696</v>
      </c>
      <c r="H7" s="365">
        <f>SUMIF(46:46,YEAR(G7)&amp;"-"&amp;MONTH(G7),47:47)</f>
        <v>100</v>
      </c>
      <c r="I7" s="366">
        <f>C7</f>
        <v>45696</v>
      </c>
      <c r="J7" s="365">
        <f>SUMIF(46:46,YEAR(I7)&amp;"-"&amp;MONTH(I7),47:47)</f>
        <v>100</v>
      </c>
      <c r="K7" s="560"/>
      <c r="L7" s="2717"/>
      <c r="M7" s="2718"/>
      <c r="N7" s="2718"/>
      <c r="O7" s="2718"/>
      <c r="P7" s="3684" t="s">
        <v>1680</v>
      </c>
      <c r="Q7" s="3712"/>
      <c r="R7" s="701" t="s">
        <v>14</v>
      </c>
      <c r="S7" s="702">
        <f t="shared" ref="S7:S14" si="0">F7</f>
        <v>100</v>
      </c>
      <c r="T7" s="701" t="s">
        <v>14</v>
      </c>
      <c r="U7" s="702">
        <f t="shared" ref="U7:U14" si="1">H7</f>
        <v>100</v>
      </c>
      <c r="V7" s="701" t="s">
        <v>14</v>
      </c>
      <c r="W7" s="702">
        <f t="shared" ref="W7:W14" si="2">J7</f>
        <v>100</v>
      </c>
      <c r="X7" s="703"/>
      <c r="Y7" s="3684" t="s">
        <v>1680</v>
      </c>
      <c r="Z7" s="3685"/>
      <c r="AA7" s="704">
        <f>D7/F7</f>
        <v>1</v>
      </c>
      <c r="AB7" s="704">
        <f>D7/H7</f>
        <v>1</v>
      </c>
      <c r="AC7" s="704">
        <f>D7/J7</f>
        <v>1</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6"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6"/>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8" t="s">
        <v>1691</v>
      </c>
      <c r="Q14" s="1352" t="str">
        <f t="shared" si="6"/>
        <v>交通便捷度</v>
      </c>
      <c r="R14" s="705" t="s">
        <v>14</v>
      </c>
      <c r="S14" s="706">
        <f t="shared" si="0"/>
        <v>100</v>
      </c>
      <c r="T14" s="705" t="s">
        <v>14</v>
      </c>
      <c r="U14" s="706">
        <f t="shared" si="1"/>
        <v>100</v>
      </c>
      <c r="V14" s="705" t="s">
        <v>14</v>
      </c>
      <c r="W14" s="706">
        <f t="shared" si="2"/>
        <v>100</v>
      </c>
      <c r="X14" s="1355"/>
      <c r="Y14" s="3718" t="s">
        <v>1691</v>
      </c>
      <c r="Z14" s="1356" t="str">
        <f t="shared" si="7"/>
        <v>交通便捷度</v>
      </c>
      <c r="AA14" s="1353">
        <f t="shared" si="3"/>
        <v>1</v>
      </c>
      <c r="AB14" s="1353">
        <f t="shared" si="4"/>
        <v>1</v>
      </c>
      <c r="AC14" s="1353">
        <f t="shared" si="5"/>
        <v>1</v>
      </c>
    </row>
    <row r="15" spans="1:29" ht="15">
      <c r="A15" s="379"/>
      <c r="B15" s="397"/>
      <c r="C15" s="398" t="s">
        <v>3430</v>
      </c>
      <c r="D15" s="399"/>
      <c r="E15" s="398" t="s">
        <v>3430</v>
      </c>
      <c r="F15" s="400"/>
      <c r="G15" s="398" t="s">
        <v>3430</v>
      </c>
      <c r="H15" s="401"/>
      <c r="I15" s="398" t="s">
        <v>3430</v>
      </c>
      <c r="J15" s="399"/>
      <c r="K15" s="564"/>
      <c r="L15" s="2722"/>
      <c r="M15" s="2716"/>
      <c r="N15" s="2716"/>
      <c r="O15" s="2774"/>
      <c r="P15" s="3719"/>
      <c r="Q15" s="1352"/>
      <c r="R15" s="705"/>
      <c r="S15" s="706"/>
      <c r="T15" s="705"/>
      <c r="U15" s="706"/>
      <c r="V15" s="705"/>
      <c r="W15" s="706"/>
      <c r="X15" s="1355"/>
      <c r="Y15" s="3719"/>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9"/>
      <c r="Q16" s="1352" t="str">
        <f>B16</f>
        <v>公共配套设施</v>
      </c>
      <c r="R16" s="705" t="s">
        <v>14</v>
      </c>
      <c r="S16" s="706">
        <f>F16</f>
        <v>100</v>
      </c>
      <c r="T16" s="705" t="s">
        <v>14</v>
      </c>
      <c r="U16" s="706">
        <f>H16</f>
        <v>100</v>
      </c>
      <c r="V16" s="705" t="s">
        <v>14</v>
      </c>
      <c r="W16" s="706">
        <f>J16</f>
        <v>100</v>
      </c>
      <c r="X16" s="1355"/>
      <c r="Y16" s="3719"/>
      <c r="Z16" s="1356" t="str">
        <f>Q16</f>
        <v>公共配套设施</v>
      </c>
      <c r="AA16" s="1353">
        <f t="shared" si="3"/>
        <v>1</v>
      </c>
      <c r="AB16" s="1353">
        <f t="shared" si="4"/>
        <v>1</v>
      </c>
      <c r="AC16" s="1353">
        <f t="shared" si="5"/>
        <v>1</v>
      </c>
    </row>
    <row r="17" spans="1:29" ht="15">
      <c r="A17" s="379"/>
      <c r="B17" s="407"/>
      <c r="C17" s="1901" t="s">
        <v>3430</v>
      </c>
      <c r="D17" s="399"/>
      <c r="E17" s="1901" t="s">
        <v>3430</v>
      </c>
      <c r="F17" s="400"/>
      <c r="G17" s="1901" t="s">
        <v>3430</v>
      </c>
      <c r="H17" s="399"/>
      <c r="I17" s="1901" t="s">
        <v>3430</v>
      </c>
      <c r="J17" s="399"/>
      <c r="K17" s="564"/>
      <c r="L17" s="2722"/>
      <c r="M17" s="2716"/>
      <c r="N17" s="2716"/>
      <c r="O17" s="2774"/>
      <c r="P17" s="3719"/>
      <c r="Q17" s="1352"/>
      <c r="R17" s="705"/>
      <c r="S17" s="706"/>
      <c r="T17" s="705"/>
      <c r="U17" s="706"/>
      <c r="V17" s="705"/>
      <c r="W17" s="706"/>
      <c r="X17" s="1355"/>
      <c r="Y17" s="3719"/>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9"/>
      <c r="Q18" s="1352" t="str">
        <f>B18</f>
        <v>基础设施水平</v>
      </c>
      <c r="R18" s="705" t="s">
        <v>14</v>
      </c>
      <c r="S18" s="706">
        <f>F18</f>
        <v>100</v>
      </c>
      <c r="T18" s="705" t="s">
        <v>14</v>
      </c>
      <c r="U18" s="706">
        <f>H18</f>
        <v>100</v>
      </c>
      <c r="V18" s="705" t="s">
        <v>14</v>
      </c>
      <c r="W18" s="706">
        <f>J18</f>
        <v>100</v>
      </c>
      <c r="X18" s="1355"/>
      <c r="Y18" s="371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9"/>
      <c r="Q19" s="1352"/>
      <c r="R19" s="705"/>
      <c r="S19" s="706"/>
      <c r="T19" s="705"/>
      <c r="U19" s="706"/>
      <c r="V19" s="705"/>
      <c r="W19" s="706"/>
      <c r="X19" s="1355"/>
      <c r="Y19" s="3719"/>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9"/>
      <c r="Q20" s="1352" t="str">
        <f>B20</f>
        <v>自然及人文环境</v>
      </c>
      <c r="R20" s="705" t="s">
        <v>14</v>
      </c>
      <c r="S20" s="706">
        <f>F20</f>
        <v>100</v>
      </c>
      <c r="T20" s="705" t="s">
        <v>14</v>
      </c>
      <c r="U20" s="706">
        <f>H20</f>
        <v>100</v>
      </c>
      <c r="V20" s="705" t="s">
        <v>14</v>
      </c>
      <c r="W20" s="706">
        <f>J20</f>
        <v>100</v>
      </c>
      <c r="X20" s="1355"/>
      <c r="Y20" s="371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9"/>
      <c r="Q21" s="1352"/>
      <c r="R21" s="705"/>
      <c r="S21" s="706"/>
      <c r="T21" s="705"/>
      <c r="U21" s="706"/>
      <c r="V21" s="705"/>
      <c r="W21" s="706"/>
      <c r="X21" s="1355"/>
      <c r="Y21" s="3719"/>
      <c r="Z21" s="1356"/>
      <c r="AA21" s="1353">
        <v>1</v>
      </c>
      <c r="AB21" s="1353">
        <v>1</v>
      </c>
      <c r="AC21" s="1353">
        <v>1</v>
      </c>
    </row>
    <row r="22" spans="1:29" ht="15">
      <c r="A22" s="379"/>
      <c r="B22" s="402" t="s">
        <v>1835</v>
      </c>
      <c r="C22" s="565" t="s">
        <v>3413</v>
      </c>
      <c r="D22" s="401">
        <v>100</v>
      </c>
      <c r="E22" s="565" t="s">
        <v>3412</v>
      </c>
      <c r="F22" s="412">
        <f>SUMIF(69:69,E22,70:70)-SUMIF(69:69,C22,70:70)+100</f>
        <v>98</v>
      </c>
      <c r="G22" s="565" t="s">
        <v>3413</v>
      </c>
      <c r="H22" s="386">
        <f>SUMIF(69:69,G22,70:70)-SUMIF(69:69,C22,70:70)+100</f>
        <v>100</v>
      </c>
      <c r="I22" s="565" t="s">
        <v>3413</v>
      </c>
      <c r="J22" s="386">
        <f>SUMIF(69:69,I22,70:70)-SUMIF(69:69,C22,70:70)+100</f>
        <v>100</v>
      </c>
      <c r="K22" s="561">
        <v>2</v>
      </c>
      <c r="L22" s="2722"/>
      <c r="M22" s="2716"/>
      <c r="N22" s="2716"/>
      <c r="O22" s="2774"/>
      <c r="P22" s="3719"/>
      <c r="Q22" s="1352" t="str">
        <f>B22</f>
        <v>楼层</v>
      </c>
      <c r="R22" s="705" t="s">
        <v>14</v>
      </c>
      <c r="S22" s="706">
        <f>F22</f>
        <v>98</v>
      </c>
      <c r="T22" s="705" t="s">
        <v>14</v>
      </c>
      <c r="U22" s="706">
        <f>H22</f>
        <v>100</v>
      </c>
      <c r="V22" s="705" t="s">
        <v>14</v>
      </c>
      <c r="W22" s="706">
        <f>J22</f>
        <v>100</v>
      </c>
      <c r="X22" s="1355"/>
      <c r="Y22" s="3719"/>
      <c r="Z22" s="1356" t="str">
        <f>Q22</f>
        <v>楼层</v>
      </c>
      <c r="AA22" s="1353">
        <f t="shared" si="3"/>
        <v>1.0204081632653061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9"/>
      <c r="Q23" s="1352">
        <f>B23</f>
        <v>111</v>
      </c>
      <c r="R23" s="705" t="s">
        <v>14</v>
      </c>
      <c r="S23" s="706">
        <f>F23</f>
        <v>100</v>
      </c>
      <c r="T23" s="705" t="s">
        <v>14</v>
      </c>
      <c r="U23" s="706">
        <f>H23</f>
        <v>100</v>
      </c>
      <c r="V23" s="705" t="s">
        <v>14</v>
      </c>
      <c r="W23" s="706">
        <f>J23</f>
        <v>100</v>
      </c>
      <c r="X23" s="1355"/>
      <c r="Y23" s="371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9"/>
      <c r="Q24" s="1352">
        <f t="shared" ref="Q24:Q34" si="11">B24</f>
        <v>111</v>
      </c>
      <c r="R24" s="705" t="s">
        <v>14</v>
      </c>
      <c r="S24" s="706">
        <f>F24</f>
        <v>100</v>
      </c>
      <c r="T24" s="705" t="s">
        <v>14</v>
      </c>
      <c r="U24" s="706">
        <f>H24</f>
        <v>100</v>
      </c>
      <c r="V24" s="705" t="s">
        <v>14</v>
      </c>
      <c r="W24" s="706">
        <f>J24</f>
        <v>100</v>
      </c>
      <c r="X24" s="1355"/>
      <c r="Y24" s="3719"/>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9"/>
      <c r="Q25" s="1343">
        <f t="shared" si="11"/>
        <v>111</v>
      </c>
      <c r="R25" s="701" t="s">
        <v>14</v>
      </c>
      <c r="S25" s="702">
        <f>F25</f>
        <v>100</v>
      </c>
      <c r="T25" s="701" t="s">
        <v>14</v>
      </c>
      <c r="U25" s="702">
        <f>H25</f>
        <v>100</v>
      </c>
      <c r="V25" s="701" t="s">
        <v>14</v>
      </c>
      <c r="W25" s="702">
        <f>J25</f>
        <v>100</v>
      </c>
      <c r="X25" s="703"/>
      <c r="Y25" s="3719"/>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3" t="s">
        <v>1696</v>
      </c>
      <c r="Z26" s="1356" t="str">
        <f t="shared" ref="Z26:Z34" si="15">Q26</f>
        <v>公共部分装修</v>
      </c>
      <c r="AA26" s="1353">
        <f t="shared" si="3"/>
        <v>1</v>
      </c>
      <c r="AB26" s="1353">
        <f t="shared" si="4"/>
        <v>1</v>
      </c>
      <c r="AC26" s="1353">
        <f t="shared" si="5"/>
        <v>1</v>
      </c>
    </row>
    <row r="27" spans="1:29" s="422" customFormat="1" ht="15">
      <c r="A27" s="419"/>
      <c r="B27" s="375" t="s">
        <v>1839</v>
      </c>
      <c r="C27" s="425">
        <v>0.9</v>
      </c>
      <c r="D27" s="127">
        <v>100</v>
      </c>
      <c r="E27" s="426">
        <v>0.9</v>
      </c>
      <c r="F27" s="412">
        <f>LOOKUP(E27,80:80,81:81)-LOOKUP(C27,80:80,81:81)+100</f>
        <v>100</v>
      </c>
      <c r="G27" s="427">
        <v>0.9</v>
      </c>
      <c r="H27" s="386">
        <f>LOOKUP(G27,80:80,81:81)-LOOKUP(C27,80:80,81:81)+100</f>
        <v>100</v>
      </c>
      <c r="I27" s="427">
        <v>0.9</v>
      </c>
      <c r="J27" s="386">
        <f>LOOKUP(I27,80:80,81:81)-LOOKUP(C27,80:80,81:81)+100</f>
        <v>100</v>
      </c>
      <c r="K27" s="561"/>
      <c r="L27" s="2721"/>
      <c r="M27" s="2723"/>
      <c r="N27" s="2723"/>
      <c r="O27" s="2775"/>
      <c r="P27" s="3723"/>
      <c r="Q27" s="707" t="str">
        <f t="shared" si="11"/>
        <v>成新率</v>
      </c>
      <c r="R27" s="708" t="s">
        <v>14</v>
      </c>
      <c r="S27" s="709">
        <f t="shared" si="12"/>
        <v>100</v>
      </c>
      <c r="T27" s="708" t="s">
        <v>14</v>
      </c>
      <c r="U27" s="709">
        <f t="shared" si="13"/>
        <v>100</v>
      </c>
      <c r="V27" s="708" t="s">
        <v>14</v>
      </c>
      <c r="W27" s="709">
        <f t="shared" si="14"/>
        <v>100</v>
      </c>
      <c r="X27" s="710"/>
      <c r="Y27" s="3723"/>
      <c r="Z27" s="711" t="str">
        <f t="shared" si="15"/>
        <v>成新率</v>
      </c>
      <c r="AA27" s="1353">
        <f t="shared" si="3"/>
        <v>1</v>
      </c>
      <c r="AB27" s="1353">
        <f t="shared" si="4"/>
        <v>1</v>
      </c>
      <c r="AC27" s="1353">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3"/>
      <c r="Q28" s="1352" t="str">
        <f t="shared" si="11"/>
        <v>物业等级</v>
      </c>
      <c r="R28" s="705" t="s">
        <v>14</v>
      </c>
      <c r="S28" s="706">
        <f t="shared" si="12"/>
        <v>100</v>
      </c>
      <c r="T28" s="705" t="s">
        <v>14</v>
      </c>
      <c r="U28" s="706">
        <f t="shared" si="13"/>
        <v>100</v>
      </c>
      <c r="V28" s="705" t="s">
        <v>14</v>
      </c>
      <c r="W28" s="706">
        <f t="shared" si="14"/>
        <v>100</v>
      </c>
      <c r="X28" s="1355"/>
      <c r="Y28" s="372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3"/>
      <c r="Q29" s="1352" t="str">
        <f t="shared" si="11"/>
        <v>有无电梯</v>
      </c>
      <c r="R29" s="705" t="s">
        <v>14</v>
      </c>
      <c r="S29" s="706">
        <f t="shared" si="12"/>
        <v>100</v>
      </c>
      <c r="T29" s="705" t="s">
        <v>14</v>
      </c>
      <c r="U29" s="706">
        <f t="shared" si="13"/>
        <v>100</v>
      </c>
      <c r="V29" s="705" t="s">
        <v>14</v>
      </c>
      <c r="W29" s="706">
        <f t="shared" si="14"/>
        <v>100</v>
      </c>
      <c r="X29" s="1355"/>
      <c r="Y29" s="3723"/>
      <c r="Z29" s="1356" t="str">
        <f t="shared" si="15"/>
        <v>有无电梯</v>
      </c>
      <c r="AA29" s="1353">
        <f t="shared" si="3"/>
        <v>1</v>
      </c>
      <c r="AB29" s="1353">
        <f t="shared" si="4"/>
        <v>1</v>
      </c>
      <c r="AC29" s="1353">
        <f t="shared" si="5"/>
        <v>1</v>
      </c>
    </row>
    <row r="30" spans="1:29" ht="15">
      <c r="A30" s="423"/>
      <c r="B30" s="375" t="s">
        <v>1861</v>
      </c>
      <c r="C30" s="420">
        <f>'数据-汇总表'!E20</f>
        <v>35325.379999999997</v>
      </c>
      <c r="D30" s="386">
        <v>100</v>
      </c>
      <c r="E30" s="420">
        <v>210</v>
      </c>
      <c r="F30" s="412">
        <f>LOOKUP(E30,87:87,88:88)-LOOKUP(C30,87:87,88:88)+100</f>
        <v>102</v>
      </c>
      <c r="G30" s="420">
        <v>10</v>
      </c>
      <c r="H30" s="386">
        <f>LOOKUP(G30,87:87,88:88)-LOOKUP(C30,87:87,88:88)+100</f>
        <v>102</v>
      </c>
      <c r="I30" s="420">
        <v>36</v>
      </c>
      <c r="J30" s="386">
        <f>LOOKUP(I30,87:87,88:88)-LOOKUP(C30,87:87,88:88)+100</f>
        <v>102</v>
      </c>
      <c r="K30" s="562"/>
      <c r="L30" s="2722"/>
      <c r="M30" s="2716"/>
      <c r="N30" s="2716"/>
      <c r="O30" s="2774"/>
      <c r="P30" s="3723"/>
      <c r="Q30" s="1352" t="str">
        <f t="shared" si="11"/>
        <v>建筑面积</v>
      </c>
      <c r="R30" s="705" t="s">
        <v>14</v>
      </c>
      <c r="S30" s="706">
        <f t="shared" si="12"/>
        <v>102</v>
      </c>
      <c r="T30" s="705" t="s">
        <v>14</v>
      </c>
      <c r="U30" s="706">
        <f t="shared" si="13"/>
        <v>102</v>
      </c>
      <c r="V30" s="705" t="s">
        <v>14</v>
      </c>
      <c r="W30" s="706">
        <f t="shared" si="14"/>
        <v>102</v>
      </c>
      <c r="X30" s="1355"/>
      <c r="Y30" s="3723"/>
      <c r="Z30" s="1356" t="str">
        <f t="shared" si="15"/>
        <v>建筑面积</v>
      </c>
      <c r="AA30" s="1353">
        <f t="shared" si="3"/>
        <v>0.98039215686274506</v>
      </c>
      <c r="AB30" s="1353">
        <f t="shared" si="4"/>
        <v>0.98039215686274506</v>
      </c>
      <c r="AC30" s="1353">
        <f t="shared" si="5"/>
        <v>0.98039215686274506</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3"/>
      <c r="Q31" s="1343" t="str">
        <f t="shared" si="11"/>
        <v>是否封闭</v>
      </c>
      <c r="R31" s="701" t="s">
        <v>14</v>
      </c>
      <c r="S31" s="702">
        <f t="shared" si="12"/>
        <v>100</v>
      </c>
      <c r="T31" s="701" t="s">
        <v>14</v>
      </c>
      <c r="U31" s="702">
        <f t="shared" si="13"/>
        <v>100</v>
      </c>
      <c r="V31" s="701" t="s">
        <v>14</v>
      </c>
      <c r="W31" s="702">
        <f t="shared" si="14"/>
        <v>100</v>
      </c>
      <c r="X31" s="703"/>
      <c r="Y31" s="372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3" t="s">
        <v>1696</v>
      </c>
      <c r="Q32" s="1352">
        <f t="shared" si="11"/>
        <v>111</v>
      </c>
      <c r="R32" s="705" t="s">
        <v>14</v>
      </c>
      <c r="S32" s="706">
        <f t="shared" si="12"/>
        <v>100</v>
      </c>
      <c r="T32" s="705" t="s">
        <v>14</v>
      </c>
      <c r="U32" s="706">
        <f t="shared" si="13"/>
        <v>100</v>
      </c>
      <c r="V32" s="705" t="s">
        <v>14</v>
      </c>
      <c r="W32" s="706">
        <f t="shared" si="14"/>
        <v>100</v>
      </c>
      <c r="X32" s="1355"/>
      <c r="Y32" s="372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3"/>
      <c r="Q33" s="1352">
        <f t="shared" si="11"/>
        <v>111</v>
      </c>
      <c r="R33" s="705" t="s">
        <v>14</v>
      </c>
      <c r="S33" s="706">
        <f t="shared" si="12"/>
        <v>100</v>
      </c>
      <c r="T33" s="705" t="s">
        <v>14</v>
      </c>
      <c r="U33" s="706">
        <f t="shared" si="13"/>
        <v>100</v>
      </c>
      <c r="V33" s="705" t="s">
        <v>14</v>
      </c>
      <c r="W33" s="706">
        <f t="shared" si="14"/>
        <v>100</v>
      </c>
      <c r="X33" s="1355"/>
      <c r="Y33" s="3723"/>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30" ht="14.4">
      <c r="A35" s="430" t="s">
        <v>1708</v>
      </c>
      <c r="B35" s="431"/>
      <c r="C35" s="1154" t="s">
        <v>0</v>
      </c>
      <c r="D35" s="1155"/>
      <c r="E35" s="1156">
        <v>4762</v>
      </c>
      <c r="F35" s="1157"/>
      <c r="G35" s="1158">
        <v>5000</v>
      </c>
      <c r="H35" s="1159"/>
      <c r="I35" s="1156">
        <v>5500</v>
      </c>
      <c r="J35" s="1159"/>
      <c r="K35" s="714"/>
      <c r="L35" s="2724"/>
      <c r="M35" s="2725"/>
      <c r="N35" s="2716"/>
      <c r="O35" s="2725"/>
      <c r="P35" s="3716" t="str">
        <f>A35</f>
        <v>成交单价（元/平方米）</v>
      </c>
      <c r="Q35" s="3716"/>
      <c r="R35" s="3717">
        <f>E35</f>
        <v>4762</v>
      </c>
      <c r="S35" s="3717"/>
      <c r="T35" s="3717">
        <f>G35</f>
        <v>5000</v>
      </c>
      <c r="U35" s="3717"/>
      <c r="V35" s="3717">
        <f>I35</f>
        <v>5500</v>
      </c>
      <c r="W35" s="3717"/>
      <c r="X35" s="690"/>
      <c r="Y35" s="712"/>
      <c r="Z35" s="690"/>
      <c r="AA35" s="690"/>
      <c r="AB35" s="690"/>
      <c r="AC35" s="690"/>
    </row>
    <row r="36" spans="1:30" ht="15" thickBot="1">
      <c r="A36" s="437" t="s">
        <v>1793</v>
      </c>
      <c r="B36" s="438"/>
      <c r="C36" s="1160">
        <f>R37</f>
        <v>5019.3999999999996</v>
      </c>
      <c r="D36" s="2317" t="s">
        <v>2138</v>
      </c>
      <c r="E36" s="1161">
        <f>R36</f>
        <v>4763.8999999999996</v>
      </c>
      <c r="F36" s="2318"/>
      <c r="G36" s="1160">
        <f>T36</f>
        <v>4902</v>
      </c>
      <c r="H36" s="2318"/>
      <c r="I36" s="1161">
        <f>V36</f>
        <v>5392.2</v>
      </c>
      <c r="J36" s="2318"/>
      <c r="K36" s="2320">
        <f>F36+H36+J36</f>
        <v>0</v>
      </c>
      <c r="L36" s="2724"/>
      <c r="M36" s="2725"/>
      <c r="N36" s="2716"/>
      <c r="O36" s="2725"/>
      <c r="P36" s="3716" t="str">
        <f>A36</f>
        <v>比较价值（元/平方米）</v>
      </c>
      <c r="Q36" s="3716"/>
      <c r="R36" s="3717">
        <f>IF(F1="售价",ROUND(PRODUCT(R35,AA7:AA34),0),ROUND(PRODUCT(R35,AA7:AA34),1))</f>
        <v>4763.8999999999996</v>
      </c>
      <c r="S36" s="3717"/>
      <c r="T36" s="3717">
        <f>IF(F1="售价",ROUND(PRODUCT(T35,AB7:AB34),0),ROUND(PRODUCT(T35,AB7:AB34),1))</f>
        <v>4902</v>
      </c>
      <c r="U36" s="3717"/>
      <c r="V36" s="3717">
        <f>IF(F1="售价",ROUND(PRODUCT(V35,AC7:AC34),0),ROUND(PRODUCT(V35,AC7:AC34),1))</f>
        <v>5392.2</v>
      </c>
      <c r="W36" s="3717"/>
      <c r="X36" s="690"/>
      <c r="Y36" s="690"/>
      <c r="Z36" s="690"/>
      <c r="AA36" s="690"/>
      <c r="AB36" s="690"/>
      <c r="AC36" s="690"/>
    </row>
    <row r="37" spans="1:30" ht="15" thickBot="1">
      <c r="A37" s="441" t="s">
        <v>1794</v>
      </c>
      <c r="B37" s="442"/>
      <c r="C37" s="1163">
        <f>R37</f>
        <v>5019.3999999999996</v>
      </c>
      <c r="D37" s="1163"/>
      <c r="E37" s="1163"/>
      <c r="F37" s="1163"/>
      <c r="G37" s="1163"/>
      <c r="H37" s="1163"/>
      <c r="I37" s="1163"/>
      <c r="J37" s="1163"/>
      <c r="K37" s="715"/>
      <c r="L37" s="2724"/>
      <c r="M37" s="2725"/>
      <c r="N37" s="2725"/>
      <c r="O37" s="2725"/>
      <c r="P37" s="3713" t="str">
        <f>A37</f>
        <v>估价对象XX用房的比较价值（楼面单价，元/平方米）</v>
      </c>
      <c r="Q37" s="3714"/>
      <c r="R37" s="3743">
        <f>IF(F1="售价",ROUND(IF(D36="简单平均",AVERAGE(R36:W36),R36*F36+T36*H36+V36*J36),0),ROUND(IF(D36="简单平均",AVERAGE(R36:V36),R36*F36+T36*H36+V36*J36),1))</f>
        <v>5019.3999999999996</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f>IF(E35&lt;E36,E36/E35-1,E35/E36-1)</f>
        <v>3.989920201594721E-4</v>
      </c>
      <c r="F40" s="449" t="str">
        <f>IF(OR(E40&gt;=0.3,E40&lt;=-0.3),"超过30%","")</f>
        <v/>
      </c>
      <c r="G40" s="448">
        <f>IF(G35&lt;G36,G36/G35-1,G35/G36-1)</f>
        <v>1.9991840065279431E-2</v>
      </c>
      <c r="H40" s="449" t="str">
        <f>IF(OR(G40&gt;=0.3,G40&lt;=-0.3),"超过30%","")</f>
        <v/>
      </c>
      <c r="I40" s="448">
        <f>IF(I35&lt;I36,I36/I35-1,I35/I36-1)</f>
        <v>1.9991840065279431E-2</v>
      </c>
      <c r="J40" s="449" t="str">
        <f>IF(OR(I40&gt;=0.3,I40&lt;=-0.3),"超过30%","")</f>
        <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f>IF(E36&lt;G36,G36/E36-1,E36/G36-1)</f>
        <v>2.8988853670312231E-2</v>
      </c>
      <c r="F41" s="449" t="str">
        <f>IF(OR(E41&gt;=0.2,E41&lt;=-0.2),"超过20%","")</f>
        <v/>
      </c>
      <c r="G41" s="448">
        <f>IF(G36&lt;I36,I36/G36-1,G36/I36-1)</f>
        <v>9.9999999999999867E-2</v>
      </c>
      <c r="H41" s="449" t="str">
        <f>IF(OR(G41&gt;=0.2,G41&lt;=-0.2),"超过20%","")</f>
        <v/>
      </c>
      <c r="I41" s="448">
        <f>IF(I36&lt;E36,E36/I36-1,I36/E36-1)</f>
        <v>0.13188773903734341</v>
      </c>
      <c r="J41" s="449" t="str">
        <f>IF(OR(I41&gt;=0.2,I41&lt;=-0.2),"超过20%","")</f>
        <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f>IF(E35&lt;G35,G35/E35-1,E35/G35-1)</f>
        <v>4.9979000419991593E-2</v>
      </c>
      <c r="F42" s="449" t="str">
        <f>IF(OR(E42&gt;=0.3,E42&lt;=-0.3),"超过30%","")</f>
        <v/>
      </c>
      <c r="G42" s="448">
        <f>IF(G35&lt;I35,I35/G35-1,G35/I35-1)</f>
        <v>0.10000000000000009</v>
      </c>
      <c r="H42" s="449" t="str">
        <f>IF(OR(G42&gt;=0.3,G42&lt;=-0.3),"超过30%","")</f>
        <v/>
      </c>
      <c r="I42" s="448">
        <f>IF(I35&lt;E35,E35/I35-1,I35/E35-1)</f>
        <v>0.15497690046199075</v>
      </c>
      <c r="J42" s="449" t="str">
        <f>IF(OR(I42&gt;=0.3,I42&lt;=-0.3),"超过30%","")</f>
        <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3812" t="s">
        <v>3442</v>
      </c>
      <c r="D69" s="3812" t="s">
        <v>3443</v>
      </c>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98</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0(含)-2000</v>
      </c>
      <c r="D86" s="527" t="str">
        <f t="shared" si="21"/>
        <v>2000(含)-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v>0</v>
      </c>
      <c r="D87" s="544">
        <v>2000</v>
      </c>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v>100</v>
      </c>
      <c r="D88" s="485">
        <v>98</v>
      </c>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30">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30" ht="1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30" s="108" customFormat="1" ht="15" thickBot="1">
      <c r="A7" s="362" t="s">
        <v>1679</v>
      </c>
      <c r="B7" s="363"/>
      <c r="C7" s="364">
        <f>'数据-取费表'!B2</f>
        <v>45696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4" t="s">
        <v>1683</v>
      </c>
      <c r="Q8" s="3685"/>
      <c r="R8" s="701" t="s">
        <v>14</v>
      </c>
      <c r="S8" s="702">
        <f t="shared" si="0"/>
        <v>0</v>
      </c>
      <c r="T8" s="701" t="s">
        <v>14</v>
      </c>
      <c r="U8" s="702">
        <f t="shared" si="1"/>
        <v>0</v>
      </c>
      <c r="V8" s="701" t="s">
        <v>14</v>
      </c>
      <c r="W8" s="702">
        <f t="shared" si="2"/>
        <v>0</v>
      </c>
      <c r="X8" s="703"/>
      <c r="Y8" s="3684" t="s">
        <v>1683</v>
      </c>
      <c r="Z8" s="3685"/>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100</v>
      </c>
      <c r="G10" s="414"/>
      <c r="H10" s="127">
        <f>ROUND(100/'数据-取费表'!G16,0)</f>
        <v>100</v>
      </c>
      <c r="I10" s="414"/>
      <c r="J10" s="127">
        <f>ROUND(100/'数据-取费表'!G16,0)</f>
        <v>100</v>
      </c>
      <c r="K10" s="620"/>
      <c r="L10" s="2719"/>
      <c r="M10" s="2720"/>
      <c r="N10" s="2720"/>
      <c r="O10" s="2773"/>
      <c r="P10" s="371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6"/>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6"/>
      <c r="Q12" s="1343" t="str">
        <f t="shared" si="6"/>
        <v>配建</v>
      </c>
      <c r="R12" s="701" t="s">
        <v>14</v>
      </c>
      <c r="S12" s="702">
        <f t="shared" si="0"/>
        <v>100</v>
      </c>
      <c r="T12" s="701" t="s">
        <v>14</v>
      </c>
      <c r="U12" s="702">
        <f t="shared" si="1"/>
        <v>100</v>
      </c>
      <c r="V12" s="701" t="s">
        <v>14</v>
      </c>
      <c r="W12" s="702">
        <f t="shared" si="2"/>
        <v>100</v>
      </c>
      <c r="X12" s="703"/>
      <c r="Y12" s="362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2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6"/>
      <c r="Q14" s="1343">
        <f t="shared" si="6"/>
        <v>111</v>
      </c>
      <c r="R14" s="701" t="s">
        <v>14</v>
      </c>
      <c r="S14" s="702">
        <f t="shared" si="0"/>
        <v>100</v>
      </c>
      <c r="T14" s="701" t="s">
        <v>14</v>
      </c>
      <c r="U14" s="702">
        <f t="shared" si="1"/>
        <v>100</v>
      </c>
      <c r="V14" s="701" t="s">
        <v>14</v>
      </c>
      <c r="W14" s="702">
        <f t="shared" si="2"/>
        <v>100</v>
      </c>
      <c r="X14" s="703"/>
      <c r="Y14" s="362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8" t="s">
        <v>1691</v>
      </c>
      <c r="Q15" s="1352" t="str">
        <f t="shared" si="6"/>
        <v>居住社区成熟度</v>
      </c>
      <c r="R15" s="705" t="s">
        <v>14</v>
      </c>
      <c r="S15" s="706">
        <f t="shared" si="0"/>
        <v>100</v>
      </c>
      <c r="T15" s="705" t="s">
        <v>14</v>
      </c>
      <c r="U15" s="706">
        <f t="shared" si="1"/>
        <v>100</v>
      </c>
      <c r="V15" s="705" t="s">
        <v>14</v>
      </c>
      <c r="W15" s="706">
        <f t="shared" si="2"/>
        <v>100</v>
      </c>
      <c r="X15" s="1355"/>
      <c r="Y15" s="371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9"/>
      <c r="Q16" s="1352"/>
      <c r="R16" s="705"/>
      <c r="S16" s="706"/>
      <c r="T16" s="705"/>
      <c r="U16" s="706"/>
      <c r="V16" s="705"/>
      <c r="W16" s="706"/>
      <c r="X16" s="1355"/>
      <c r="Y16" s="3719"/>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9"/>
      <c r="Q17" s="1352" t="str">
        <f>B17</f>
        <v>商业繁华度</v>
      </c>
      <c r="R17" s="705" t="s">
        <v>14</v>
      </c>
      <c r="S17" s="706">
        <f>F17</f>
        <v>100</v>
      </c>
      <c r="T17" s="705" t="s">
        <v>14</v>
      </c>
      <c r="U17" s="706">
        <f>H17</f>
        <v>100</v>
      </c>
      <c r="V17" s="705" t="s">
        <v>14</v>
      </c>
      <c r="W17" s="706">
        <f>J17</f>
        <v>100</v>
      </c>
      <c r="X17" s="1355"/>
      <c r="Y17" s="371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9"/>
      <c r="Q18" s="1352"/>
      <c r="R18" s="705"/>
      <c r="S18" s="706"/>
      <c r="T18" s="705"/>
      <c r="U18" s="706"/>
      <c r="V18" s="705"/>
      <c r="W18" s="706"/>
      <c r="X18" s="1355"/>
      <c r="Y18" s="3719"/>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9"/>
      <c r="Q19" s="1352" t="str">
        <f>B19</f>
        <v>办公集聚程度</v>
      </c>
      <c r="R19" s="705" t="s">
        <v>14</v>
      </c>
      <c r="S19" s="706">
        <f>F19</f>
        <v>100</v>
      </c>
      <c r="T19" s="705" t="s">
        <v>14</v>
      </c>
      <c r="U19" s="706">
        <f>H19</f>
        <v>100</v>
      </c>
      <c r="V19" s="705" t="s">
        <v>14</v>
      </c>
      <c r="W19" s="706">
        <f>J19</f>
        <v>100</v>
      </c>
      <c r="X19" s="1355"/>
      <c r="Y19" s="371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9"/>
      <c r="Q20" s="1352"/>
      <c r="R20" s="705"/>
      <c r="S20" s="706"/>
      <c r="T20" s="705"/>
      <c r="U20" s="706"/>
      <c r="V20" s="705"/>
      <c r="W20" s="706"/>
      <c r="X20" s="1355"/>
      <c r="Y20" s="3719"/>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9"/>
      <c r="Q21" s="1352" t="str">
        <f>B21</f>
        <v>交通便捷度</v>
      </c>
      <c r="R21" s="705" t="s">
        <v>14</v>
      </c>
      <c r="S21" s="706">
        <f>F21</f>
        <v>100</v>
      </c>
      <c r="T21" s="705" t="s">
        <v>14</v>
      </c>
      <c r="U21" s="706">
        <f>H21</f>
        <v>100</v>
      </c>
      <c r="V21" s="705" t="s">
        <v>14</v>
      </c>
      <c r="W21" s="706">
        <f>J21</f>
        <v>100</v>
      </c>
      <c r="X21" s="1355"/>
      <c r="Y21" s="371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9"/>
      <c r="Q22" s="1352"/>
      <c r="R22" s="705"/>
      <c r="S22" s="706"/>
      <c r="T22" s="705"/>
      <c r="U22" s="706"/>
      <c r="V22" s="705"/>
      <c r="W22" s="706"/>
      <c r="X22" s="1355"/>
      <c r="Y22" s="3719"/>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9"/>
      <c r="Q23" s="1352" t="str">
        <f t="shared" ref="Q23:Q37" si="8">B23</f>
        <v>区域土地利用方向</v>
      </c>
      <c r="R23" s="705" t="s">
        <v>14</v>
      </c>
      <c r="S23" s="706">
        <f>F23</f>
        <v>100</v>
      </c>
      <c r="T23" s="705" t="s">
        <v>14</v>
      </c>
      <c r="U23" s="706">
        <f>H23</f>
        <v>100</v>
      </c>
      <c r="V23" s="705" t="s">
        <v>14</v>
      </c>
      <c r="W23" s="706">
        <f>J23</f>
        <v>100</v>
      </c>
      <c r="X23" s="1355"/>
      <c r="Y23" s="371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9"/>
      <c r="Q24" s="1352"/>
      <c r="R24" s="705"/>
      <c r="S24" s="706"/>
      <c r="T24" s="705"/>
      <c r="U24" s="706"/>
      <c r="V24" s="705"/>
      <c r="W24" s="706"/>
      <c r="X24" s="1355"/>
      <c r="Y24" s="3719"/>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9"/>
      <c r="Q25" s="1352" t="str">
        <f t="shared" si="8"/>
        <v>自然及人文环境状况</v>
      </c>
      <c r="R25" s="705" t="s">
        <v>14</v>
      </c>
      <c r="S25" s="706">
        <f>F25</f>
        <v>100</v>
      </c>
      <c r="T25" s="705" t="s">
        <v>14</v>
      </c>
      <c r="U25" s="706">
        <f>H25</f>
        <v>100</v>
      </c>
      <c r="V25" s="705" t="s">
        <v>14</v>
      </c>
      <c r="W25" s="706">
        <f>J25</f>
        <v>100</v>
      </c>
      <c r="X25" s="1355"/>
      <c r="Y25" s="371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9"/>
      <c r="Q26" s="1352"/>
      <c r="R26" s="705"/>
      <c r="S26" s="706"/>
      <c r="T26" s="705"/>
      <c r="U26" s="706"/>
      <c r="V26" s="705"/>
      <c r="W26" s="706"/>
      <c r="X26" s="1355"/>
      <c r="Y26" s="3719"/>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9"/>
      <c r="Q27" s="1343" t="str">
        <f t="shared" si="8"/>
        <v>公共配套设施</v>
      </c>
      <c r="R27" s="701" t="s">
        <v>14</v>
      </c>
      <c r="S27" s="702">
        <f>F27</f>
        <v>100</v>
      </c>
      <c r="T27" s="701" t="s">
        <v>14</v>
      </c>
      <c r="U27" s="702">
        <f>H27</f>
        <v>100</v>
      </c>
      <c r="V27" s="701" t="s">
        <v>14</v>
      </c>
      <c r="W27" s="702">
        <f>J27</f>
        <v>100</v>
      </c>
      <c r="X27" s="703"/>
      <c r="Y27" s="371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9"/>
      <c r="Q28" s="1343"/>
      <c r="R28" s="701"/>
      <c r="S28" s="702"/>
      <c r="T28" s="701"/>
      <c r="U28" s="702"/>
      <c r="V28" s="701"/>
      <c r="W28" s="702"/>
      <c r="X28" s="703"/>
      <c r="Y28" s="3719"/>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9"/>
      <c r="Q29" s="1343" t="str">
        <f t="shared" ref="Q29" si="9">B29</f>
        <v>基础设施水平</v>
      </c>
      <c r="R29" s="701" t="s">
        <v>14</v>
      </c>
      <c r="S29" s="702">
        <f>F29</f>
        <v>100</v>
      </c>
      <c r="T29" s="701" t="s">
        <v>14</v>
      </c>
      <c r="U29" s="702">
        <f>H29</f>
        <v>100</v>
      </c>
      <c r="V29" s="701" t="s">
        <v>14</v>
      </c>
      <c r="W29" s="702">
        <f>J29</f>
        <v>100</v>
      </c>
      <c r="X29" s="703"/>
      <c r="Y29" s="371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9"/>
      <c r="Q30" s="1343"/>
      <c r="R30" s="701"/>
      <c r="S30" s="702"/>
      <c r="T30" s="701"/>
      <c r="U30" s="702"/>
      <c r="V30" s="701"/>
      <c r="W30" s="702"/>
      <c r="X30" s="703"/>
      <c r="Y30" s="371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9"/>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9"/>
      <c r="Q32" s="1352" t="str">
        <f t="shared" si="8"/>
        <v>毗邻道路的类型与等级</v>
      </c>
      <c r="R32" s="705" t="s">
        <v>14</v>
      </c>
      <c r="S32" s="706">
        <f t="shared" si="10"/>
        <v>100</v>
      </c>
      <c r="T32" s="705" t="s">
        <v>14</v>
      </c>
      <c r="U32" s="706">
        <f t="shared" si="11"/>
        <v>100</v>
      </c>
      <c r="V32" s="705" t="s">
        <v>14</v>
      </c>
      <c r="W32" s="706">
        <f t="shared" si="12"/>
        <v>100</v>
      </c>
      <c r="X32" s="1355"/>
      <c r="Y32" s="371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9"/>
      <c r="Q33" s="1352"/>
      <c r="R33" s="705"/>
      <c r="S33" s="706"/>
      <c r="T33" s="705"/>
      <c r="U33" s="706"/>
      <c r="V33" s="705"/>
      <c r="W33" s="706"/>
      <c r="X33" s="1355"/>
      <c r="Y33" s="371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9"/>
      <c r="Q34" s="1352" t="str">
        <f t="shared" si="8"/>
        <v>土地级别</v>
      </c>
      <c r="R34" s="705" t="s">
        <v>14</v>
      </c>
      <c r="S34" s="706">
        <f t="shared" si="10"/>
        <v>100</v>
      </c>
      <c r="T34" s="705" t="s">
        <v>14</v>
      </c>
      <c r="U34" s="706">
        <f t="shared" si="11"/>
        <v>100</v>
      </c>
      <c r="V34" s="705" t="s">
        <v>14</v>
      </c>
      <c r="W34" s="706">
        <f t="shared" si="12"/>
        <v>100</v>
      </c>
      <c r="X34" s="1355"/>
      <c r="Y34" s="371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9"/>
      <c r="Q35" s="1352">
        <f t="shared" si="8"/>
        <v>111</v>
      </c>
      <c r="R35" s="705" t="s">
        <v>14</v>
      </c>
      <c r="S35" s="706">
        <f t="shared" si="10"/>
        <v>100</v>
      </c>
      <c r="T35" s="705" t="s">
        <v>14</v>
      </c>
      <c r="U35" s="706">
        <f t="shared" si="11"/>
        <v>100</v>
      </c>
      <c r="V35" s="705" t="s">
        <v>14</v>
      </c>
      <c r="W35" s="706">
        <f t="shared" si="12"/>
        <v>100</v>
      </c>
      <c r="X35" s="1355"/>
      <c r="Y35" s="371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2" t="s">
        <v>1696</v>
      </c>
      <c r="Q36" s="1352">
        <f t="shared" si="8"/>
        <v>111</v>
      </c>
      <c r="R36" s="705" t="s">
        <v>14</v>
      </c>
      <c r="S36" s="706">
        <f t="shared" si="10"/>
        <v>100</v>
      </c>
      <c r="T36" s="705" t="s">
        <v>14</v>
      </c>
      <c r="U36" s="706">
        <f t="shared" si="11"/>
        <v>100</v>
      </c>
      <c r="V36" s="705" t="s">
        <v>14</v>
      </c>
      <c r="W36" s="706">
        <f t="shared" si="12"/>
        <v>100</v>
      </c>
      <c r="X36" s="1355"/>
      <c r="Y36" s="3723"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3"/>
      <c r="Q37" s="1352">
        <f t="shared" si="8"/>
        <v>111</v>
      </c>
      <c r="R37" s="708" t="s">
        <v>14</v>
      </c>
      <c r="S37" s="709">
        <f t="shared" si="10"/>
        <v>100</v>
      </c>
      <c r="T37" s="708" t="s">
        <v>14</v>
      </c>
      <c r="U37" s="709">
        <f t="shared" si="11"/>
        <v>100</v>
      </c>
      <c r="V37" s="708" t="s">
        <v>14</v>
      </c>
      <c r="W37" s="709">
        <f t="shared" si="12"/>
        <v>100</v>
      </c>
      <c r="X37" s="710"/>
      <c r="Y37" s="3723"/>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3"/>
      <c r="Q38" s="1352" t="str">
        <f>B38</f>
        <v>宗地面积</v>
      </c>
      <c r="R38" s="705" t="s">
        <v>14</v>
      </c>
      <c r="S38" s="706" t="e">
        <f t="shared" si="10"/>
        <v>#N/A</v>
      </c>
      <c r="T38" s="705" t="s">
        <v>14</v>
      </c>
      <c r="U38" s="706" t="e">
        <f t="shared" si="11"/>
        <v>#N/A</v>
      </c>
      <c r="V38" s="705" t="s">
        <v>14</v>
      </c>
      <c r="W38" s="706" t="e">
        <f t="shared" si="12"/>
        <v>#N/A</v>
      </c>
      <c r="X38" s="1355"/>
      <c r="Y38" s="372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3"/>
      <c r="Q39" s="1352" t="str">
        <f t="shared" ref="Q39:Q45" si="14">B39</f>
        <v>宗地形状</v>
      </c>
      <c r="R39" s="705" t="s">
        <v>14</v>
      </c>
      <c r="S39" s="706">
        <f t="shared" si="10"/>
        <v>100</v>
      </c>
      <c r="T39" s="705" t="s">
        <v>14</v>
      </c>
      <c r="U39" s="706">
        <f t="shared" si="11"/>
        <v>100</v>
      </c>
      <c r="V39" s="705" t="s">
        <v>14</v>
      </c>
      <c r="W39" s="706">
        <f t="shared" si="12"/>
        <v>100</v>
      </c>
      <c r="X39" s="1355"/>
      <c r="Y39" s="372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3"/>
      <c r="Q40" s="1352" t="str">
        <f t="shared" si="14"/>
        <v>临街宽度及深度</v>
      </c>
      <c r="R40" s="705" t="s">
        <v>14</v>
      </c>
      <c r="S40" s="706">
        <f t="shared" si="10"/>
        <v>100</v>
      </c>
      <c r="T40" s="705" t="s">
        <v>14</v>
      </c>
      <c r="U40" s="706">
        <f t="shared" si="11"/>
        <v>100</v>
      </c>
      <c r="V40" s="705" t="s">
        <v>14</v>
      </c>
      <c r="W40" s="706">
        <f t="shared" si="12"/>
        <v>100</v>
      </c>
      <c r="X40" s="1355"/>
      <c r="Y40" s="372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3"/>
      <c r="Q41" s="1352" t="str">
        <f t="shared" si="14"/>
        <v>宗地开发程度</v>
      </c>
      <c r="R41" s="701" t="s">
        <v>14</v>
      </c>
      <c r="S41" s="702">
        <f t="shared" si="10"/>
        <v>100</v>
      </c>
      <c r="T41" s="701" t="s">
        <v>14</v>
      </c>
      <c r="U41" s="702">
        <f t="shared" si="11"/>
        <v>100</v>
      </c>
      <c r="V41" s="701" t="s">
        <v>14</v>
      </c>
      <c r="W41" s="702">
        <f t="shared" si="12"/>
        <v>100</v>
      </c>
      <c r="X41" s="703"/>
      <c r="Y41" s="372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3" t="s">
        <v>1696</v>
      </c>
      <c r="Q42" s="1352" t="str">
        <f t="shared" si="14"/>
        <v>工程地质条件</v>
      </c>
      <c r="R42" s="705" t="s">
        <v>14</v>
      </c>
      <c r="S42" s="706">
        <f t="shared" si="10"/>
        <v>100</v>
      </c>
      <c r="T42" s="705" t="s">
        <v>14</v>
      </c>
      <c r="U42" s="706">
        <f t="shared" si="11"/>
        <v>100</v>
      </c>
      <c r="V42" s="705" t="s">
        <v>14</v>
      </c>
      <c r="W42" s="706">
        <f t="shared" si="12"/>
        <v>100</v>
      </c>
      <c r="X42" s="1355"/>
      <c r="Y42" s="372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3"/>
      <c r="Q43" s="1352">
        <f t="shared" si="14"/>
        <v>111</v>
      </c>
      <c r="R43" s="705" t="s">
        <v>14</v>
      </c>
      <c r="S43" s="706">
        <f t="shared" si="10"/>
        <v>100</v>
      </c>
      <c r="T43" s="705" t="s">
        <v>14</v>
      </c>
      <c r="U43" s="706">
        <f t="shared" si="11"/>
        <v>100</v>
      </c>
      <c r="V43" s="705" t="s">
        <v>14</v>
      </c>
      <c r="W43" s="706">
        <f t="shared" si="12"/>
        <v>100</v>
      </c>
      <c r="X43" s="1355"/>
      <c r="Y43" s="372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3"/>
      <c r="Q44" s="1352">
        <f t="shared" si="14"/>
        <v>111</v>
      </c>
      <c r="R44" s="705" t="s">
        <v>14</v>
      </c>
      <c r="S44" s="706">
        <f t="shared" si="10"/>
        <v>100</v>
      </c>
      <c r="T44" s="705" t="s">
        <v>14</v>
      </c>
      <c r="U44" s="706">
        <f t="shared" si="11"/>
        <v>100</v>
      </c>
      <c r="V44" s="705" t="s">
        <v>14</v>
      </c>
      <c r="W44" s="706">
        <f t="shared" si="12"/>
        <v>100</v>
      </c>
      <c r="X44" s="1355"/>
      <c r="Y44" s="3723"/>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3"/>
      <c r="Q45" s="1352">
        <f t="shared" si="14"/>
        <v>111</v>
      </c>
      <c r="R45" s="708" t="s">
        <v>14</v>
      </c>
      <c r="S45" s="709">
        <f t="shared" si="10"/>
        <v>100</v>
      </c>
      <c r="T45" s="708" t="s">
        <v>14</v>
      </c>
      <c r="U45" s="709">
        <f t="shared" si="11"/>
        <v>100</v>
      </c>
      <c r="V45" s="708" t="s">
        <v>14</v>
      </c>
      <c r="W45" s="709">
        <f t="shared" si="12"/>
        <v>100</v>
      </c>
      <c r="X45" s="710"/>
      <c r="Y45" s="3723"/>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16" t="str">
        <f>A46</f>
        <v>成交单价</v>
      </c>
      <c r="Q46" s="3716"/>
      <c r="R46" s="3711">
        <f>E46</f>
        <v>0</v>
      </c>
      <c r="S46" s="3711"/>
      <c r="T46" s="3711">
        <f>G46</f>
        <v>0</v>
      </c>
      <c r="U46" s="3711"/>
      <c r="V46" s="3711">
        <f>I46</f>
        <v>0</v>
      </c>
      <c r="W46" s="3711"/>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6" t="str">
        <f>A47</f>
        <v>比较价值（元/平方米）</v>
      </c>
      <c r="Q47" s="3716"/>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13" t="str">
        <f>A48</f>
        <v>估价对象XX用房的比较价值（楼面单价，元/平方米）</v>
      </c>
      <c r="Q48" s="3714"/>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9"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6325.11</v>
      </c>
      <c r="F56" s="886" t="e">
        <f t="shared" ref="F56:F64" si="15">ROUND(B56*E56/10000,0)</f>
        <v>#DIV/0!</v>
      </c>
      <c r="G56" s="3698"/>
      <c r="H56" s="371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35325.379999999997</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41650.49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 thickBot="1">
      <c r="A6" s="360"/>
      <c r="B6" s="361"/>
      <c r="C6" s="3747" t="s">
        <v>1919</v>
      </c>
      <c r="D6" s="3748"/>
      <c r="E6" s="3749" t="s">
        <v>1919</v>
      </c>
      <c r="F6" s="3750"/>
      <c r="G6" s="3747" t="s">
        <v>1919</v>
      </c>
      <c r="H6" s="3748"/>
      <c r="I6" s="3747" t="s">
        <v>1919</v>
      </c>
      <c r="J6" s="3748"/>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 thickBot="1">
      <c r="A7" s="362" t="s">
        <v>1679</v>
      </c>
      <c r="B7" s="363"/>
      <c r="C7" s="364">
        <f>'数据-取费表'!B2</f>
        <v>45696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4" t="s">
        <v>1683</v>
      </c>
      <c r="Q8" s="3685"/>
      <c r="R8" s="701" t="s">
        <v>14</v>
      </c>
      <c r="S8" s="702">
        <f t="shared" si="0"/>
        <v>0</v>
      </c>
      <c r="T8" s="701" t="s">
        <v>14</v>
      </c>
      <c r="U8" s="702">
        <f t="shared" si="1"/>
        <v>0</v>
      </c>
      <c r="V8" s="701" t="s">
        <v>14</v>
      </c>
      <c r="W8" s="702">
        <f t="shared" si="2"/>
        <v>0</v>
      </c>
      <c r="X8" s="703"/>
      <c r="Y8" s="3684" t="s">
        <v>1683</v>
      </c>
      <c r="Z8" s="3685"/>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100</v>
      </c>
      <c r="G10" s="383"/>
      <c r="H10" s="127">
        <f>ROUND(100/'数据-取费表'!G16,0)</f>
        <v>100</v>
      </c>
      <c r="I10" s="383"/>
      <c r="J10" s="127">
        <f>ROUND(100/'数据-取费表'!G16,0)</f>
        <v>100</v>
      </c>
      <c r="K10" s="620"/>
      <c r="L10" s="2719"/>
      <c r="M10" s="2720"/>
      <c r="N10" s="2720"/>
      <c r="O10" s="2773"/>
      <c r="P10" s="371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6"/>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6"/>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8" t="s">
        <v>1691</v>
      </c>
      <c r="Q15" s="1352" t="str">
        <f t="shared" si="6"/>
        <v>产业集聚程度</v>
      </c>
      <c r="R15" s="705" t="s">
        <v>14</v>
      </c>
      <c r="S15" s="706">
        <f t="shared" si="0"/>
        <v>100</v>
      </c>
      <c r="T15" s="705" t="s">
        <v>14</v>
      </c>
      <c r="U15" s="706">
        <f t="shared" si="1"/>
        <v>100</v>
      </c>
      <c r="V15" s="705" t="s">
        <v>14</v>
      </c>
      <c r="W15" s="706">
        <f t="shared" si="2"/>
        <v>100</v>
      </c>
      <c r="X15" s="1355"/>
      <c r="Y15" s="371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9"/>
      <c r="Q16" s="1352"/>
      <c r="R16" s="705"/>
      <c r="S16" s="706"/>
      <c r="T16" s="705"/>
      <c r="U16" s="706"/>
      <c r="V16" s="705"/>
      <c r="W16" s="706"/>
      <c r="X16" s="1355"/>
      <c r="Y16" s="3719"/>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9"/>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9"/>
      <c r="Q18" s="1352"/>
      <c r="R18" s="705"/>
      <c r="S18" s="706"/>
      <c r="T18" s="705"/>
      <c r="U18" s="706"/>
      <c r="V18" s="705"/>
      <c r="W18" s="706"/>
      <c r="X18" s="1355"/>
      <c r="Y18" s="3719"/>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9"/>
      <c r="Q19" s="1352" t="str">
        <f t="shared" ref="Q19:Q33" si="8">B19</f>
        <v>区域土地利用方向</v>
      </c>
      <c r="R19" s="705" t="s">
        <v>14</v>
      </c>
      <c r="S19" s="706">
        <f>F19</f>
        <v>100</v>
      </c>
      <c r="T19" s="705" t="s">
        <v>14</v>
      </c>
      <c r="U19" s="706">
        <f>H19</f>
        <v>100</v>
      </c>
      <c r="V19" s="705" t="s">
        <v>14</v>
      </c>
      <c r="W19" s="706">
        <f>J19</f>
        <v>100</v>
      </c>
      <c r="X19" s="1355"/>
      <c r="Y19" s="371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9"/>
      <c r="Q20" s="1352"/>
      <c r="R20" s="705"/>
      <c r="S20" s="706"/>
      <c r="T20" s="705"/>
      <c r="U20" s="706"/>
      <c r="V20" s="705"/>
      <c r="W20" s="706"/>
      <c r="X20" s="1355"/>
      <c r="Y20" s="3719"/>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9"/>
      <c r="Q21" s="1352" t="str">
        <f t="shared" si="8"/>
        <v>环境状况</v>
      </c>
      <c r="R21" s="705" t="s">
        <v>14</v>
      </c>
      <c r="S21" s="706">
        <f>F21</f>
        <v>100</v>
      </c>
      <c r="T21" s="705" t="s">
        <v>14</v>
      </c>
      <c r="U21" s="706">
        <f>H21</f>
        <v>100</v>
      </c>
      <c r="V21" s="705" t="s">
        <v>14</v>
      </c>
      <c r="W21" s="706">
        <f>J21</f>
        <v>100</v>
      </c>
      <c r="X21" s="1355"/>
      <c r="Y21" s="371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9"/>
      <c r="Q22" s="1352"/>
      <c r="R22" s="705"/>
      <c r="S22" s="706"/>
      <c r="T22" s="705"/>
      <c r="U22" s="706"/>
      <c r="V22" s="705"/>
      <c r="W22" s="706"/>
      <c r="X22" s="1355"/>
      <c r="Y22" s="3719"/>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9"/>
      <c r="Q23" s="1343" t="str">
        <f t="shared" si="8"/>
        <v>公共配套设施</v>
      </c>
      <c r="R23" s="701" t="s">
        <v>14</v>
      </c>
      <c r="S23" s="702">
        <f>F23</f>
        <v>100</v>
      </c>
      <c r="T23" s="701" t="s">
        <v>14</v>
      </c>
      <c r="U23" s="702">
        <f>H23</f>
        <v>100</v>
      </c>
      <c r="V23" s="701" t="s">
        <v>14</v>
      </c>
      <c r="W23" s="702">
        <f>J23</f>
        <v>100</v>
      </c>
      <c r="X23" s="703"/>
      <c r="Y23" s="371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9"/>
      <c r="Q24" s="1343"/>
      <c r="R24" s="701"/>
      <c r="S24" s="702"/>
      <c r="T24" s="701"/>
      <c r="U24" s="702"/>
      <c r="V24" s="701"/>
      <c r="W24" s="702"/>
      <c r="X24" s="703"/>
      <c r="Y24" s="3719"/>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9"/>
      <c r="Q25" s="1343" t="str">
        <f t="shared" ref="Q25" si="9">B25</f>
        <v>基础设施水平</v>
      </c>
      <c r="R25" s="701" t="s">
        <v>14</v>
      </c>
      <c r="S25" s="702">
        <f>F25</f>
        <v>100</v>
      </c>
      <c r="T25" s="701" t="s">
        <v>14</v>
      </c>
      <c r="U25" s="702">
        <f>H25</f>
        <v>100</v>
      </c>
      <c r="V25" s="701" t="s">
        <v>14</v>
      </c>
      <c r="W25" s="702">
        <f>J25</f>
        <v>100</v>
      </c>
      <c r="X25" s="703"/>
      <c r="Y25" s="371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9"/>
      <c r="Q26" s="1343"/>
      <c r="R26" s="701"/>
      <c r="S26" s="702"/>
      <c r="T26" s="701"/>
      <c r="U26" s="702"/>
      <c r="V26" s="701"/>
      <c r="W26" s="702"/>
      <c r="X26" s="703"/>
      <c r="Y26" s="371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9"/>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9"/>
      <c r="Q28" s="1352" t="str">
        <f t="shared" si="8"/>
        <v>毗邻道路的类型与等级</v>
      </c>
      <c r="R28" s="705" t="s">
        <v>14</v>
      </c>
      <c r="S28" s="706">
        <f t="shared" si="10"/>
        <v>100</v>
      </c>
      <c r="T28" s="705" t="s">
        <v>14</v>
      </c>
      <c r="U28" s="706">
        <f t="shared" si="11"/>
        <v>100</v>
      </c>
      <c r="V28" s="705" t="s">
        <v>14</v>
      </c>
      <c r="W28" s="706">
        <f t="shared" si="12"/>
        <v>100</v>
      </c>
      <c r="X28" s="1355"/>
      <c r="Y28" s="371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9"/>
      <c r="Q29" s="1352"/>
      <c r="R29" s="705"/>
      <c r="S29" s="706"/>
      <c r="T29" s="705"/>
      <c r="U29" s="706"/>
      <c r="V29" s="705"/>
      <c r="W29" s="706"/>
      <c r="X29" s="1355"/>
      <c r="Y29" s="371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9"/>
      <c r="Q30" s="1352" t="str">
        <f t="shared" si="8"/>
        <v>土地级别</v>
      </c>
      <c r="R30" s="705" t="s">
        <v>14</v>
      </c>
      <c r="S30" s="706">
        <f t="shared" si="10"/>
        <v>100</v>
      </c>
      <c r="T30" s="705" t="s">
        <v>14</v>
      </c>
      <c r="U30" s="706">
        <f t="shared" si="11"/>
        <v>100</v>
      </c>
      <c r="V30" s="705" t="s">
        <v>14</v>
      </c>
      <c r="W30" s="706">
        <f t="shared" si="12"/>
        <v>100</v>
      </c>
      <c r="X30" s="1355"/>
      <c r="Y30" s="371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9"/>
      <c r="Q31" s="1352">
        <f t="shared" si="8"/>
        <v>111</v>
      </c>
      <c r="R31" s="705" t="s">
        <v>14</v>
      </c>
      <c r="S31" s="706">
        <f t="shared" si="10"/>
        <v>100</v>
      </c>
      <c r="T31" s="705" t="s">
        <v>14</v>
      </c>
      <c r="U31" s="706">
        <f t="shared" si="11"/>
        <v>100</v>
      </c>
      <c r="V31" s="705" t="s">
        <v>14</v>
      </c>
      <c r="W31" s="706">
        <f t="shared" si="12"/>
        <v>100</v>
      </c>
      <c r="X31" s="1355"/>
      <c r="Y31" s="371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2" t="s">
        <v>1696</v>
      </c>
      <c r="Q32" s="1352">
        <f t="shared" si="8"/>
        <v>111</v>
      </c>
      <c r="R32" s="705" t="s">
        <v>14</v>
      </c>
      <c r="S32" s="706">
        <f t="shared" si="10"/>
        <v>100</v>
      </c>
      <c r="T32" s="705" t="s">
        <v>14</v>
      </c>
      <c r="U32" s="706">
        <f t="shared" si="11"/>
        <v>100</v>
      </c>
      <c r="V32" s="705" t="s">
        <v>14</v>
      </c>
      <c r="W32" s="706">
        <f t="shared" si="12"/>
        <v>100</v>
      </c>
      <c r="X32" s="1355"/>
      <c r="Y32" s="3723"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3"/>
      <c r="Q33" s="1352">
        <f t="shared" si="8"/>
        <v>111</v>
      </c>
      <c r="R33" s="708" t="s">
        <v>14</v>
      </c>
      <c r="S33" s="709">
        <f t="shared" si="10"/>
        <v>100</v>
      </c>
      <c r="T33" s="708" t="s">
        <v>14</v>
      </c>
      <c r="U33" s="709">
        <f t="shared" si="11"/>
        <v>100</v>
      </c>
      <c r="V33" s="708" t="s">
        <v>14</v>
      </c>
      <c r="W33" s="709">
        <f t="shared" si="12"/>
        <v>100</v>
      </c>
      <c r="X33" s="710"/>
      <c r="Y33" s="372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3"/>
      <c r="Q34" s="1352" t="str">
        <f>B34</f>
        <v>宗地面积</v>
      </c>
      <c r="R34" s="705" t="s">
        <v>14</v>
      </c>
      <c r="S34" s="706" t="e">
        <f t="shared" si="10"/>
        <v>#N/A</v>
      </c>
      <c r="T34" s="705" t="s">
        <v>14</v>
      </c>
      <c r="U34" s="706" t="e">
        <f t="shared" si="11"/>
        <v>#N/A</v>
      </c>
      <c r="V34" s="705" t="s">
        <v>14</v>
      </c>
      <c r="W34" s="706" t="e">
        <f t="shared" si="12"/>
        <v>#N/A</v>
      </c>
      <c r="X34" s="1355"/>
      <c r="Y34" s="372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3"/>
      <c r="Q35" s="1352" t="str">
        <f t="shared" ref="Q35:Q40" si="14">B35</f>
        <v>宗地形状</v>
      </c>
      <c r="R35" s="705" t="s">
        <v>14</v>
      </c>
      <c r="S35" s="706">
        <f t="shared" si="10"/>
        <v>100</v>
      </c>
      <c r="T35" s="705" t="s">
        <v>14</v>
      </c>
      <c r="U35" s="706">
        <f t="shared" si="11"/>
        <v>100</v>
      </c>
      <c r="V35" s="705" t="s">
        <v>14</v>
      </c>
      <c r="W35" s="706">
        <f t="shared" si="12"/>
        <v>100</v>
      </c>
      <c r="X35" s="1355"/>
      <c r="Y35" s="372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3"/>
      <c r="Q36" s="1352" t="str">
        <f t="shared" si="14"/>
        <v>宗地开发程度</v>
      </c>
      <c r="R36" s="701" t="s">
        <v>14</v>
      </c>
      <c r="S36" s="702">
        <f t="shared" si="10"/>
        <v>100</v>
      </c>
      <c r="T36" s="701" t="s">
        <v>14</v>
      </c>
      <c r="U36" s="702">
        <f t="shared" si="11"/>
        <v>100</v>
      </c>
      <c r="V36" s="701" t="s">
        <v>14</v>
      </c>
      <c r="W36" s="702">
        <f t="shared" si="12"/>
        <v>100</v>
      </c>
      <c r="X36" s="703"/>
      <c r="Y36" s="372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3" t="s">
        <v>1696</v>
      </c>
      <c r="Q37" s="1352" t="str">
        <f t="shared" si="14"/>
        <v>工程地质条件</v>
      </c>
      <c r="R37" s="705" t="s">
        <v>14</v>
      </c>
      <c r="S37" s="706">
        <f t="shared" si="10"/>
        <v>100</v>
      </c>
      <c r="T37" s="705" t="s">
        <v>14</v>
      </c>
      <c r="U37" s="706">
        <f t="shared" si="11"/>
        <v>100</v>
      </c>
      <c r="V37" s="705" t="s">
        <v>14</v>
      </c>
      <c r="W37" s="706">
        <f t="shared" si="12"/>
        <v>100</v>
      </c>
      <c r="X37" s="1355"/>
      <c r="Y37" s="372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3"/>
      <c r="Q38" s="1352">
        <f t="shared" si="14"/>
        <v>111</v>
      </c>
      <c r="R38" s="705" t="s">
        <v>14</v>
      </c>
      <c r="S38" s="706">
        <f t="shared" si="10"/>
        <v>100</v>
      </c>
      <c r="T38" s="705" t="s">
        <v>14</v>
      </c>
      <c r="U38" s="706">
        <f t="shared" si="11"/>
        <v>100</v>
      </c>
      <c r="V38" s="705" t="s">
        <v>14</v>
      </c>
      <c r="W38" s="706">
        <f t="shared" si="12"/>
        <v>100</v>
      </c>
      <c r="X38" s="1355"/>
      <c r="Y38" s="372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3"/>
      <c r="Q39" s="1352">
        <f t="shared" si="14"/>
        <v>111</v>
      </c>
      <c r="R39" s="705" t="s">
        <v>14</v>
      </c>
      <c r="S39" s="706">
        <f t="shared" si="10"/>
        <v>100</v>
      </c>
      <c r="T39" s="705" t="s">
        <v>14</v>
      </c>
      <c r="U39" s="706">
        <f t="shared" si="11"/>
        <v>100</v>
      </c>
      <c r="V39" s="705" t="s">
        <v>14</v>
      </c>
      <c r="W39" s="706">
        <f t="shared" si="12"/>
        <v>100</v>
      </c>
      <c r="X39" s="1355"/>
      <c r="Y39" s="3723"/>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3"/>
      <c r="Q40" s="1352">
        <f t="shared" si="14"/>
        <v>111</v>
      </c>
      <c r="R40" s="708" t="s">
        <v>14</v>
      </c>
      <c r="S40" s="709">
        <f t="shared" si="10"/>
        <v>100</v>
      </c>
      <c r="T40" s="708" t="s">
        <v>14</v>
      </c>
      <c r="U40" s="709">
        <f t="shared" si="11"/>
        <v>100</v>
      </c>
      <c r="V40" s="708" t="s">
        <v>14</v>
      </c>
      <c r="W40" s="709">
        <f t="shared" si="12"/>
        <v>100</v>
      </c>
      <c r="X40" s="710"/>
      <c r="Y40" s="3723"/>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16" t="str">
        <f>A41</f>
        <v>成交单价</v>
      </c>
      <c r="Q41" s="3716"/>
      <c r="R41" s="3711">
        <f>E41</f>
        <v>0</v>
      </c>
      <c r="S41" s="3711"/>
      <c r="T41" s="3711">
        <f>G41</f>
        <v>0</v>
      </c>
      <c r="U41" s="3711"/>
      <c r="V41" s="3711">
        <f>I41</f>
        <v>0</v>
      </c>
      <c r="W41" s="3711"/>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6" t="str">
        <f>A42</f>
        <v>比较价值（元/平方米）</v>
      </c>
      <c r="Q42" s="3716"/>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13" t="str">
        <f>A43</f>
        <v>估价对象XX用房的比较价值（楼面单价，元/平方米）</v>
      </c>
      <c r="Q43" s="3714"/>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99"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6325.11</v>
      </c>
      <c r="F51" s="639" t="e">
        <f t="shared" ref="F51:F60" si="15">ROUND(B51*E51/10000,0)</f>
        <v>#DIV/0!</v>
      </c>
      <c r="G51" s="3698"/>
      <c r="H51" s="371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35325.379999999997</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2.4500000000000002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64"/>
      <c r="B4" s="3765"/>
      <c r="C4" s="3765"/>
      <c r="D4" s="3766"/>
      <c r="E4" s="3766"/>
      <c r="F4" s="3766"/>
      <c r="G4" s="3766"/>
      <c r="H4" s="3766"/>
      <c r="I4" s="3766"/>
      <c r="J4" s="37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2.4500000000000002</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3"/>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68" t="s">
        <v>3254</v>
      </c>
      <c r="B20" s="167" t="s">
        <v>1994</v>
      </c>
      <c r="C20" s="3325" t="e">
        <f>ROUND(IF(F21="与级别开发程度一致",0,(G21-E21)/C21),0)</f>
        <v>#DIV/0!</v>
      </c>
      <c r="D20" s="3341" t="s">
        <v>1998</v>
      </c>
      <c r="E20" s="3342"/>
      <c r="F20" s="3774" t="s">
        <v>1995</v>
      </c>
      <c r="G20" s="377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6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45696</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v>
      </c>
      <c r="E26" s="752">
        <f>ROUNDDOWN(G3,1)</f>
        <v>2.4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7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73"/>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0" t="s">
        <v>3294</v>
      </c>
      <c r="B103" s="3770"/>
      <c r="C103" s="3770"/>
      <c r="D103" s="3770"/>
      <c r="E103" s="3770"/>
      <c r="F103" s="3770"/>
      <c r="G103" s="3770"/>
      <c r="H103" s="3770"/>
      <c r="I103" s="3770"/>
      <c r="J103" s="3770"/>
      <c r="K103" s="3390"/>
      <c r="L103" s="3390"/>
      <c r="M103" s="3390"/>
      <c r="N103" s="3390"/>
    </row>
    <row r="104" spans="1:14">
      <c r="A104" s="3771" t="s">
        <v>3295</v>
      </c>
      <c r="B104" s="3771" t="s">
        <v>3296</v>
      </c>
      <c r="C104" s="3391" t="s">
        <v>3297</v>
      </c>
      <c r="D104" s="3392"/>
      <c r="E104" s="3392"/>
      <c r="F104" s="3392"/>
      <c r="G104" s="3392"/>
      <c r="H104" s="3392"/>
      <c r="I104" s="3392"/>
      <c r="J104" s="3393"/>
      <c r="K104" s="3394"/>
      <c r="L104" s="3394"/>
      <c r="M104" s="3394"/>
      <c r="N104" s="3394"/>
    </row>
    <row r="105" spans="1:14">
      <c r="A105" s="3771"/>
      <c r="B105" s="3771"/>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7"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8"/>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0" t="s">
        <v>3311</v>
      </c>
      <c r="B113" s="3760"/>
      <c r="C113" s="3760"/>
      <c r="D113" s="3760"/>
      <c r="E113" s="3760"/>
      <c r="F113" s="3760"/>
      <c r="G113" s="3760"/>
      <c r="H113" s="3760"/>
      <c r="I113" s="3760"/>
      <c r="J113" s="376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2.4500000000000002</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0.96989999999999998</v>
      </c>
      <c r="C118" s="3388">
        <f>B118</f>
        <v>0.96989999999999998</v>
      </c>
      <c r="D118" s="3388">
        <f>ROUND(0.949-0.014*B116,4)</f>
        <v>0.91469999999999996</v>
      </c>
      <c r="E118" s="3388">
        <f>D118</f>
        <v>0.91469999999999996</v>
      </c>
      <c r="F118" s="3388">
        <f>E118</f>
        <v>0.91469999999999996</v>
      </c>
      <c r="G118" s="3388">
        <f>F118</f>
        <v>0.91469999999999996</v>
      </c>
      <c r="H118" s="3388">
        <f>G118</f>
        <v>0.91469999999999996</v>
      </c>
      <c r="I118" s="3388">
        <f>ROUND(0.8486-0.018*B116,4)</f>
        <v>0.80449999999999999</v>
      </c>
      <c r="J118" s="3388">
        <f t="shared" ref="J118:M122" si="35">I118</f>
        <v>0.80449999999999999</v>
      </c>
      <c r="K118" s="3388">
        <f t="shared" si="35"/>
        <v>0.80449999999999999</v>
      </c>
      <c r="L118" s="3388">
        <f t="shared" si="35"/>
        <v>0.80449999999999999</v>
      </c>
      <c r="M118" s="3411">
        <f t="shared" si="35"/>
        <v>0.80449999999999999</v>
      </c>
      <c r="N118" s="3398"/>
    </row>
    <row r="119" spans="1:14">
      <c r="A119" s="3410" t="s">
        <v>3329</v>
      </c>
      <c r="B119" s="3388">
        <f>ROUND(0.993-0.0112*B116,4)</f>
        <v>0.96560000000000001</v>
      </c>
      <c r="C119" s="3388">
        <f>B119</f>
        <v>0.96560000000000001</v>
      </c>
      <c r="D119" s="3388">
        <f>ROUND(0.9415-0.0142*B116,4)</f>
        <v>0.90669999999999995</v>
      </c>
      <c r="E119" s="3388">
        <f t="shared" ref="E119:H120" si="36">D119</f>
        <v>0.90669999999999995</v>
      </c>
      <c r="F119" s="3388">
        <f t="shared" si="36"/>
        <v>0.90669999999999995</v>
      </c>
      <c r="G119" s="3388">
        <f t="shared" si="36"/>
        <v>0.90669999999999995</v>
      </c>
      <c r="H119" s="3388">
        <f t="shared" si="36"/>
        <v>0.90669999999999995</v>
      </c>
      <c r="I119" s="3388">
        <f>ROUND(0.838-0.0182*B116,4)</f>
        <v>0.79339999999999999</v>
      </c>
      <c r="J119" s="3388">
        <f t="shared" si="35"/>
        <v>0.79339999999999999</v>
      </c>
      <c r="K119" s="3388">
        <f t="shared" si="35"/>
        <v>0.79339999999999999</v>
      </c>
      <c r="L119" s="3388">
        <f t="shared" si="35"/>
        <v>0.79339999999999999</v>
      </c>
      <c r="M119" s="3411">
        <f t="shared" si="35"/>
        <v>0.79339999999999999</v>
      </c>
      <c r="N119" s="3398"/>
    </row>
    <row r="120" spans="1:14">
      <c r="A120" s="3410" t="s">
        <v>3330</v>
      </c>
      <c r="B120" s="3388">
        <f>ROUND(0.9448-0.0115*B116,4)</f>
        <v>0.91659999999999997</v>
      </c>
      <c r="C120" s="3388">
        <f>B120</f>
        <v>0.91659999999999997</v>
      </c>
      <c r="D120" s="3388">
        <f>ROUND(0.937-0.0145*B116,4)</f>
        <v>0.90149999999999997</v>
      </c>
      <c r="E120" s="3388">
        <f t="shared" si="36"/>
        <v>0.90149999999999997</v>
      </c>
      <c r="F120" s="3388">
        <f t="shared" si="36"/>
        <v>0.90149999999999997</v>
      </c>
      <c r="G120" s="3388">
        <f t="shared" si="36"/>
        <v>0.90149999999999997</v>
      </c>
      <c r="H120" s="3388">
        <f t="shared" si="36"/>
        <v>0.90149999999999997</v>
      </c>
      <c r="I120" s="3388">
        <f>ROUND(0.7965-0.0185*B116,4)</f>
        <v>0.75119999999999998</v>
      </c>
      <c r="J120" s="3388">
        <f t="shared" si="35"/>
        <v>0.75119999999999998</v>
      </c>
      <c r="K120" s="3388">
        <f t="shared" si="35"/>
        <v>0.75119999999999998</v>
      </c>
      <c r="L120" s="3388">
        <f t="shared" si="35"/>
        <v>0.75119999999999998</v>
      </c>
      <c r="M120" s="3411">
        <f t="shared" si="35"/>
        <v>0.75119999999999998</v>
      </c>
      <c r="N120" s="3398"/>
    </row>
    <row r="121" spans="1:14" ht="13.8" thickBot="1">
      <c r="A121" s="3412" t="s">
        <v>3331</v>
      </c>
      <c r="B121" s="3413">
        <f>ROUND(0.7836-0.012*B116,4)</f>
        <v>0.75419999999999998</v>
      </c>
      <c r="C121" s="3413">
        <f>B121</f>
        <v>0.75419999999999998</v>
      </c>
      <c r="D121" s="3413">
        <f>ROUND(0.753-0.015*B116,4)</f>
        <v>0.71630000000000005</v>
      </c>
      <c r="E121" s="3413">
        <f>D121</f>
        <v>0.71630000000000005</v>
      </c>
      <c r="F121" s="3413">
        <f>E121</f>
        <v>0.71630000000000005</v>
      </c>
      <c r="G121" s="3413">
        <f>ROUND(0.6612-0.018*B116,4)</f>
        <v>0.61709999999999998</v>
      </c>
      <c r="H121" s="3413">
        <f>G121</f>
        <v>0.61709999999999998</v>
      </c>
      <c r="I121" s="3413">
        <f>ROUND(0.5905-0.019*B116,4)</f>
        <v>0.54400000000000004</v>
      </c>
      <c r="J121" s="3413">
        <f t="shared" si="35"/>
        <v>0.54400000000000004</v>
      </c>
      <c r="K121" s="3413">
        <f t="shared" si="35"/>
        <v>0.54400000000000004</v>
      </c>
      <c r="L121" s="3413">
        <f t="shared" si="35"/>
        <v>0.54400000000000004</v>
      </c>
      <c r="M121" s="3414">
        <f t="shared" si="35"/>
        <v>0.54400000000000004</v>
      </c>
      <c r="N121" s="3398"/>
    </row>
    <row r="122" spans="1:14">
      <c r="A122" s="3415" t="s">
        <v>2612</v>
      </c>
      <c r="B122" s="3388">
        <f>ROUND(0.9404-0.0106*B116,4)</f>
        <v>0.91439999999999999</v>
      </c>
      <c r="C122" s="3388">
        <f>B122</f>
        <v>0.91439999999999999</v>
      </c>
      <c r="D122" s="3388">
        <f>ROUND(0.8955-0.0135*B116,4)</f>
        <v>0.86240000000000006</v>
      </c>
      <c r="E122" s="3388">
        <f t="shared" ref="E122:H122" si="37">D122</f>
        <v>0.86240000000000006</v>
      </c>
      <c r="F122" s="3388">
        <f t="shared" si="37"/>
        <v>0.86240000000000006</v>
      </c>
      <c r="G122" s="3388">
        <f t="shared" si="37"/>
        <v>0.86240000000000006</v>
      </c>
      <c r="H122" s="3388">
        <f t="shared" si="37"/>
        <v>0.86240000000000006</v>
      </c>
      <c r="I122" s="3388">
        <f>ROUND(0.7632-0.0166*B116,4)</f>
        <v>0.72250000000000003</v>
      </c>
      <c r="J122" s="3388">
        <f t="shared" si="35"/>
        <v>0.72250000000000003</v>
      </c>
      <c r="K122" s="3388">
        <f t="shared" si="35"/>
        <v>0.72250000000000003</v>
      </c>
      <c r="L122" s="3388">
        <f t="shared" si="35"/>
        <v>0.72250000000000003</v>
      </c>
      <c r="M122" s="3411">
        <f t="shared" si="35"/>
        <v>0.72250000000000003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3" t="s">
        <v>2607</v>
      </c>
      <c r="B20" s="3776" t="s">
        <v>2628</v>
      </c>
      <c r="C20" s="3103" t="s">
        <v>2439</v>
      </c>
      <c r="D20" s="3104"/>
      <c r="E20" s="3105">
        <v>1</v>
      </c>
      <c r="F20" s="3106" t="s">
        <v>2440</v>
      </c>
      <c r="G20" s="3106"/>
    </row>
    <row r="21" spans="1:13" ht="19.5" customHeight="1">
      <c r="A21" s="3784"/>
      <c r="B21" s="3777"/>
      <c r="C21" s="3107" t="s">
        <v>2441</v>
      </c>
      <c r="D21" s="3108"/>
      <c r="E21" s="3109">
        <v>1</v>
      </c>
      <c r="F21" s="3106" t="s">
        <v>2442</v>
      </c>
      <c r="G21" s="3106"/>
    </row>
    <row r="22" spans="1:13" ht="19.5" customHeight="1">
      <c r="A22" s="3784"/>
      <c r="B22" s="3777"/>
      <c r="C22" s="3107" t="s">
        <v>2443</v>
      </c>
      <c r="D22" s="3108"/>
      <c r="E22" s="3109">
        <v>0.9</v>
      </c>
      <c r="F22" s="3106" t="s">
        <v>2444</v>
      </c>
      <c r="G22" s="3106"/>
    </row>
    <row r="23" spans="1:13" ht="19.5" customHeight="1">
      <c r="A23" s="3784"/>
      <c r="B23" s="3777"/>
      <c r="C23" s="3107" t="s">
        <v>2445</v>
      </c>
      <c r="D23" s="3108"/>
      <c r="E23" s="3109">
        <v>0.9</v>
      </c>
      <c r="F23" s="3106" t="s">
        <v>2446</v>
      </c>
      <c r="G23" s="3106"/>
    </row>
    <row r="24" spans="1:13" ht="19.5" customHeight="1">
      <c r="A24" s="3784"/>
      <c r="B24" s="3777"/>
      <c r="C24" s="3107" t="s">
        <v>2447</v>
      </c>
      <c r="D24" s="3108"/>
      <c r="E24" s="3109">
        <v>0.8</v>
      </c>
      <c r="F24" s="3106" t="s">
        <v>2448</v>
      </c>
      <c r="G24" s="3106"/>
    </row>
    <row r="25" spans="1:13" ht="19.5" customHeight="1" thickBot="1">
      <c r="A25" s="3785"/>
      <c r="B25" s="3778"/>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9" t="s">
        <v>2631</v>
      </c>
      <c r="B27" s="3776" t="s">
        <v>2612</v>
      </c>
      <c r="C27" s="3103" t="s">
        <v>2452</v>
      </c>
      <c r="D27" s="3104"/>
      <c r="E27" s="3105">
        <v>1</v>
      </c>
      <c r="F27" s="3106" t="s">
        <v>2453</v>
      </c>
      <c r="G27" s="3106"/>
    </row>
    <row r="28" spans="1:13" ht="19.5" customHeight="1">
      <c r="A28" s="3780"/>
      <c r="B28" s="3777"/>
      <c r="C28" s="3107" t="s">
        <v>2454</v>
      </c>
      <c r="D28" s="3108"/>
      <c r="E28" s="3109">
        <v>1</v>
      </c>
      <c r="F28" s="3106" t="s">
        <v>2455</v>
      </c>
      <c r="G28" s="3106"/>
    </row>
    <row r="29" spans="1:13" ht="19.5" customHeight="1">
      <c r="A29" s="3780"/>
      <c r="B29" s="3777"/>
      <c r="C29" s="3107" t="s">
        <v>2456</v>
      </c>
      <c r="D29" s="3108"/>
      <c r="E29" s="3109">
        <v>0.8</v>
      </c>
      <c r="F29" s="3106" t="s">
        <v>2457</v>
      </c>
      <c r="G29" s="3106"/>
    </row>
    <row r="30" spans="1:13" ht="19.5" customHeight="1">
      <c r="A30" s="3780"/>
      <c r="B30" s="3777"/>
      <c r="C30" s="3107" t="s">
        <v>2458</v>
      </c>
      <c r="D30" s="3108"/>
      <c r="E30" s="3109">
        <v>0.8</v>
      </c>
      <c r="F30" s="3106" t="s">
        <v>2459</v>
      </c>
      <c r="G30" s="3106"/>
    </row>
    <row r="31" spans="1:13" ht="19.5" customHeight="1">
      <c r="A31" s="3780"/>
      <c r="B31" s="3777"/>
      <c r="C31" s="3107" t="s">
        <v>2460</v>
      </c>
      <c r="D31" s="3108"/>
      <c r="E31" s="3109">
        <v>0.8</v>
      </c>
      <c r="F31" s="3106" t="s">
        <v>2461</v>
      </c>
      <c r="G31" s="3106"/>
    </row>
    <row r="32" spans="1:13" ht="19.5" customHeight="1">
      <c r="A32" s="3780"/>
      <c r="B32" s="3777"/>
      <c r="C32" s="3107" t="s">
        <v>2462</v>
      </c>
      <c r="D32" s="3108"/>
      <c r="E32" s="3109">
        <v>0.7</v>
      </c>
      <c r="F32" s="3106" t="s">
        <v>2463</v>
      </c>
      <c r="G32" s="3106"/>
    </row>
    <row r="33" spans="1:7" ht="19.5" customHeight="1">
      <c r="A33" s="3780"/>
      <c r="B33" s="3777"/>
      <c r="C33" s="3107" t="s">
        <v>2464</v>
      </c>
      <c r="D33" s="3108"/>
      <c r="E33" s="3109">
        <v>0.8</v>
      </c>
      <c r="F33" s="3106" t="s">
        <v>2465</v>
      </c>
      <c r="G33" s="3106"/>
    </row>
    <row r="34" spans="1:7" ht="19.5" customHeight="1">
      <c r="A34" s="3780"/>
      <c r="B34" s="3777"/>
      <c r="C34" s="3107" t="s">
        <v>2466</v>
      </c>
      <c r="D34" s="3108"/>
      <c r="E34" s="3109">
        <v>0.6</v>
      </c>
      <c r="F34" s="3106" t="s">
        <v>2467</v>
      </c>
      <c r="G34" s="3106"/>
    </row>
    <row r="35" spans="1:7" ht="19.5" customHeight="1">
      <c r="A35" s="3780"/>
      <c r="B35" s="3777"/>
      <c r="C35" s="3107" t="s">
        <v>2468</v>
      </c>
      <c r="D35" s="3108"/>
      <c r="E35" s="3109">
        <v>0.2</v>
      </c>
      <c r="F35" s="3106" t="s">
        <v>2469</v>
      </c>
      <c r="G35" s="3106"/>
    </row>
    <row r="36" spans="1:7" ht="19.5" customHeight="1">
      <c r="A36" s="3780"/>
      <c r="B36" s="3777"/>
      <c r="C36" s="3107" t="s">
        <v>2470</v>
      </c>
      <c r="D36" s="3108"/>
      <c r="E36" s="3109">
        <v>0.2</v>
      </c>
      <c r="F36" s="3106" t="s">
        <v>2471</v>
      </c>
      <c r="G36" s="3106"/>
    </row>
    <row r="37" spans="1:7" ht="19.5" customHeight="1">
      <c r="A37" s="3780"/>
      <c r="B37" s="3782" t="s">
        <v>2632</v>
      </c>
      <c r="C37" s="3107" t="s">
        <v>2472</v>
      </c>
      <c r="D37" s="3108"/>
      <c r="E37" s="3109">
        <v>0.6</v>
      </c>
      <c r="F37" s="3106" t="s">
        <v>2473</v>
      </c>
      <c r="G37" s="3106"/>
    </row>
    <row r="38" spans="1:7" ht="19.5" customHeight="1">
      <c r="A38" s="3780"/>
      <c r="B38" s="3777"/>
      <c r="C38" s="3107" t="s">
        <v>2474</v>
      </c>
      <c r="D38" s="3108"/>
      <c r="E38" s="3109">
        <v>0.6</v>
      </c>
      <c r="F38" s="3106" t="s">
        <v>2475</v>
      </c>
      <c r="G38" s="3106"/>
    </row>
    <row r="39" spans="1:7" ht="19.5" customHeight="1" thickBot="1">
      <c r="A39" s="3781"/>
      <c r="B39" s="3778"/>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3" t="s">
        <v>2610</v>
      </c>
      <c r="B41" s="3776" t="s">
        <v>2634</v>
      </c>
      <c r="C41" s="3103" t="s">
        <v>2479</v>
      </c>
      <c r="D41" s="3104"/>
      <c r="E41" s="3105">
        <v>1</v>
      </c>
      <c r="F41" s="3106" t="s">
        <v>2480</v>
      </c>
      <c r="G41" s="3106"/>
    </row>
    <row r="42" spans="1:7" ht="19.5" customHeight="1">
      <c r="A42" s="3784"/>
      <c r="B42" s="3777"/>
      <c r="C42" s="3107" t="s">
        <v>2481</v>
      </c>
      <c r="D42" s="3108"/>
      <c r="E42" s="3109">
        <v>1</v>
      </c>
      <c r="F42" s="3106" t="s">
        <v>2482</v>
      </c>
      <c r="G42" s="3106"/>
    </row>
    <row r="43" spans="1:7" ht="19.5" customHeight="1">
      <c r="A43" s="3784"/>
      <c r="B43" s="3786"/>
      <c r="C43" s="3107" t="s">
        <v>2483</v>
      </c>
      <c r="D43" s="3108"/>
      <c r="E43" s="3109">
        <v>1.5</v>
      </c>
      <c r="F43" s="3106" t="s">
        <v>2484</v>
      </c>
      <c r="G43" s="3106"/>
    </row>
    <row r="44" spans="1:7" ht="19.5" customHeight="1">
      <c r="A44" s="3784"/>
      <c r="B44" s="3118" t="s">
        <v>2635</v>
      </c>
      <c r="C44" s="3107" t="s">
        <v>2636</v>
      </c>
      <c r="D44" s="3108"/>
      <c r="E44" s="3109">
        <v>2</v>
      </c>
      <c r="F44" s="3106" t="s">
        <v>2485</v>
      </c>
      <c r="G44" s="3106"/>
    </row>
    <row r="45" spans="1:7" ht="19.5" customHeight="1">
      <c r="A45" s="3784"/>
      <c r="B45" s="3782" t="s">
        <v>2637</v>
      </c>
      <c r="C45" s="3107" t="s">
        <v>2486</v>
      </c>
      <c r="D45" s="3108"/>
      <c r="E45" s="3109">
        <v>1</v>
      </c>
      <c r="F45" s="3106" t="s">
        <v>2487</v>
      </c>
      <c r="G45" s="3106"/>
    </row>
    <row r="46" spans="1:7" ht="19.5" customHeight="1">
      <c r="A46" s="3784"/>
      <c r="B46" s="3777"/>
      <c r="C46" s="3107" t="s">
        <v>2488</v>
      </c>
      <c r="D46" s="3108"/>
      <c r="E46" s="3109">
        <v>1</v>
      </c>
      <c r="F46" s="3106" t="s">
        <v>2489</v>
      </c>
      <c r="G46" s="3106"/>
    </row>
    <row r="47" spans="1:7" ht="19.5" customHeight="1">
      <c r="A47" s="3784"/>
      <c r="B47" s="3777"/>
      <c r="C47" s="3107" t="s">
        <v>2490</v>
      </c>
      <c r="D47" s="3108"/>
      <c r="E47" s="3109">
        <v>1</v>
      </c>
      <c r="F47" s="3106" t="s">
        <v>2491</v>
      </c>
      <c r="G47" s="3106"/>
    </row>
    <row r="48" spans="1:7" ht="19.5" customHeight="1">
      <c r="A48" s="3784"/>
      <c r="B48" s="3777"/>
      <c r="C48" s="3107" t="s">
        <v>2492</v>
      </c>
      <c r="D48" s="3108"/>
      <c r="E48" s="3109">
        <v>1</v>
      </c>
      <c r="F48" s="3106" t="s">
        <v>2493</v>
      </c>
      <c r="G48" s="3106"/>
    </row>
    <row r="49" spans="1:7" ht="19.5" customHeight="1">
      <c r="A49" s="3784"/>
      <c r="B49" s="3777"/>
      <c r="C49" s="3107" t="s">
        <v>2494</v>
      </c>
      <c r="D49" s="3108"/>
      <c r="E49" s="3109">
        <v>1</v>
      </c>
      <c r="F49" s="3106" t="s">
        <v>2495</v>
      </c>
      <c r="G49" s="3106"/>
    </row>
    <row r="50" spans="1:7" ht="19.5" customHeight="1">
      <c r="A50" s="3784"/>
      <c r="B50" s="3777"/>
      <c r="C50" s="3107" t="s">
        <v>2496</v>
      </c>
      <c r="D50" s="3108"/>
      <c r="E50" s="3109">
        <v>1</v>
      </c>
      <c r="F50" s="3106" t="s">
        <v>2497</v>
      </c>
      <c r="G50" s="3106"/>
    </row>
    <row r="51" spans="1:7" ht="19.5" customHeight="1" thickBot="1">
      <c r="A51" s="3785"/>
      <c r="B51" s="3778"/>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82" t="s">
        <v>2651</v>
      </c>
      <c r="C73" s="3092" t="s">
        <v>2652</v>
      </c>
      <c r="D73" s="3092" t="s">
        <v>2653</v>
      </c>
      <c r="E73" s="3118">
        <v>0.2</v>
      </c>
      <c r="F73" s="3118">
        <v>25</v>
      </c>
    </row>
    <row r="74" spans="1:7" ht="24">
      <c r="A74" s="3118">
        <v>2</v>
      </c>
      <c r="B74" s="3777"/>
      <c r="C74" s="3092" t="s">
        <v>2654</v>
      </c>
      <c r="D74" s="3092" t="s">
        <v>2655</v>
      </c>
      <c r="E74" s="3118">
        <v>0.2</v>
      </c>
      <c r="F74" s="3118">
        <v>25</v>
      </c>
    </row>
    <row r="75" spans="1:7" ht="24">
      <c r="A75" s="3118">
        <v>3</v>
      </c>
      <c r="B75" s="3777"/>
      <c r="C75" s="3092" t="s">
        <v>2656</v>
      </c>
      <c r="D75" s="3092" t="s">
        <v>2657</v>
      </c>
      <c r="E75" s="3118">
        <v>0.2</v>
      </c>
      <c r="F75" s="3118">
        <v>25</v>
      </c>
    </row>
    <row r="76" spans="1:7" ht="14.4">
      <c r="A76" s="3118">
        <v>4</v>
      </c>
      <c r="B76" s="3777"/>
      <c r="C76" s="3092" t="s">
        <v>2658</v>
      </c>
      <c r="D76" s="3092" t="s">
        <v>2659</v>
      </c>
      <c r="E76" s="3118">
        <v>0.15</v>
      </c>
      <c r="F76" s="3118">
        <v>20</v>
      </c>
    </row>
    <row r="77" spans="1:7" ht="24">
      <c r="A77" s="3118">
        <v>5</v>
      </c>
      <c r="B77" s="3777"/>
      <c r="C77" s="3092" t="s">
        <v>2660</v>
      </c>
      <c r="D77" s="3092" t="s">
        <v>2661</v>
      </c>
      <c r="E77" s="3118">
        <v>0.15</v>
      </c>
      <c r="F77" s="3118">
        <v>20</v>
      </c>
    </row>
    <row r="78" spans="1:7" ht="24">
      <c r="A78" s="3118">
        <v>6</v>
      </c>
      <c r="B78" s="3777"/>
      <c r="C78" s="3092" t="s">
        <v>2662</v>
      </c>
      <c r="D78" s="3092" t="s">
        <v>2663</v>
      </c>
      <c r="E78" s="3118">
        <v>0.15</v>
      </c>
      <c r="F78" s="3118">
        <v>20</v>
      </c>
    </row>
    <row r="79" spans="1:7" ht="24">
      <c r="A79" s="3118">
        <v>7</v>
      </c>
      <c r="B79" s="3777"/>
      <c r="C79" s="3092" t="s">
        <v>2664</v>
      </c>
      <c r="D79" s="3092" t="s">
        <v>2665</v>
      </c>
      <c r="E79" s="3118">
        <v>0.15</v>
      </c>
      <c r="F79" s="3118">
        <v>20</v>
      </c>
    </row>
    <row r="80" spans="1:7" ht="24">
      <c r="A80" s="3118">
        <v>8</v>
      </c>
      <c r="B80" s="3777"/>
      <c r="C80" s="3092" t="s">
        <v>2666</v>
      </c>
      <c r="D80" s="3092" t="s">
        <v>2667</v>
      </c>
      <c r="E80" s="3118">
        <v>0.1</v>
      </c>
      <c r="F80" s="3118">
        <v>15</v>
      </c>
    </row>
    <row r="81" spans="1:6" ht="24">
      <c r="A81" s="3118">
        <v>9</v>
      </c>
      <c r="B81" s="3777"/>
      <c r="C81" s="3092" t="s">
        <v>2668</v>
      </c>
      <c r="D81" s="3092" t="s">
        <v>2669</v>
      </c>
      <c r="E81" s="3118">
        <v>0.1</v>
      </c>
      <c r="F81" s="3118">
        <v>15</v>
      </c>
    </row>
    <row r="82" spans="1:6" ht="24">
      <c r="A82" s="3118">
        <v>10</v>
      </c>
      <c r="B82" s="3777"/>
      <c r="C82" s="3092" t="s">
        <v>2670</v>
      </c>
      <c r="D82" s="3092" t="s">
        <v>2671</v>
      </c>
      <c r="E82" s="3118">
        <v>0.1</v>
      </c>
      <c r="F82" s="3118">
        <v>15</v>
      </c>
    </row>
    <row r="83" spans="1:6" ht="24">
      <c r="A83" s="3118">
        <v>11</v>
      </c>
      <c r="B83" s="3777"/>
      <c r="C83" s="3092" t="s">
        <v>2672</v>
      </c>
      <c r="D83" s="3092" t="s">
        <v>2673</v>
      </c>
      <c r="E83" s="3118">
        <v>0.1</v>
      </c>
      <c r="F83" s="3118">
        <v>15</v>
      </c>
    </row>
    <row r="84" spans="1:6" ht="24">
      <c r="A84" s="3118">
        <v>12</v>
      </c>
      <c r="B84" s="3777"/>
      <c r="C84" s="3092" t="s">
        <v>2674</v>
      </c>
      <c r="D84" s="3092" t="s">
        <v>2675</v>
      </c>
      <c r="E84" s="3118">
        <v>0.1</v>
      </c>
      <c r="F84" s="3118">
        <v>15</v>
      </c>
    </row>
    <row r="85" spans="1:6" ht="24">
      <c r="A85" s="3118">
        <v>13</v>
      </c>
      <c r="B85" s="3777"/>
      <c r="C85" s="3092" t="s">
        <v>2676</v>
      </c>
      <c r="D85" s="3092" t="s">
        <v>2677</v>
      </c>
      <c r="E85" s="3118">
        <v>0.1</v>
      </c>
      <c r="F85" s="3118">
        <v>15</v>
      </c>
    </row>
    <row r="86" spans="1:6" ht="24">
      <c r="A86" s="3118">
        <v>14</v>
      </c>
      <c r="B86" s="3777"/>
      <c r="C86" s="3092" t="s">
        <v>2678</v>
      </c>
      <c r="D86" s="3092" t="s">
        <v>2679</v>
      </c>
      <c r="E86" s="3118">
        <v>0.1</v>
      </c>
      <c r="F86" s="3118">
        <v>15</v>
      </c>
    </row>
    <row r="87" spans="1:6" ht="24">
      <c r="A87" s="3118">
        <v>15</v>
      </c>
      <c r="B87" s="3777"/>
      <c r="C87" s="3092" t="s">
        <v>2680</v>
      </c>
      <c r="D87" s="3092" t="s">
        <v>2681</v>
      </c>
      <c r="E87" s="3118">
        <v>0.1</v>
      </c>
      <c r="F87" s="3118">
        <v>15</v>
      </c>
    </row>
    <row r="88" spans="1:6" ht="24">
      <c r="A88" s="3118">
        <v>16</v>
      </c>
      <c r="B88" s="3777"/>
      <c r="C88" s="3092" t="s">
        <v>2682</v>
      </c>
      <c r="D88" s="3092" t="s">
        <v>2683</v>
      </c>
      <c r="E88" s="3118">
        <v>0.1</v>
      </c>
      <c r="F88" s="3118">
        <v>15</v>
      </c>
    </row>
    <row r="89" spans="1:6" ht="24">
      <c r="A89" s="3118">
        <v>17</v>
      </c>
      <c r="B89" s="3786"/>
      <c r="C89" s="3092" t="s">
        <v>2684</v>
      </c>
      <c r="D89" s="3092" t="s">
        <v>2685</v>
      </c>
      <c r="E89" s="3118">
        <v>0.1</v>
      </c>
      <c r="F89" s="3118">
        <v>15</v>
      </c>
    </row>
    <row r="90" spans="1:6" ht="14.4">
      <c r="A90" s="3118">
        <v>18</v>
      </c>
      <c r="B90" s="3782" t="s">
        <v>2686</v>
      </c>
      <c r="C90" s="3092" t="s">
        <v>2687</v>
      </c>
      <c r="D90" s="3092" t="s">
        <v>2688</v>
      </c>
      <c r="E90" s="3118">
        <v>0.2</v>
      </c>
      <c r="F90" s="3118">
        <v>25</v>
      </c>
    </row>
    <row r="91" spans="1:6" ht="24">
      <c r="A91" s="3118">
        <v>19</v>
      </c>
      <c r="B91" s="3777"/>
      <c r="C91" s="3092" t="s">
        <v>2689</v>
      </c>
      <c r="D91" s="3092" t="s">
        <v>2690</v>
      </c>
      <c r="E91" s="3118">
        <v>0.2</v>
      </c>
      <c r="F91" s="3118">
        <v>25</v>
      </c>
    </row>
    <row r="92" spans="1:6" ht="14.4">
      <c r="A92" s="3118">
        <v>20</v>
      </c>
      <c r="B92" s="3777"/>
      <c r="C92" s="3092" t="s">
        <v>2691</v>
      </c>
      <c r="D92" s="3092" t="s">
        <v>2692</v>
      </c>
      <c r="E92" s="3118">
        <v>0.15</v>
      </c>
      <c r="F92" s="3118">
        <v>20</v>
      </c>
    </row>
    <row r="93" spans="1:6" ht="24">
      <c r="A93" s="3118">
        <v>21</v>
      </c>
      <c r="B93" s="3777"/>
      <c r="C93" s="3092" t="s">
        <v>2693</v>
      </c>
      <c r="D93" s="3092" t="s">
        <v>2694</v>
      </c>
      <c r="E93" s="3118">
        <v>0.15</v>
      </c>
      <c r="F93" s="3118">
        <v>20</v>
      </c>
    </row>
    <row r="94" spans="1:6" ht="24">
      <c r="A94" s="3118">
        <v>22</v>
      </c>
      <c r="B94" s="3777"/>
      <c r="C94" s="3092" t="s">
        <v>2695</v>
      </c>
      <c r="D94" s="3092" t="s">
        <v>2696</v>
      </c>
      <c r="E94" s="3118">
        <v>0.15</v>
      </c>
      <c r="F94" s="3118">
        <v>20</v>
      </c>
    </row>
    <row r="95" spans="1:6" ht="36">
      <c r="A95" s="3118">
        <v>23</v>
      </c>
      <c r="B95" s="3777"/>
      <c r="C95" s="3092" t="s">
        <v>2697</v>
      </c>
      <c r="D95" s="3092" t="s">
        <v>2698</v>
      </c>
      <c r="E95" s="3118">
        <v>0.15</v>
      </c>
      <c r="F95" s="3118">
        <v>20</v>
      </c>
    </row>
    <row r="96" spans="1:6" ht="24">
      <c r="A96" s="3118">
        <v>24</v>
      </c>
      <c r="B96" s="3777"/>
      <c r="C96" s="3092" t="s">
        <v>2699</v>
      </c>
      <c r="D96" s="3092" t="s">
        <v>2700</v>
      </c>
      <c r="E96" s="3118">
        <v>0.1</v>
      </c>
      <c r="F96" s="3118">
        <v>15</v>
      </c>
    </row>
    <row r="97" spans="1:6" ht="24">
      <c r="A97" s="3118">
        <v>25</v>
      </c>
      <c r="B97" s="3777"/>
      <c r="C97" s="3092" t="s">
        <v>2701</v>
      </c>
      <c r="D97" s="3092" t="s">
        <v>2702</v>
      </c>
      <c r="E97" s="3118">
        <v>0.1</v>
      </c>
      <c r="F97" s="3118">
        <v>15</v>
      </c>
    </row>
    <row r="98" spans="1:6" ht="24">
      <c r="A98" s="3118">
        <v>26</v>
      </c>
      <c r="B98" s="3777"/>
      <c r="C98" s="3092" t="s">
        <v>2703</v>
      </c>
      <c r="D98" s="3092" t="s">
        <v>2704</v>
      </c>
      <c r="E98" s="3118">
        <v>0.1</v>
      </c>
      <c r="F98" s="3118">
        <v>15</v>
      </c>
    </row>
    <row r="99" spans="1:6" ht="24">
      <c r="A99" s="3118">
        <v>27</v>
      </c>
      <c r="B99" s="3777"/>
      <c r="C99" s="3092" t="s">
        <v>2705</v>
      </c>
      <c r="D99" s="3092" t="s">
        <v>2706</v>
      </c>
      <c r="E99" s="3118">
        <v>0.1</v>
      </c>
      <c r="F99" s="3118">
        <v>15</v>
      </c>
    </row>
    <row r="100" spans="1:6" ht="24">
      <c r="A100" s="3118">
        <v>28</v>
      </c>
      <c r="B100" s="3777"/>
      <c r="C100" s="3092" t="s">
        <v>2707</v>
      </c>
      <c r="D100" s="3092" t="s">
        <v>2708</v>
      </c>
      <c r="E100" s="3118">
        <v>0.1</v>
      </c>
      <c r="F100" s="3118">
        <v>15</v>
      </c>
    </row>
    <row r="101" spans="1:6" ht="24">
      <c r="A101" s="3118">
        <v>29</v>
      </c>
      <c r="B101" s="3777"/>
      <c r="C101" s="3092" t="s">
        <v>2709</v>
      </c>
      <c r="D101" s="3092" t="s">
        <v>2710</v>
      </c>
      <c r="E101" s="3118">
        <v>0.1</v>
      </c>
      <c r="F101" s="3118">
        <v>15</v>
      </c>
    </row>
    <row r="102" spans="1:6" ht="24">
      <c r="A102" s="3118">
        <v>30</v>
      </c>
      <c r="B102" s="3777"/>
      <c r="C102" s="3092" t="s">
        <v>2711</v>
      </c>
      <c r="D102" s="3092" t="s">
        <v>2712</v>
      </c>
      <c r="E102" s="3118">
        <v>0.1</v>
      </c>
      <c r="F102" s="3118">
        <v>15</v>
      </c>
    </row>
    <row r="103" spans="1:6" ht="24">
      <c r="A103" s="3118">
        <v>31</v>
      </c>
      <c r="B103" s="3777"/>
      <c r="C103" s="3092" t="s">
        <v>2713</v>
      </c>
      <c r="D103" s="3092" t="s">
        <v>2714</v>
      </c>
      <c r="E103" s="3118">
        <v>0.1</v>
      </c>
      <c r="F103" s="3118">
        <v>15</v>
      </c>
    </row>
    <row r="104" spans="1:6" ht="24">
      <c r="A104" s="3118">
        <v>32</v>
      </c>
      <c r="B104" s="3777"/>
      <c r="C104" s="3092" t="s">
        <v>2715</v>
      </c>
      <c r="D104" s="3092" t="s">
        <v>2716</v>
      </c>
      <c r="E104" s="3118">
        <v>0.1</v>
      </c>
      <c r="F104" s="3118">
        <v>15</v>
      </c>
    </row>
    <row r="105" spans="1:6" ht="24">
      <c r="A105" s="3118">
        <v>33</v>
      </c>
      <c r="B105" s="3777"/>
      <c r="C105" s="3092" t="s">
        <v>2717</v>
      </c>
      <c r="D105" s="3092" t="s">
        <v>2718</v>
      </c>
      <c r="E105" s="3118">
        <v>0.1</v>
      </c>
      <c r="F105" s="3118">
        <v>15</v>
      </c>
    </row>
    <row r="106" spans="1:6" ht="24">
      <c r="A106" s="3118">
        <v>34</v>
      </c>
      <c r="B106" s="3786"/>
      <c r="C106" s="3092" t="s">
        <v>2719</v>
      </c>
      <c r="D106" s="3092" t="s">
        <v>2720</v>
      </c>
      <c r="E106" s="3118">
        <v>0.1</v>
      </c>
      <c r="F106" s="3118">
        <v>15</v>
      </c>
    </row>
    <row r="107" spans="1:6" ht="36">
      <c r="A107" s="3118">
        <v>35</v>
      </c>
      <c r="B107" s="3782" t="s">
        <v>2721</v>
      </c>
      <c r="C107" s="3118" t="s">
        <v>2722</v>
      </c>
      <c r="D107" s="3092" t="s">
        <v>2723</v>
      </c>
      <c r="E107" s="3118">
        <v>0.15</v>
      </c>
      <c r="F107" s="3118">
        <v>20</v>
      </c>
    </row>
    <row r="108" spans="1:6" ht="24">
      <c r="A108" s="3118">
        <v>36</v>
      </c>
      <c r="B108" s="3777"/>
      <c r="C108" s="3118" t="s">
        <v>2724</v>
      </c>
      <c r="D108" s="3092" t="s">
        <v>2725</v>
      </c>
      <c r="E108" s="3118">
        <v>0.15</v>
      </c>
      <c r="F108" s="3118">
        <v>20</v>
      </c>
    </row>
    <row r="109" spans="1:6" ht="24">
      <c r="A109" s="3118">
        <v>37</v>
      </c>
      <c r="B109" s="3777"/>
      <c r="C109" s="3118" t="s">
        <v>2726</v>
      </c>
      <c r="D109" s="3092" t="s">
        <v>2727</v>
      </c>
      <c r="E109" s="3118">
        <v>0.15</v>
      </c>
      <c r="F109" s="3118">
        <v>20</v>
      </c>
    </row>
    <row r="110" spans="1:6" ht="24">
      <c r="A110" s="3118">
        <v>38</v>
      </c>
      <c r="B110" s="3777"/>
      <c r="C110" s="3118" t="s">
        <v>2728</v>
      </c>
      <c r="D110" s="3092" t="s">
        <v>2729</v>
      </c>
      <c r="E110" s="3118">
        <v>0.1</v>
      </c>
      <c r="F110" s="3118">
        <v>15</v>
      </c>
    </row>
    <row r="111" spans="1:6" ht="24">
      <c r="A111" s="3118">
        <v>39</v>
      </c>
      <c r="B111" s="3777"/>
      <c r="C111" s="3118" t="s">
        <v>2730</v>
      </c>
      <c r="D111" s="3092" t="s">
        <v>2731</v>
      </c>
      <c r="E111" s="3118">
        <v>0.1</v>
      </c>
      <c r="F111" s="3118">
        <v>15</v>
      </c>
    </row>
    <row r="112" spans="1:6" ht="24">
      <c r="A112" s="3118">
        <v>40</v>
      </c>
      <c r="B112" s="3786"/>
      <c r="C112" s="3118" t="s">
        <v>2732</v>
      </c>
      <c r="D112" s="3092" t="s">
        <v>2733</v>
      </c>
      <c r="E112" s="3118">
        <v>0.1</v>
      </c>
      <c r="F112" s="3118">
        <v>15</v>
      </c>
    </row>
    <row r="113" spans="1:6" ht="24">
      <c r="A113" s="3118">
        <v>41</v>
      </c>
      <c r="B113" s="3787" t="s">
        <v>2734</v>
      </c>
      <c r="C113" s="3118" t="s">
        <v>2735</v>
      </c>
      <c r="D113" s="3092" t="s">
        <v>2736</v>
      </c>
      <c r="E113" s="3118">
        <v>0.1</v>
      </c>
      <c r="F113" s="3118">
        <v>15</v>
      </c>
    </row>
    <row r="114" spans="1:6" ht="24">
      <c r="A114" s="3118">
        <v>42</v>
      </c>
      <c r="B114" s="3787"/>
      <c r="C114" s="3118" t="s">
        <v>2737</v>
      </c>
      <c r="D114" s="3092" t="s">
        <v>2738</v>
      </c>
      <c r="E114" s="3118">
        <v>0.1</v>
      </c>
      <c r="F114" s="3118">
        <v>15</v>
      </c>
    </row>
    <row r="115" spans="1:6" ht="24">
      <c r="A115" s="3118">
        <v>43</v>
      </c>
      <c r="B115" s="3787"/>
      <c r="C115" s="3118" t="s">
        <v>2739</v>
      </c>
      <c r="D115" s="3092" t="s">
        <v>2740</v>
      </c>
      <c r="E115" s="3118">
        <v>0.1</v>
      </c>
      <c r="F115" s="3118">
        <v>15</v>
      </c>
    </row>
    <row r="116" spans="1:6" ht="24">
      <c r="A116" s="3118">
        <v>44</v>
      </c>
      <c r="B116" s="3782" t="s">
        <v>2741</v>
      </c>
      <c r="C116" s="3118" t="s">
        <v>2742</v>
      </c>
      <c r="D116" s="3092" t="s">
        <v>2743</v>
      </c>
      <c r="E116" s="3118">
        <v>0.1</v>
      </c>
      <c r="F116" s="3118">
        <v>15</v>
      </c>
    </row>
    <row r="117" spans="1:6" ht="24">
      <c r="A117" s="3118">
        <v>45</v>
      </c>
      <c r="B117" s="3786"/>
      <c r="C117" s="3092" t="s">
        <v>2744</v>
      </c>
      <c r="D117" s="3092" t="s">
        <v>2745</v>
      </c>
      <c r="E117" s="3118">
        <v>0.1</v>
      </c>
      <c r="F117" s="3118">
        <v>15</v>
      </c>
    </row>
    <row r="118" spans="1:6" ht="24">
      <c r="A118" s="3118">
        <v>46</v>
      </c>
      <c r="B118" s="3782" t="s">
        <v>2746</v>
      </c>
      <c r="C118" s="3118" t="s">
        <v>2747</v>
      </c>
      <c r="D118" s="3092" t="s">
        <v>2748</v>
      </c>
      <c r="E118" s="3118">
        <v>0.1</v>
      </c>
      <c r="F118" s="3118">
        <v>15</v>
      </c>
    </row>
    <row r="119" spans="1:6" ht="24">
      <c r="A119" s="3118">
        <v>47</v>
      </c>
      <c r="B119" s="3786"/>
      <c r="C119" s="3118" t="s">
        <v>2749</v>
      </c>
      <c r="D119" s="3092" t="s">
        <v>2750</v>
      </c>
      <c r="E119" s="3118">
        <v>0.1</v>
      </c>
      <c r="F119" s="3118">
        <v>15</v>
      </c>
    </row>
    <row r="120" spans="1:6" ht="24">
      <c r="A120" s="3118">
        <v>48</v>
      </c>
      <c r="B120" s="3782" t="s">
        <v>2751</v>
      </c>
      <c r="C120" s="3118" t="s">
        <v>2752</v>
      </c>
      <c r="D120" s="3092" t="s">
        <v>2753</v>
      </c>
      <c r="E120" s="3118">
        <v>0.1</v>
      </c>
      <c r="F120" s="3118">
        <v>15</v>
      </c>
    </row>
    <row r="121" spans="1:6" ht="24">
      <c r="A121" s="3118">
        <v>49</v>
      </c>
      <c r="B121" s="3786"/>
      <c r="C121" s="3118" t="s">
        <v>2754</v>
      </c>
      <c r="D121" s="3092" t="s">
        <v>2755</v>
      </c>
      <c r="E121" s="3118">
        <v>0.1</v>
      </c>
      <c r="F121" s="3118">
        <v>15</v>
      </c>
    </row>
    <row r="122" spans="1:6" ht="24">
      <c r="A122" s="3118">
        <v>50</v>
      </c>
      <c r="B122" s="3787" t="s">
        <v>2756</v>
      </c>
      <c r="C122" s="3118" t="s">
        <v>2757</v>
      </c>
      <c r="D122" s="3092" t="s">
        <v>2758</v>
      </c>
      <c r="E122" s="3118">
        <v>0.1</v>
      </c>
      <c r="F122" s="3118">
        <v>15</v>
      </c>
    </row>
    <row r="123" spans="1:6" ht="24">
      <c r="A123" s="3118">
        <v>51</v>
      </c>
      <c r="B123" s="3787"/>
      <c r="C123" s="3118" t="s">
        <v>2759</v>
      </c>
      <c r="D123" s="3092" t="s">
        <v>2760</v>
      </c>
      <c r="E123" s="3118">
        <v>0.1</v>
      </c>
      <c r="F123" s="3118">
        <v>15</v>
      </c>
    </row>
    <row r="124" spans="1:6" ht="24">
      <c r="A124" s="3118">
        <v>52</v>
      </c>
      <c r="B124" s="3787" t="s">
        <v>2761</v>
      </c>
      <c r="C124" s="3118" t="s">
        <v>2762</v>
      </c>
      <c r="D124" s="3092" t="s">
        <v>2763</v>
      </c>
      <c r="E124" s="3118">
        <v>0.1</v>
      </c>
      <c r="F124" s="3118">
        <v>15</v>
      </c>
    </row>
    <row r="125" spans="1:6" ht="24">
      <c r="A125" s="3118">
        <v>53</v>
      </c>
      <c r="B125" s="3787"/>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87" t="s">
        <v>2769</v>
      </c>
      <c r="C127" s="3118" t="s">
        <v>2770</v>
      </c>
      <c r="D127" s="3092" t="s">
        <v>2771</v>
      </c>
      <c r="E127" s="3118">
        <v>0.1</v>
      </c>
      <c r="F127" s="3118">
        <v>15</v>
      </c>
    </row>
    <row r="128" spans="1:6" ht="24">
      <c r="A128" s="3118">
        <v>56</v>
      </c>
      <c r="B128" s="3787"/>
      <c r="C128" s="3118" t="s">
        <v>2772</v>
      </c>
      <c r="D128" s="3092" t="s">
        <v>2773</v>
      </c>
      <c r="E128" s="3118">
        <v>0.1</v>
      </c>
      <c r="F128" s="3118">
        <v>15</v>
      </c>
    </row>
    <row r="129" spans="1:6" ht="24">
      <c r="A129" s="3118">
        <v>57</v>
      </c>
      <c r="B129" s="3787"/>
      <c r="C129" s="3118" t="s">
        <v>2774</v>
      </c>
      <c r="D129" s="3092" t="s">
        <v>2775</v>
      </c>
      <c r="E129" s="3118">
        <v>0.1</v>
      </c>
      <c r="F129" s="3118">
        <v>15</v>
      </c>
    </row>
    <row r="130" spans="1:6" ht="24">
      <c r="A130" s="3118">
        <v>58</v>
      </c>
      <c r="B130" s="3787" t="s">
        <v>2776</v>
      </c>
      <c r="C130" s="3118" t="s">
        <v>2777</v>
      </c>
      <c r="D130" s="3092" t="s">
        <v>2778</v>
      </c>
      <c r="E130" s="3118">
        <v>0.1</v>
      </c>
      <c r="F130" s="3118">
        <v>15</v>
      </c>
    </row>
    <row r="131" spans="1:6" ht="24">
      <c r="A131" s="3118">
        <v>59</v>
      </c>
      <c r="B131" s="3787"/>
      <c r="C131" s="3118" t="s">
        <v>2779</v>
      </c>
      <c r="D131" s="3092" t="s">
        <v>2780</v>
      </c>
      <c r="E131" s="3118">
        <v>0.1</v>
      </c>
      <c r="F131" s="3118">
        <v>15</v>
      </c>
    </row>
    <row r="132" spans="1:6" ht="24">
      <c r="A132" s="3118">
        <v>60</v>
      </c>
      <c r="B132" s="3782" t="s">
        <v>2781</v>
      </c>
      <c r="C132" s="3118" t="s">
        <v>2782</v>
      </c>
      <c r="D132" s="3092" t="s">
        <v>2783</v>
      </c>
      <c r="E132" s="3118">
        <v>0.1</v>
      </c>
      <c r="F132" s="3118">
        <v>15</v>
      </c>
    </row>
    <row r="133" spans="1:6" ht="24">
      <c r="A133" s="3118">
        <v>61</v>
      </c>
      <c r="B133" s="3786"/>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87" t="s">
        <v>2789</v>
      </c>
      <c r="C135" s="3118" t="s">
        <v>2790</v>
      </c>
      <c r="D135" s="3092" t="s">
        <v>2791</v>
      </c>
      <c r="E135" s="3118">
        <v>0.1</v>
      </c>
      <c r="F135" s="3118">
        <v>15</v>
      </c>
    </row>
    <row r="136" spans="1:6" ht="24">
      <c r="A136" s="3118">
        <v>64</v>
      </c>
      <c r="B136" s="3787"/>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4"/>
      <c r="C2" s="3474"/>
      <c r="D2" s="3474"/>
      <c r="E2" s="3474"/>
    </row>
    <row r="3" spans="1:5" ht="17.399999999999999">
      <c r="A3" s="3475" t="str">
        <f>IF(项目基本情况!B9="房地产市场价值","估价结果一览表（市场价值不需“结果表-1”）","估价结果一览表")</f>
        <v>估价结果一览表（市场价值不需“结果表-1”）</v>
      </c>
      <c r="B3" s="3475"/>
      <c r="C3" s="3475"/>
      <c r="D3" s="3475"/>
      <c r="E3" s="3475"/>
    </row>
    <row r="4" spans="1:5" ht="18" thickBot="1">
      <c r="A4" s="1493"/>
      <c r="B4" s="3473" t="s">
        <v>917</v>
      </c>
      <c r="C4" s="3473"/>
      <c r="D4" s="3473"/>
      <c r="E4" s="1493"/>
    </row>
    <row r="5" spans="1:5" ht="16.2" thickTop="1">
      <c r="A5" s="1491"/>
      <c r="B5" s="3471" t="s">
        <v>909</v>
      </c>
      <c r="C5" s="1494" t="s">
        <v>910</v>
      </c>
      <c r="D5" s="850" t="e">
        <f ca="1">结果表!H101</f>
        <v>#REF!</v>
      </c>
      <c r="E5" s="1491"/>
    </row>
    <row r="6" spans="1:5" ht="15.6">
      <c r="A6" s="1491"/>
      <c r="B6" s="3471"/>
      <c r="C6" s="1494" t="s">
        <v>911</v>
      </c>
      <c r="D6" s="850" t="e">
        <f ca="1">NUMBERSTRING(INT(D5*10000),2)&amp;"元整"</f>
        <v>#REF!</v>
      </c>
      <c r="E6" s="1491"/>
    </row>
    <row r="7" spans="1:5" ht="15.6">
      <c r="A7" s="1491"/>
      <c r="B7" s="3476"/>
      <c r="C7" s="1495" t="s">
        <v>912</v>
      </c>
      <c r="D7" s="851" t="e">
        <f ca="1">结果表!H102</f>
        <v>#REF!</v>
      </c>
      <c r="E7" s="1491"/>
    </row>
    <row r="8" spans="1:5" ht="15.6">
      <c r="A8" s="1491"/>
      <c r="B8" s="3477" t="str">
        <f>结果表!E103</f>
        <v>2.估价师知悉的法定优先受偿款</v>
      </c>
      <c r="C8" s="1496" t="s">
        <v>913</v>
      </c>
      <c r="D8" s="851">
        <f>结果表!H103</f>
        <v>0</v>
      </c>
      <c r="E8" s="1491"/>
    </row>
    <row r="9" spans="1:5" ht="15.6">
      <c r="A9" s="1491"/>
      <c r="B9" s="3479"/>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0" t="str">
        <f>结果表!E107</f>
        <v>3.房地产抵押价值</v>
      </c>
      <c r="C13" s="1499" t="s">
        <v>910</v>
      </c>
      <c r="D13" s="853" t="e">
        <f ca="1">结果表!H107</f>
        <v>#REF!</v>
      </c>
      <c r="E13" s="1491"/>
    </row>
    <row r="14" spans="1:5" ht="15.6">
      <c r="A14" s="1491"/>
      <c r="B14" s="3471"/>
      <c r="C14" s="1494" t="s">
        <v>911</v>
      </c>
      <c r="D14" s="850" t="e">
        <f ca="1">NUMBERSTRING(INT(D13*10000),2)&amp;"元整"</f>
        <v>#REF!</v>
      </c>
      <c r="E14" s="1491"/>
    </row>
    <row r="15" spans="1:5" ht="15.6">
      <c r="A15" s="1491"/>
      <c r="B15" s="3476"/>
      <c r="C15" s="1495" t="s">
        <v>921</v>
      </c>
      <c r="D15" s="859" t="e">
        <f ca="1">结果表!H108</f>
        <v>#REF!</v>
      </c>
      <c r="E15" s="1491"/>
    </row>
    <row r="16" spans="1:5" ht="15.6">
      <c r="A16" s="1491"/>
      <c r="B16" s="3477" t="str">
        <f>结果表!E109</f>
        <v>——</v>
      </c>
      <c r="C16" s="1499" t="s">
        <v>922</v>
      </c>
      <c r="D16" s="1500" t="str">
        <f>结果表!H109</f>
        <v>——</v>
      </c>
      <c r="E16" s="1491"/>
    </row>
    <row r="17" spans="1:5" ht="15.6">
      <c r="A17" s="1491"/>
      <c r="B17" s="3478"/>
      <c r="C17" s="1494" t="s">
        <v>923</v>
      </c>
      <c r="D17" s="850" t="e">
        <f>NUMBERSTRING(INT(D16*10000),2)&amp;"元整"</f>
        <v>#VALUE!</v>
      </c>
      <c r="E17" s="1491"/>
    </row>
    <row r="18" spans="1:5" ht="15.6">
      <c r="A18" s="1491"/>
      <c r="B18" s="3479"/>
      <c r="C18" s="1495" t="s">
        <v>912</v>
      </c>
      <c r="D18" s="859" t="str">
        <f>结果表!H110</f>
        <v>——</v>
      </c>
      <c r="E18" s="1491"/>
    </row>
    <row r="19" spans="1:5" ht="15.6">
      <c r="A19" s="1491"/>
      <c r="B19" s="3470" t="str">
        <f>结果表!E111</f>
        <v>——</v>
      </c>
      <c r="C19" s="1499" t="s">
        <v>910</v>
      </c>
      <c r="D19" s="851" t="str">
        <f>结果表!H111</f>
        <v>——</v>
      </c>
      <c r="E19" s="1491"/>
    </row>
    <row r="20" spans="1:5" ht="15.6">
      <c r="A20" s="1491"/>
      <c r="B20" s="3471"/>
      <c r="C20" s="1494" t="s">
        <v>923</v>
      </c>
      <c r="D20" s="850" t="e">
        <f>NUMBERSTRING(INT(D19*10000),2)&amp;"元整"</f>
        <v>#VALUE!</v>
      </c>
      <c r="E20" s="1491"/>
    </row>
    <row r="21" spans="1:5" ht="16.2" thickBot="1">
      <c r="A21" s="1491"/>
      <c r="B21" s="3472"/>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40963</v>
      </c>
      <c r="C2" s="2" t="s">
        <v>106</v>
      </c>
      <c r="D2" s="199"/>
      <c r="E2" s="199"/>
      <c r="F2" s="199"/>
      <c r="G2" s="199"/>
    </row>
    <row r="3" spans="1:7" s="200" customFormat="1" ht="18" customHeight="1" thickBot="1">
      <c r="A3" s="203" t="s">
        <v>58</v>
      </c>
      <c r="B3" s="204">
        <f ca="1">ROUND(B2*10000/'数据-汇总表'!E3,0)</f>
        <v>9835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833</v>
      </c>
      <c r="D10" s="845">
        <f>'数据-汇总表'!E6</f>
        <v>41650.49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1250</v>
      </c>
      <c r="D19" s="849">
        <f>'数据-汇总表'!E3</f>
        <v>41650.49</v>
      </c>
      <c r="E19" s="211">
        <f>'数据-取费表'!B31</f>
        <v>300</v>
      </c>
      <c r="F19" s="231"/>
      <c r="G19" s="1" t="s">
        <v>436</v>
      </c>
    </row>
    <row r="20" spans="1:7" s="214" customFormat="1" ht="13.5" customHeight="1">
      <c r="A20" s="777" t="s">
        <v>419</v>
      </c>
      <c r="B20" s="210" t="s">
        <v>77</v>
      </c>
      <c r="C20" s="232">
        <f>ROUND((C5+C19)*F20,0)</f>
        <v>219</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1364</v>
      </c>
      <c r="D22" s="235">
        <f ca="1">C26</f>
        <v>2.9999999999999997E-4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59</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1766</v>
      </c>
      <c r="D27" s="235">
        <f>C29</f>
        <v>8.0000000000000004E-4</v>
      </c>
      <c r="E27" s="236" t="s">
        <v>99</v>
      </c>
      <c r="F27" s="246">
        <f>'数据-取费表'!Q16</f>
        <v>0.08</v>
      </c>
      <c r="G27" s="247" t="s">
        <v>431</v>
      </c>
    </row>
    <row r="28" spans="1:7" s="214" customFormat="1" ht="13.5" customHeight="1">
      <c r="A28" s="780" t="s">
        <v>349</v>
      </c>
      <c r="B28" s="248" t="s">
        <v>424</v>
      </c>
      <c r="C28" s="249">
        <f>ROUND((C5+C19+C20)*F27*'数据-取费表'!B21/'数据-取费表'!B20,0)</f>
        <v>1766</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26918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13212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11789</v>
      </c>
      <c r="D34" s="217"/>
      <c r="E34" s="220"/>
      <c r="F34" s="257">
        <f>IF('数据-取费表'!B24=0,1,'数据-取费表'!N16)</f>
        <v>1</v>
      </c>
      <c r="G34" s="219" t="s">
        <v>89</v>
      </c>
    </row>
    <row r="35" spans="1:7" ht="13.5" customHeight="1">
      <c r="A35" s="780" t="s">
        <v>351</v>
      </c>
      <c r="B35" s="215" t="s">
        <v>33</v>
      </c>
      <c r="C35" s="220">
        <f>ROUND(C34*F35,0)</f>
        <v>354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833</v>
      </c>
      <c r="D37" s="217">
        <f>'数据-汇总表'!E3</f>
        <v>41650.49</v>
      </c>
      <c r="E37" s="249">
        <f>'数据-取费表'!B35</f>
        <v>200</v>
      </c>
      <c r="F37" s="259"/>
      <c r="G37" s="261" t="s">
        <v>92</v>
      </c>
    </row>
    <row r="38" spans="1:7" ht="13.5" customHeight="1">
      <c r="A38" s="780" t="s">
        <v>354</v>
      </c>
      <c r="B38" s="215" t="s">
        <v>36</v>
      </c>
      <c r="C38" s="220">
        <f>ROUND(C34*F38,0)</f>
        <v>236</v>
      </c>
      <c r="D38" s="220"/>
      <c r="E38" s="220"/>
      <c r="F38" s="259">
        <f>'数据-取费表'!B36</f>
        <v>0.02</v>
      </c>
      <c r="G38" s="219" t="s">
        <v>90</v>
      </c>
    </row>
    <row r="39" spans="1:7" s="214" customFormat="1" ht="13.5" customHeight="1">
      <c r="A39" s="777" t="s">
        <v>338</v>
      </c>
      <c r="B39" s="210" t="s">
        <v>77</v>
      </c>
      <c r="C39" s="232">
        <f>ROUND(C33*F20,0)</f>
        <v>132</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205</v>
      </c>
      <c r="D41" s="235">
        <f ca="1">C44</f>
        <v>2.0000000000000001E-4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203</v>
      </c>
      <c r="D42" s="238"/>
      <c r="E42" s="238"/>
      <c r="F42" s="239"/>
      <c r="G42" s="3652" t="s">
        <v>94</v>
      </c>
    </row>
    <row r="43" spans="1:7" ht="13.5" customHeight="1">
      <c r="A43" s="780" t="s">
        <v>347</v>
      </c>
      <c r="B43" s="215" t="s">
        <v>426</v>
      </c>
      <c r="C43" s="238">
        <f ca="1">ROUND(IF('数据-取费表'!B22&lt;=1,C39*F22*'数据-取费表'!B21/2,C39*(POWER((1+F22),'数据-取费表'!B21/2)-1)),0)</f>
        <v>2</v>
      </c>
      <c r="D43" s="238"/>
      <c r="E43" s="238"/>
      <c r="F43" s="239"/>
      <c r="G43" s="3653"/>
    </row>
    <row r="44" spans="1:7" ht="13.5" customHeight="1">
      <c r="A44" s="780" t="s">
        <v>348</v>
      </c>
      <c r="B44" s="215" t="s">
        <v>428</v>
      </c>
      <c r="C44" s="238">
        <f ca="1">ROUND(IF('数据-取费表'!B22&lt;=1,C40*F22*'数据-取费表'!B21/2,C40*(POWER((1+F22),'数据-取费表'!B21/2)-1)),4)</f>
        <v>2.0000000000000001E-4</v>
      </c>
      <c r="D44" s="238"/>
      <c r="E44" s="238"/>
      <c r="F44" s="239"/>
      <c r="G44" s="3654"/>
    </row>
    <row r="45" spans="1:7" s="214" customFormat="1" ht="13.5" customHeight="1">
      <c r="A45" s="777" t="s">
        <v>341</v>
      </c>
      <c r="B45" s="244" t="s">
        <v>85</v>
      </c>
      <c r="C45" s="245">
        <f>C46</f>
        <v>1068</v>
      </c>
      <c r="D45" s="235">
        <f>C47</f>
        <v>8.0000000000000004E-4</v>
      </c>
      <c r="E45" s="236" t="s">
        <v>102</v>
      </c>
      <c r="F45" s="246"/>
      <c r="G45" s="247" t="s">
        <v>434</v>
      </c>
    </row>
    <row r="46" spans="1:7" s="214" customFormat="1" ht="13.5" customHeight="1">
      <c r="A46" s="780" t="s">
        <v>349</v>
      </c>
      <c r="B46" s="248" t="s">
        <v>427</v>
      </c>
      <c r="C46" s="249">
        <f>ROUND((C33+C39)*F27,0)</f>
        <v>1068</v>
      </c>
      <c r="D46" s="263"/>
      <c r="E46" s="236"/>
      <c r="F46" s="246"/>
      <c r="G46" s="247"/>
    </row>
    <row r="47" spans="1:7" s="214" customFormat="1" ht="13.5" customHeight="1">
      <c r="A47" s="780" t="s">
        <v>347</v>
      </c>
      <c r="B47" s="248" t="s">
        <v>429</v>
      </c>
      <c r="C47" s="238">
        <f>ROUND(C40*F27,4)</f>
        <v>8.0000000000000004E-4</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15606</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14045</v>
      </c>
      <c r="D51" s="232"/>
      <c r="E51" s="232"/>
      <c r="F51" s="264"/>
      <c r="G51" s="234" t="s">
        <v>37</v>
      </c>
    </row>
    <row r="52" spans="1:7" s="208" customFormat="1" ht="16.8" thickBot="1">
      <c r="A52" s="265" t="s">
        <v>38</v>
      </c>
      <c r="B52" s="266"/>
      <c r="C52" s="267">
        <f ca="1">C31+C51</f>
        <v>40963</v>
      </c>
      <c r="D52" s="266"/>
      <c r="E52" s="266"/>
      <c r="F52" s="266"/>
      <c r="G52" s="268"/>
    </row>
    <row r="55" spans="1:7" ht="15">
      <c r="B55" s="270" t="s">
        <v>39</v>
      </c>
      <c r="C55" s="271"/>
    </row>
    <row r="56" spans="1:7">
      <c r="B56" s="273" t="s">
        <v>40</v>
      </c>
      <c r="C56" s="274">
        <f ca="1">ROUND(C51/C52,3)</f>
        <v>0.34300000000000003</v>
      </c>
    </row>
    <row r="57" spans="1:7">
      <c r="B57" s="273" t="s">
        <v>41</v>
      </c>
      <c r="C57" s="275">
        <f ca="1">1-C56</f>
        <v>0.65700000000000003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F12" sqref="F12"/>
    </sheetView>
  </sheetViews>
  <sheetFormatPr defaultRowHeight="14.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54" sqref="E54"/>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90" t="s">
        <v>2839</v>
      </c>
      <c r="B1" s="3790"/>
      <c r="C1" s="3790"/>
      <c r="D1" s="3790"/>
      <c r="E1" s="3790"/>
      <c r="F1" s="3790"/>
      <c r="G1" s="3791"/>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88"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789"/>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2" t="s">
        <v>3181</v>
      </c>
      <c r="B1" s="3792"/>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3" t="s">
        <v>3232</v>
      </c>
      <c r="B1" s="3793"/>
      <c r="C1" s="3793"/>
      <c r="D1" s="3793"/>
      <c r="E1" s="3793"/>
      <c r="F1" s="3794"/>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108" sqref="H10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5" t="str">
        <f>项目基本情况!S2</f>
        <v>北京市房地产</v>
      </c>
      <c r="B2" s="3626"/>
      <c r="C2" s="3626"/>
      <c r="D2" s="3626"/>
      <c r="E2" s="3626"/>
      <c r="F2" s="3626"/>
      <c r="G2" s="3626"/>
      <c r="H2" s="3626"/>
      <c r="I2" s="3627"/>
    </row>
    <row r="3" spans="1:12" ht="13.2">
      <c r="A3" s="3629" t="s">
        <v>1264</v>
      </c>
      <c r="B3" s="3630"/>
      <c r="C3" s="3630"/>
      <c r="D3" s="3630"/>
      <c r="E3" s="3630"/>
      <c r="F3" s="3630"/>
      <c r="G3" s="3630"/>
      <c r="H3" s="3630"/>
      <c r="I3" s="3630"/>
    </row>
    <row r="4" spans="1:12" ht="14.4">
      <c r="A4" s="1754" t="s">
        <v>1265</v>
      </c>
      <c r="B4" s="1755" t="s">
        <v>1266</v>
      </c>
      <c r="C4" s="1756"/>
      <c r="D4" s="1756"/>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73" t="s">
        <v>1268</v>
      </c>
      <c r="B5" s="3628">
        <v>25</v>
      </c>
      <c r="C5" s="3631"/>
      <c r="D5" s="3619"/>
      <c r="E5" s="131" t="s">
        <v>1269</v>
      </c>
      <c r="F5" s="1757"/>
      <c r="G5" s="1757"/>
      <c r="H5" s="1757"/>
      <c r="I5" s="1373"/>
    </row>
    <row r="6" spans="1:12" ht="13.2">
      <c r="A6" s="3573"/>
      <c r="B6" s="3628"/>
      <c r="C6" s="3633"/>
      <c r="D6" s="3619"/>
      <c r="E6" s="131" t="s">
        <v>1270</v>
      </c>
      <c r="F6" s="1757"/>
      <c r="G6" s="1757"/>
      <c r="H6" s="1757"/>
      <c r="I6" s="1373"/>
    </row>
    <row r="7" spans="1:12" ht="13.2">
      <c r="A7" s="3573"/>
      <c r="B7" s="3628"/>
      <c r="C7" s="3632"/>
      <c r="D7" s="3619"/>
      <c r="E7" s="131" t="s">
        <v>1271</v>
      </c>
      <c r="F7" s="1757"/>
      <c r="G7" s="1757"/>
      <c r="H7" s="1757"/>
      <c r="I7" s="1373"/>
    </row>
    <row r="8" spans="1:12" ht="13.2">
      <c r="A8" s="3573" t="s">
        <v>1272</v>
      </c>
      <c r="B8" s="3628">
        <v>15</v>
      </c>
      <c r="C8" s="3631"/>
      <c r="D8" s="3619"/>
      <c r="E8" s="131" t="s">
        <v>1273</v>
      </c>
      <c r="F8" s="1757"/>
      <c r="G8" s="1757"/>
      <c r="H8" s="1757"/>
      <c r="I8" s="1373"/>
    </row>
    <row r="9" spans="1:12" ht="13.2">
      <c r="A9" s="3573"/>
      <c r="B9" s="3628"/>
      <c r="C9" s="3632"/>
      <c r="D9" s="3619"/>
      <c r="E9" s="131" t="s">
        <v>1274</v>
      </c>
      <c r="F9" s="1757"/>
      <c r="G9" s="1757"/>
      <c r="H9" s="1757"/>
      <c r="I9" s="1373"/>
    </row>
    <row r="10" spans="1:12" ht="13.2">
      <c r="A10" s="3573" t="s">
        <v>1275</v>
      </c>
      <c r="B10" s="3628">
        <v>15</v>
      </c>
      <c r="C10" s="3631"/>
      <c r="D10" s="3619"/>
      <c r="E10" s="131" t="s">
        <v>1276</v>
      </c>
      <c r="F10" s="1757"/>
      <c r="G10" s="1757"/>
      <c r="H10" s="1757"/>
      <c r="I10" s="1373"/>
    </row>
    <row r="11" spans="1:12" ht="13.2">
      <c r="A11" s="3573"/>
      <c r="B11" s="3628"/>
      <c r="C11" s="3632"/>
      <c r="D11" s="3619"/>
      <c r="E11" s="131" t="s">
        <v>1277</v>
      </c>
      <c r="F11" s="1757"/>
      <c r="G11" s="1757"/>
      <c r="H11" s="1757"/>
      <c r="I11" s="1373"/>
    </row>
    <row r="12" spans="1:12" ht="13.2">
      <c r="A12" s="3573" t="s">
        <v>1278</v>
      </c>
      <c r="B12" s="3628">
        <v>15</v>
      </c>
      <c r="C12" s="3631"/>
      <c r="D12" s="3619"/>
      <c r="E12" s="131" t="s">
        <v>1279</v>
      </c>
      <c r="F12" s="1757"/>
      <c r="G12" s="1757"/>
      <c r="H12" s="1757"/>
      <c r="I12" s="1373"/>
    </row>
    <row r="13" spans="1:12" ht="13.2">
      <c r="A13" s="3573"/>
      <c r="B13" s="3628"/>
      <c r="C13" s="3632"/>
      <c r="D13" s="3619"/>
      <c r="E13" s="131" t="s">
        <v>1280</v>
      </c>
      <c r="F13" s="1757"/>
      <c r="G13" s="1757"/>
      <c r="H13" s="1757"/>
      <c r="I13" s="1373"/>
    </row>
    <row r="14" spans="1:12" ht="13.2">
      <c r="A14" s="3573" t="s">
        <v>1281</v>
      </c>
      <c r="B14" s="3628">
        <v>30</v>
      </c>
      <c r="C14" s="3631"/>
      <c r="D14" s="3619"/>
      <c r="E14" s="131" t="s">
        <v>1282</v>
      </c>
      <c r="F14" s="1757"/>
      <c r="G14" s="1757"/>
      <c r="H14" s="1757"/>
      <c r="I14" s="1373"/>
    </row>
    <row r="15" spans="1:12" ht="13.2">
      <c r="A15" s="3573"/>
      <c r="B15" s="3628"/>
      <c r="C15" s="3633"/>
      <c r="D15" s="3619"/>
      <c r="E15" s="131" t="s">
        <v>1283</v>
      </c>
      <c r="F15" s="1757"/>
      <c r="G15" s="1757"/>
      <c r="H15" s="1757"/>
      <c r="I15" s="1373"/>
    </row>
    <row r="16" spans="1:12" ht="13.2">
      <c r="A16" s="3573"/>
      <c r="B16" s="3628"/>
      <c r="C16" s="3632"/>
      <c r="D16" s="3619"/>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650" t="s">
        <v>2131</v>
      </c>
      <c r="F18" s="3651"/>
      <c r="G18" s="3651"/>
      <c r="H18" s="3651"/>
      <c r="I18" s="3651"/>
      <c r="K18" s="302" t="s">
        <v>1289</v>
      </c>
      <c r="L18" s="302">
        <f>IF(C1="",'数据-汇总表'!E3,SUMIF(项目类型,C1,'数据-汇总表'!E17:E26)+SUMIF(项目类型,C1,'数据-汇总表'!I17:I26))</f>
        <v>41650.49</v>
      </c>
      <c r="M18" s="302">
        <f>IF(C1="",'数据-汇总表'!E3,SUMIF(项目类型,C1,'数据-汇总表'!E17:E26))</f>
        <v>41650.49</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643" t="s">
        <v>1299</v>
      </c>
      <c r="B24" s="1762" t="s">
        <v>1291</v>
      </c>
      <c r="C24" s="136">
        <f>IF(B30=0,0,D30)</f>
        <v>0</v>
      </c>
      <c r="D24" s="1769"/>
      <c r="E24" s="129"/>
      <c r="F24" s="129"/>
      <c r="G24" s="129"/>
      <c r="H24" s="129"/>
      <c r="I24" s="129"/>
    </row>
    <row r="25" spans="1:36" ht="14.4">
      <c r="A25" s="364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0" t="s">
        <v>1312</v>
      </c>
      <c r="B36" s="1787" t="s">
        <v>1313</v>
      </c>
      <c r="C36" s="145"/>
      <c r="D36" s="1788"/>
      <c r="E36" s="1789"/>
      <c r="F36" s="1790"/>
      <c r="G36" s="129"/>
      <c r="H36" s="129"/>
      <c r="I36" s="129"/>
    </row>
    <row r="37" spans="1:15" ht="15" thickBot="1">
      <c r="A37" s="3621"/>
      <c r="B37" s="1674" t="s">
        <v>1314</v>
      </c>
      <c r="C37" s="147"/>
      <c r="D37" s="1139"/>
      <c r="E37" s="1139"/>
      <c r="F37" s="1790"/>
      <c r="G37" s="129"/>
      <c r="H37" s="129"/>
      <c r="I37" s="129"/>
    </row>
    <row r="38" spans="1:15" ht="15" thickBot="1">
      <c r="A38" s="362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0" t="s">
        <v>1326</v>
      </c>
      <c r="B45" s="3641"/>
      <c r="C45" s="3642"/>
      <c r="D45" s="155" t="e">
        <f ca="1">ROUND(H101*F45,0)</f>
        <v>#REF!</v>
      </c>
      <c r="E45" s="156" t="s">
        <v>1327</v>
      </c>
      <c r="F45" s="157">
        <v>1</v>
      </c>
      <c r="G45" s="158" t="s">
        <v>1328</v>
      </c>
      <c r="H45" s="129"/>
      <c r="I45" s="129"/>
      <c r="J45" s="3560" t="s">
        <v>1329</v>
      </c>
      <c r="K45" s="3560"/>
      <c r="L45" s="3560"/>
      <c r="M45" s="3560"/>
      <c r="N45" s="3560"/>
      <c r="O45" s="3560"/>
    </row>
    <row r="46" spans="1:15" ht="14.25" customHeight="1">
      <c r="A46" s="3637" t="s">
        <v>1330</v>
      </c>
      <c r="B46" s="3638"/>
      <c r="C46" s="3638"/>
      <c r="D46" s="3638"/>
      <c r="E46" s="3638"/>
      <c r="F46" s="3638"/>
      <c r="G46" s="3639"/>
      <c r="H46" s="1806"/>
      <c r="I46" s="159"/>
      <c r="J46" s="2523">
        <v>1</v>
      </c>
      <c r="K46" s="3561" t="s">
        <v>1331</v>
      </c>
      <c r="L46" s="3561"/>
      <c r="M46" s="3562"/>
      <c r="N46" s="3562"/>
      <c r="O46" s="3562"/>
    </row>
    <row r="47" spans="1:15" ht="12" customHeight="1">
      <c r="A47" s="160" t="s">
        <v>1332</v>
      </c>
      <c r="B47" s="161"/>
      <c r="C47" s="162"/>
      <c r="D47" s="1087" t="s">
        <v>1333</v>
      </c>
      <c r="E47" s="302" t="s">
        <v>1334</v>
      </c>
      <c r="F47" s="163" t="s">
        <v>1335</v>
      </c>
      <c r="G47" s="2546" t="s">
        <v>1336</v>
      </c>
      <c r="H47" s="2547"/>
      <c r="I47" s="159"/>
      <c r="J47" s="2523">
        <v>2</v>
      </c>
      <c r="K47" s="3561" t="s">
        <v>1337</v>
      </c>
      <c r="L47" s="3561"/>
      <c r="M47" s="3563">
        <f>'数据-取费表'!B2</f>
        <v>45696</v>
      </c>
      <c r="N47" s="3563"/>
      <c r="O47" s="3563"/>
    </row>
    <row r="48" spans="1:15" ht="26.4">
      <c r="A48" s="3623" t="s">
        <v>1338</v>
      </c>
      <c r="B48" s="3624"/>
      <c r="C48" s="362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61" t="s">
        <v>1340</v>
      </c>
      <c r="L48" s="3561"/>
      <c r="M48" s="3564" t="e">
        <f ca="1">H101</f>
        <v>#REF!</v>
      </c>
      <c r="N48" s="3564"/>
      <c r="O48" s="3564"/>
    </row>
    <row r="49" spans="1:35" ht="25.5" customHeight="1">
      <c r="A49" s="2333" t="s">
        <v>1341</v>
      </c>
      <c r="B49" s="3609" t="s">
        <v>1342</v>
      </c>
      <c r="C49" s="3609"/>
      <c r="D49" s="1590">
        <v>0</v>
      </c>
      <c r="E49" s="324" t="s">
        <v>1343</v>
      </c>
      <c r="F49" s="2424" t="s">
        <v>28</v>
      </c>
      <c r="G49" s="3592"/>
      <c r="H49" s="2310" t="s">
        <v>2134</v>
      </c>
      <c r="I49" s="2311"/>
      <c r="J49" s="2523">
        <v>4</v>
      </c>
      <c r="K49" s="3561" t="str">
        <f>IF(项目基本情况!E8="房地产抵押价值","房地产抵押价值","抵押担保权已注销时的房地产抵押价值")</f>
        <v>抵押担保权已注销时的房地产抵押价值</v>
      </c>
      <c r="L49" s="3561"/>
      <c r="M49" s="3564" t="str">
        <f>IF(项目基本情况!E8="房地产抵押价值",H107,H109)</f>
        <v>——</v>
      </c>
      <c r="N49" s="3564"/>
      <c r="O49" s="3564"/>
    </row>
    <row r="50" spans="1:35" ht="25.5" customHeight="1">
      <c r="A50" s="2551"/>
      <c r="B50" s="3609" t="s">
        <v>1344</v>
      </c>
      <c r="C50" s="3609"/>
      <c r="D50" s="2552"/>
      <c r="E50" s="332"/>
      <c r="F50" s="2424"/>
      <c r="G50" s="3593"/>
      <c r="H50" s="2312" t="s">
        <v>2135</v>
      </c>
      <c r="I50" s="2311"/>
      <c r="J50" s="3560" t="s">
        <v>1345</v>
      </c>
      <c r="K50" s="3560"/>
      <c r="L50" s="3560"/>
      <c r="M50" s="3560"/>
      <c r="N50" s="3560"/>
      <c r="O50" s="3560"/>
    </row>
    <row r="51" spans="1:35" ht="20.399999999999999" customHeight="1">
      <c r="A51" s="2553"/>
      <c r="B51" s="3609" t="s">
        <v>1346</v>
      </c>
      <c r="C51" s="3609"/>
      <c r="D51" s="1087"/>
      <c r="E51" s="327"/>
      <c r="F51" s="2424"/>
      <c r="G51" s="3594"/>
      <c r="H51" s="2312" t="s">
        <v>2136</v>
      </c>
      <c r="I51" s="2311"/>
      <c r="J51" s="2524" t="s">
        <v>1347</v>
      </c>
      <c r="K51" s="3561" t="s">
        <v>1348</v>
      </c>
      <c r="L51" s="3561"/>
      <c r="M51" s="2524" t="s">
        <v>1349</v>
      </c>
      <c r="N51" s="2524" t="s">
        <v>1350</v>
      </c>
      <c r="O51" s="2524" t="s">
        <v>1351</v>
      </c>
    </row>
    <row r="52" spans="1:35" ht="24" customHeight="1">
      <c r="A52" s="2335" t="s">
        <v>1352</v>
      </c>
      <c r="B52" s="3609" t="s">
        <v>1353</v>
      </c>
      <c r="C52" s="3609"/>
      <c r="D52" s="1087" t="e">
        <f ca="1">ROUND(D45*'数据-取费表'!B41/(1+'数据-取费表'!C42),0)</f>
        <v>#REF!</v>
      </c>
      <c r="E52" s="2334" t="s">
        <v>1354</v>
      </c>
      <c r="F52" s="2554">
        <f>'数据-取费表'!B41</f>
        <v>5.5000000000000007E-2</v>
      </c>
      <c r="G52" s="2555"/>
      <c r="H52" s="2544"/>
      <c r="I52" s="1807"/>
      <c r="J52" s="2523">
        <v>1</v>
      </c>
      <c r="K52" s="3586" t="s">
        <v>1355</v>
      </c>
      <c r="L52" s="3586"/>
      <c r="M52" s="2525" t="b">
        <f>D48</f>
        <v>0</v>
      </c>
      <c r="N52" s="2523" t="str">
        <f>E48</f>
        <v>销售额×税（费）率</v>
      </c>
      <c r="O52" s="2526">
        <f>F48</f>
        <v>5.5000000000000007E-2</v>
      </c>
    </row>
    <row r="53" spans="1:35" ht="12" customHeight="1">
      <c r="A53" s="2335" t="s">
        <v>1356</v>
      </c>
      <c r="B53" s="3610" t="s">
        <v>2291</v>
      </c>
      <c r="C53" s="3611"/>
      <c r="D53" s="1087" t="e">
        <f ca="1">ROUND(D45*'数据-取费表'!B41/(1+'数据-取费表'!C42),0)</f>
        <v>#REF!</v>
      </c>
      <c r="E53" s="2334" t="s">
        <v>1354</v>
      </c>
      <c r="F53" s="2554">
        <f>'数据-取费表'!B41</f>
        <v>5.5000000000000007E-2</v>
      </c>
      <c r="G53" s="2555"/>
      <c r="H53" s="2544"/>
      <c r="I53" s="1807"/>
      <c r="J53" s="2523">
        <v>2</v>
      </c>
      <c r="K53" s="3586" t="s">
        <v>1357</v>
      </c>
      <c r="L53" s="3586"/>
      <c r="M53" s="2525" t="e">
        <f t="shared" ref="M53:O54" ca="1" si="0">D55</f>
        <v>#REF!</v>
      </c>
      <c r="N53" s="2523" t="str">
        <f t="shared" si="0"/>
        <v>销售额×税（费）率</v>
      </c>
      <c r="O53" s="2526" t="str">
        <f t="shared" si="0"/>
        <v>免征</v>
      </c>
    </row>
    <row r="54" spans="1:35" ht="12" customHeight="1">
      <c r="A54" s="2335" t="s">
        <v>1358</v>
      </c>
      <c r="B54" s="3610" t="s">
        <v>2292</v>
      </c>
      <c r="C54" s="3611"/>
      <c r="D54" s="1087" t="e">
        <f ca="1">C68</f>
        <v>#REF!</v>
      </c>
      <c r="E54" s="327" t="s">
        <v>1359</v>
      </c>
      <c r="F54" s="2554">
        <f>'数据-取费表'!B41</f>
        <v>5.5000000000000007E-2</v>
      </c>
      <c r="G54" s="2555"/>
      <c r="H54" s="2556"/>
      <c r="I54" s="1807"/>
      <c r="J54" s="2523">
        <v>3</v>
      </c>
      <c r="K54" s="3586" t="s">
        <v>1360</v>
      </c>
      <c r="L54" s="3586"/>
      <c r="M54" s="2525" t="e">
        <f t="shared" ca="1" si="0"/>
        <v>#REF!</v>
      </c>
      <c r="N54" s="2523" t="str">
        <f t="shared" si="0"/>
        <v>增值额×税（费）率</v>
      </c>
      <c r="O54" s="2527" t="str">
        <f t="shared" si="0"/>
        <v>免征</v>
      </c>
    </row>
    <row r="55" spans="1:35" ht="24" customHeight="1">
      <c r="A55" s="3646" t="s">
        <v>1361</v>
      </c>
      <c r="B55" s="3624"/>
      <c r="C55" s="3624"/>
      <c r="D55" s="2324" t="e">
        <f ca="1">IF(H55="个人住宅",0,ROUND(D45*I55,0))</f>
        <v>#REF!</v>
      </c>
      <c r="E55" s="2334" t="s">
        <v>1362</v>
      </c>
      <c r="F55" s="2554" t="str">
        <f>IF(H55="正常",I55,"免征")</f>
        <v>免征</v>
      </c>
      <c r="G55" s="2555"/>
      <c r="H55" s="2550"/>
      <c r="I55" s="165">
        <f>'数据-取费表'!B49</f>
        <v>5.0000000000000001E-4</v>
      </c>
      <c r="J55" s="2523">
        <f>IF(H59="非个人房产","",4)</f>
        <v>4</v>
      </c>
      <c r="K55" s="3586" t="str">
        <f>IF(H59="非个人房产","——","个人所得税")</f>
        <v>个人所得税</v>
      </c>
      <c r="L55" s="3586"/>
      <c r="M55" s="2528" t="e">
        <f ca="1">D59</f>
        <v>#REF!</v>
      </c>
      <c r="N55" s="2040" t="str">
        <f>E59</f>
        <v>差额计税</v>
      </c>
      <c r="O55" s="2529">
        <f>F59</f>
        <v>0.01</v>
      </c>
    </row>
    <row r="56" spans="1:35" ht="25.2">
      <c r="A56" s="3646" t="s">
        <v>1363</v>
      </c>
      <c r="B56" s="3624"/>
      <c r="C56" s="3624"/>
      <c r="D56" s="2324" t="e">
        <f ca="1">IF(H56="个人住宅",D57,D58)</f>
        <v>#REF!</v>
      </c>
      <c r="E56" s="2334" t="s">
        <v>1364</v>
      </c>
      <c r="F56" s="2554" t="str">
        <f>IF(H56="正常",F58,"免征")</f>
        <v>免征</v>
      </c>
      <c r="G56" s="2557" t="s">
        <v>1365</v>
      </c>
      <c r="H56" s="2558"/>
      <c r="I56" s="1808"/>
      <c r="J56" s="2523" t="str">
        <f>IF(项目基本情况!K6="上海银行",IF(J55="",4,J55+1),"")</f>
        <v/>
      </c>
      <c r="K56" s="3567" t="str">
        <f>IF(项目基本情况!K6="上海银行","其他处置费用","")</f>
        <v/>
      </c>
      <c r="L56" s="3568"/>
      <c r="M56" s="2525" t="str">
        <f>IF(项目基本情况!K6="上海银行",M69,"")</f>
        <v/>
      </c>
      <c r="N56" s="3567" t="str">
        <f>IF(项目基本情况!K6="上海银行","包含处置中涉及的律师、诉讼、拍卖、评估等费用","")</f>
        <v/>
      </c>
      <c r="O56" s="3570"/>
    </row>
    <row r="57" spans="1:35" ht="13.2">
      <c r="A57" s="2335" t="s">
        <v>1341</v>
      </c>
      <c r="B57" s="3610" t="s">
        <v>1366</v>
      </c>
      <c r="C57" s="3611"/>
      <c r="D57" s="1590">
        <v>0</v>
      </c>
      <c r="E57" s="324" t="s">
        <v>1343</v>
      </c>
      <c r="F57" s="302"/>
      <c r="G57" s="2555"/>
      <c r="H57" s="2559"/>
      <c r="I57" s="1808"/>
      <c r="J57" s="3586">
        <f>IF(AND(J55="",J56=""),4,IF(项目基本情况!K6="上海银行",结果表!J56+1,结果表!J55+1))</f>
        <v>5</v>
      </c>
      <c r="K57" s="3586" t="s">
        <v>1367</v>
      </c>
      <c r="L57" s="2530" t="s">
        <v>1368</v>
      </c>
      <c r="M57" s="2531"/>
      <c r="N57" s="2532">
        <f ca="1">SUMIF(M52:M56,"&lt;9e307")</f>
        <v>0</v>
      </c>
      <c r="O57" s="2533"/>
      <c r="P57" s="2690" t="e">
        <f ca="1">N57/M49</f>
        <v>#VALUE!</v>
      </c>
    </row>
    <row r="58" spans="1:35" ht="25.2">
      <c r="A58" s="2335" t="s">
        <v>1352</v>
      </c>
      <c r="B58" s="3610" t="s">
        <v>1369</v>
      </c>
      <c r="C58" s="3609"/>
      <c r="D58" s="2324" t="e">
        <f ca="1">IF(H58="转让取得",C81,C97)</f>
        <v>#REF!</v>
      </c>
      <c r="E58" s="2334" t="s">
        <v>1364</v>
      </c>
      <c r="F58" s="302" t="s">
        <v>28</v>
      </c>
      <c r="G58" s="2555"/>
      <c r="H58" s="2558"/>
      <c r="I58" s="1808"/>
      <c r="J58" s="3586"/>
      <c r="K58" s="3586"/>
      <c r="L58" s="2530" t="s">
        <v>1370</v>
      </c>
      <c r="M58" s="2534"/>
      <c r="N58" s="2535" t="str">
        <f ca="1">NUMBERSTRING(INT(N57*10000),2)&amp;"元整"</f>
        <v>零元整</v>
      </c>
      <c r="O58" s="2536"/>
    </row>
    <row r="59" spans="1:35" ht="24.6" thickBot="1">
      <c r="A59" s="3590" t="s">
        <v>1371</v>
      </c>
      <c r="B59" s="3591"/>
      <c r="C59" s="359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8">
        <f>J57+1</f>
        <v>6</v>
      </c>
      <c r="K59" s="3586" t="s">
        <v>1372</v>
      </c>
      <c r="L59" s="2523" t="s">
        <v>1368</v>
      </c>
      <c r="M59" s="2537"/>
      <c r="N59" s="2538" t="e">
        <f ca="1">M49-N57</f>
        <v>#VALUE!</v>
      </c>
      <c r="O59" s="2539"/>
    </row>
    <row r="60" spans="1:35" ht="12" customHeight="1">
      <c r="A60" s="1809"/>
      <c r="B60" s="1747"/>
      <c r="C60" s="1747"/>
      <c r="D60" s="1747"/>
      <c r="E60" s="1578"/>
      <c r="F60" s="1808"/>
      <c r="G60" s="1808"/>
      <c r="H60" s="1810"/>
      <c r="I60" s="129"/>
      <c r="J60" s="3589"/>
      <c r="K60" s="3586"/>
      <c r="L60" s="2530" t="s">
        <v>1370</v>
      </c>
      <c r="M60" s="2534"/>
      <c r="N60" s="2535" t="e">
        <f ca="1">NUMBERSTRING(INT(N59*10000),2)&amp;"元整"</f>
        <v>#VALUE!</v>
      </c>
      <c r="O60" s="2536"/>
    </row>
    <row r="61" spans="1:35" ht="13.8" thickBot="1">
      <c r="A61" s="3645" t="s">
        <v>1373</v>
      </c>
      <c r="B61" s="3645"/>
      <c r="C61" s="3645"/>
      <c r="D61" s="3645"/>
      <c r="E61" s="3645"/>
      <c r="F61" s="1808"/>
      <c r="G61" s="1808"/>
      <c r="H61" s="1810"/>
      <c r="I61" s="129"/>
      <c r="J61" s="2523">
        <f>J59+1</f>
        <v>7</v>
      </c>
      <c r="K61" s="3586" t="s">
        <v>1374</v>
      </c>
      <c r="L61" s="3586"/>
      <c r="M61" s="2540"/>
      <c r="N61" s="2541" t="e">
        <f ca="1">ROUND(N59*10000/'数据-汇总表'!E3,0)</f>
        <v>#VALUE!</v>
      </c>
      <c r="O61" s="2542"/>
    </row>
    <row r="62" spans="1:35" ht="13.2">
      <c r="A62" s="3605" t="s">
        <v>1375</v>
      </c>
      <c r="B62" s="3606"/>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6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6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6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6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6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6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6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3" t="s">
        <v>1394</v>
      </c>
      <c r="B70" s="3614"/>
      <c r="C70" s="3614"/>
      <c r="D70" s="3614"/>
      <c r="E70" s="3614"/>
      <c r="F70" s="3614"/>
      <c r="G70" s="3614"/>
      <c r="H70" s="361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5" t="s">
        <v>1375</v>
      </c>
      <c r="B71" s="360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0" t="s">
        <v>1402</v>
      </c>
      <c r="F76" s="3609"/>
      <c r="G76" s="3609"/>
      <c r="H76" s="361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602" t="s">
        <v>1406</v>
      </c>
      <c r="F78" s="3603"/>
      <c r="G78" s="3603"/>
      <c r="H78" s="360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3" t="s">
        <v>1410</v>
      </c>
      <c r="B83" s="3614"/>
      <c r="C83" s="3614"/>
      <c r="D83" s="3614"/>
      <c r="E83" s="3614"/>
      <c r="F83" s="3614"/>
      <c r="G83" s="3614"/>
      <c r="H83" s="361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5" t="s">
        <v>1375</v>
      </c>
      <c r="B84" s="360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71" t="s">
        <v>2129</v>
      </c>
      <c r="H90" s="357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2" t="s">
        <v>1419</v>
      </c>
      <c r="F91" s="3603"/>
      <c r="G91" s="360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2" t="s">
        <v>1422</v>
      </c>
      <c r="F92" s="3603"/>
      <c r="G92" s="3603"/>
      <c r="H92" s="360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602" t="s">
        <v>1406</v>
      </c>
      <c r="F93" s="3603"/>
      <c r="G93" s="3603"/>
      <c r="H93" s="360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7" t="s">
        <v>1426</v>
      </c>
      <c r="F94" s="3648"/>
      <c r="G94" s="3648"/>
      <c r="H94" s="364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87"/>
      <c r="E100" s="3553" t="s">
        <v>1429</v>
      </c>
      <c r="F100" s="3553"/>
      <c r="G100" s="3553"/>
      <c r="H100" s="3587"/>
      <c r="I100" s="129"/>
    </row>
    <row r="101" spans="1:35" ht="18.75" customHeight="1">
      <c r="A101" s="3595" t="s">
        <v>1430</v>
      </c>
      <c r="B101" s="3596"/>
      <c r="C101" s="2585">
        <f>C4</f>
        <v>0</v>
      </c>
      <c r="D101" s="2586">
        <f>D4</f>
        <v>0</v>
      </c>
      <c r="E101" s="3565" t="s">
        <v>1431</v>
      </c>
      <c r="F101" s="3566"/>
      <c r="G101" s="1827" t="s">
        <v>1432</v>
      </c>
      <c r="H101" s="2595" t="e">
        <f ca="1">H118</f>
        <v>#REF!</v>
      </c>
      <c r="I101" s="129"/>
    </row>
    <row r="102" spans="1:35" ht="18.75" customHeight="1">
      <c r="A102" s="3597" t="s">
        <v>1433</v>
      </c>
      <c r="B102" s="2584" t="s">
        <v>1432</v>
      </c>
      <c r="C102" s="2585" t="e">
        <f ca="1">IF(D32="楼面单价",ROUND(C19,0),C19)</f>
        <v>#REF!</v>
      </c>
      <c r="D102" s="2586" t="e">
        <f ca="1">IF(D32="楼面单价",ROUND(D19,0),D19)</f>
        <v>#REF!</v>
      </c>
      <c r="E102" s="3565"/>
      <c r="F102" s="3566"/>
      <c r="G102" s="1827" t="s">
        <v>1434</v>
      </c>
      <c r="H102" s="2555" t="e">
        <f ca="1">I118</f>
        <v>#REF!</v>
      </c>
      <c r="I102" s="129"/>
    </row>
    <row r="103" spans="1:35" ht="42.75" customHeight="1">
      <c r="A103" s="3597"/>
      <c r="B103" s="2584" t="s">
        <v>1434</v>
      </c>
      <c r="C103" s="2587" t="e">
        <f ca="1">C20</f>
        <v>#REF!</v>
      </c>
      <c r="D103" s="2588" t="e">
        <f ca="1">D20</f>
        <v>#REF!</v>
      </c>
      <c r="E103" s="3558" t="s">
        <v>1435</v>
      </c>
      <c r="F103" s="3559"/>
      <c r="G103" s="1828" t="s">
        <v>1436</v>
      </c>
      <c r="H103" s="2595">
        <f>IF(D36="正常操作",H104+H105+H106,H105+H106)</f>
        <v>0</v>
      </c>
      <c r="I103" s="129"/>
    </row>
    <row r="104" spans="1:35" ht="18.75" customHeight="1">
      <c r="A104" s="359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8" t="str">
        <f>IF(项目基本情况!E8="已注销","——","3.房地产抵押价值")</f>
        <v>3.房地产抵押价值</v>
      </c>
      <c r="F107" s="3566"/>
      <c r="G107" s="1827" t="s">
        <v>1432</v>
      </c>
      <c r="H107" s="2595" t="e">
        <f ca="1">IF(E107="——","——",H101-H103)</f>
        <v>#REF!</v>
      </c>
      <c r="I107" s="129"/>
    </row>
    <row r="108" spans="1:35" ht="18.75" customHeight="1">
      <c r="A108" s="129"/>
      <c r="B108" s="129"/>
      <c r="C108" s="129"/>
      <c r="D108" s="129"/>
      <c r="E108" s="3598"/>
      <c r="F108" s="3566"/>
      <c r="G108" s="1827" t="s">
        <v>1434</v>
      </c>
      <c r="H108" s="2555">
        <f ca="1">IF(H107=H101,H102,ROUND(H107*10000/'数据-汇总表'!E3,0))</f>
        <v>0</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7" t="s">
        <v>1432</v>
      </c>
      <c r="H109" s="2598" t="str">
        <f>IF(E109="——","——",H101-H105-H106)</f>
        <v>——</v>
      </c>
      <c r="I109" s="129"/>
    </row>
    <row r="110" spans="1:35" ht="18.75" customHeight="1">
      <c r="A110" s="129"/>
      <c r="B110" s="129"/>
      <c r="C110" s="129"/>
      <c r="D110" s="129"/>
      <c r="E110" s="3598"/>
      <c r="F110" s="3566"/>
      <c r="G110" s="1827" t="s">
        <v>1434</v>
      </c>
      <c r="H110" s="2555"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00"/>
      <c r="F112" s="3601"/>
      <c r="G112" s="1830" t="s">
        <v>1434</v>
      </c>
      <c r="H112" s="2599" t="str">
        <f>IF(E111="——","——",N61)</f>
        <v>——</v>
      </c>
      <c r="I112" s="129"/>
    </row>
    <row r="113" spans="1:27" ht="18.75" customHeight="1">
      <c r="A113" s="129"/>
      <c r="B113" s="129"/>
      <c r="C113" s="129"/>
      <c r="D113" s="129"/>
      <c r="E113" s="3608" t="s">
        <v>1440</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41650.49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3" t="s">
        <v>1452</v>
      </c>
      <c r="B119" s="3573"/>
      <c r="C119" s="3573"/>
      <c r="D119" s="3579" t="e">
        <f ca="1">NUMBERSTRING(INT(D118*10000),2)&amp;"元整"</f>
        <v>#REF!</v>
      </c>
      <c r="E119" s="3580"/>
      <c r="F119" s="3579" t="e">
        <f ca="1">NUMBERSTRING(INT(F118*10000),2)&amp;"元整"</f>
        <v>#REF!</v>
      </c>
      <c r="G119" s="3580"/>
      <c r="H119" s="3579" t="e">
        <f ca="1">NUMBERSTRING(INT(H118*10000),2)&amp;"元整"</f>
        <v>#REF!</v>
      </c>
      <c r="I119" s="3580"/>
    </row>
    <row r="120" spans="1:27" ht="18.75" customHeight="1">
      <c r="A120" s="3574" t="str">
        <f>IF(项目基本情况!B9="房地产市场价值","",MID(E103,3,LEN(E103)-2))</f>
        <v/>
      </c>
      <c r="B120" s="3575"/>
      <c r="C120" s="3576"/>
      <c r="D120" s="3574">
        <f>H103</f>
        <v>0</v>
      </c>
      <c r="E120" s="3575"/>
      <c r="F120" s="3575"/>
      <c r="G120" s="3575"/>
      <c r="H120" s="3575"/>
      <c r="I120" s="357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9" t="s">
        <v>1452</v>
      </c>
      <c r="B121" s="3581"/>
      <c r="C121" s="3580"/>
      <c r="D121" s="3579" t="str">
        <f>IF(D120=0,"零元整",NUMBERSTRING(INT(D120*10000),2)&amp;"元整")</f>
        <v>零元整</v>
      </c>
      <c r="E121" s="3581"/>
      <c r="F121" s="3581"/>
      <c r="G121" s="3581"/>
      <c r="H121" s="3581"/>
      <c r="I121" s="3580"/>
      <c r="AA121" s="725"/>
    </row>
    <row r="122" spans="1:27" ht="18.75" customHeight="1">
      <c r="A122" s="3585" t="str">
        <f>IF(项目基本情况!B9="房地产市场价值","",MID(E107,3,LEN(E107)-2))</f>
        <v/>
      </c>
      <c r="B122" s="3585"/>
      <c r="C122" s="3585"/>
      <c r="D122" s="3574" t="e">
        <f ca="1">H107</f>
        <v>#REF!</v>
      </c>
      <c r="E122" s="3575"/>
      <c r="F122" s="3575"/>
      <c r="G122" s="3575"/>
      <c r="H122" s="3575"/>
      <c r="I122" s="3576"/>
      <c r="AA122" s="725"/>
    </row>
    <row r="123" spans="1:27" ht="18.75" customHeight="1">
      <c r="A123" s="3573" t="s">
        <v>1452</v>
      </c>
      <c r="B123" s="3573"/>
      <c r="C123" s="3573"/>
      <c r="D123" s="3579" t="e">
        <f ca="1">NUMBERSTRING(INT(D122*10000),2)&amp;"元整"</f>
        <v>#REF!</v>
      </c>
      <c r="E123" s="3581"/>
      <c r="F123" s="3581"/>
      <c r="G123" s="3581"/>
      <c r="H123" s="3581"/>
      <c r="I123" s="3580"/>
      <c r="AA123" s="725"/>
    </row>
    <row r="124" spans="1:27" ht="18.75" customHeight="1">
      <c r="A124" s="3585" t="str">
        <f>IF(项目基本情况!B9="房地产市场价值","",MID(E109,3,LEN(E109)-2))</f>
        <v/>
      </c>
      <c r="B124" s="3585"/>
      <c r="C124" s="3585"/>
      <c r="D124" s="3574" t="str">
        <f>H109</f>
        <v>——</v>
      </c>
      <c r="E124" s="3575"/>
      <c r="F124" s="3575"/>
      <c r="G124" s="3575"/>
      <c r="H124" s="3575"/>
      <c r="I124" s="3576"/>
      <c r="AA124" s="725"/>
    </row>
    <row r="125" spans="1:27" ht="18.75" customHeight="1">
      <c r="A125" s="3573" t="s">
        <v>1452</v>
      </c>
      <c r="B125" s="3573"/>
      <c r="C125" s="3573"/>
      <c r="D125" s="3579" t="e">
        <f>NUMBERSTRING(INT(D124*10000),2)&amp;"元整"</f>
        <v>#VALUE!</v>
      </c>
      <c r="E125" s="3581"/>
      <c r="F125" s="3581"/>
      <c r="G125" s="3581"/>
      <c r="H125" s="3581"/>
      <c r="I125" s="3580"/>
      <c r="AA125" s="725"/>
    </row>
    <row r="126" spans="1:27" ht="18.75" customHeight="1">
      <c r="A126" s="3585" t="str">
        <f>IF(项目基本情况!B9="房地产市场价值","",MID(E111,3,LEN(E111)-2))</f>
        <v/>
      </c>
      <c r="B126" s="3585"/>
      <c r="C126" s="3585"/>
      <c r="D126" s="3574" t="str">
        <f>H111</f>
        <v>——</v>
      </c>
      <c r="E126" s="3575"/>
      <c r="F126" s="3575"/>
      <c r="G126" s="3575"/>
      <c r="H126" s="3575"/>
      <c r="I126" s="3576"/>
      <c r="AA126" s="725"/>
    </row>
    <row r="127" spans="1:27" ht="18.75" customHeight="1">
      <c r="A127" s="3573" t="s">
        <v>1452</v>
      </c>
      <c r="B127" s="3573"/>
      <c r="C127" s="3573"/>
      <c r="D127" s="3579" t="e">
        <f>NUMBERSTRING(INT(D126*10000),2)&amp;"元整"</f>
        <v>#VALUE!</v>
      </c>
      <c r="E127" s="3581"/>
      <c r="F127" s="3581"/>
      <c r="G127" s="3581"/>
      <c r="H127" s="3581"/>
      <c r="I127" s="3580"/>
      <c r="AA127" s="725"/>
    </row>
    <row r="128" spans="1:27" ht="21.75" customHeight="1">
      <c r="A128" s="3582" t="s">
        <v>1453</v>
      </c>
      <c r="B128" s="3582"/>
      <c r="C128" s="3582"/>
      <c r="D128" s="3582"/>
      <c r="E128" s="3582"/>
      <c r="F128" s="3582"/>
      <c r="G128" s="3582"/>
      <c r="H128" s="3582"/>
      <c r="I128" s="358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V51" sqref="V51"/>
    </sheetView>
  </sheetViews>
  <sheetFormatPr defaultRowHeight="14.4"/>
  <cols>
    <col min="1" max="1" width="13.88671875" customWidth="1"/>
    <col min="11" max="17" width="0" hidden="1" customWidth="1"/>
    <col min="25" max="30" width="0" hidden="1" customWidth="1"/>
  </cols>
  <sheetData>
    <row r="1" spans="1:30">
      <c r="A1" s="3221">
        <f>基准地价修正!G23</f>
        <v>45696</v>
      </c>
      <c r="B1" s="3210" t="s">
        <v>3380</v>
      </c>
      <c r="C1" s="3211"/>
      <c r="D1" s="3211"/>
      <c r="E1" s="3211"/>
      <c r="F1" s="3211"/>
      <c r="G1" s="3211"/>
      <c r="H1" s="3211"/>
      <c r="I1" s="3211"/>
      <c r="J1" s="3165"/>
      <c r="K1" s="3211" t="s">
        <v>454</v>
      </c>
      <c r="L1" s="3211"/>
      <c r="M1" s="3211"/>
      <c r="N1" s="3211"/>
      <c r="O1" s="3211"/>
      <c r="P1" s="3211"/>
      <c r="Q1" s="3165"/>
      <c r="R1" s="3795" t="s">
        <v>456</v>
      </c>
      <c r="S1" s="3796"/>
      <c r="T1" s="3796"/>
      <c r="U1" s="3796"/>
      <c r="V1" s="3796"/>
      <c r="W1" s="3796"/>
      <c r="X1" s="3165"/>
      <c r="Y1" s="3795" t="s">
        <v>457</v>
      </c>
      <c r="Z1" s="3796"/>
      <c r="AA1" s="3796"/>
      <c r="AB1" s="3796"/>
      <c r="AC1" s="3796"/>
      <c r="AD1" s="3796"/>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3376</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3385</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3.2">
      <c r="A7" s="2205" t="s">
        <v>3384</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3.2">
      <c r="A8" s="3176" t="s">
        <v>3377</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3.2">
      <c r="A9" s="3176" t="s">
        <v>3375</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3.2">
      <c r="A10" s="3176" t="s">
        <v>3371</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3.2">
      <c r="A11" s="3176" t="s">
        <v>3370</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3.2">
      <c r="A12" s="3176" t="s">
        <v>3368</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3.2">
      <c r="A13" s="3176" t="s">
        <v>3367</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3.2">
      <c r="A14" s="3176" t="s">
        <v>3366</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3.2">
      <c r="A15" s="3176" t="s">
        <v>3364</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3.2">
      <c r="A16" s="3176" t="s">
        <v>3355</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3.2">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3.2">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3.2">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3.2">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ht="13.8"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5" thickTop="1"/>
    <row r="23" spans="1:30" s="3009" customFormat="1">
      <c r="A23" s="3448" t="s">
        <v>3383</v>
      </c>
    </row>
    <row r="24" spans="1:30" s="3009" customFormat="1">
      <c r="I24" s="3208" t="s">
        <v>2825</v>
      </c>
    </row>
    <row r="25" spans="1:30" s="3009" customFormat="1"/>
    <row r="26" spans="1:30" s="3209" customFormat="1" ht="13.2">
      <c r="B26" s="3210" t="s">
        <v>3381</v>
      </c>
      <c r="C26" s="3211"/>
      <c r="D26" s="3211"/>
      <c r="E26" s="3211"/>
      <c r="F26" s="3211"/>
      <c r="G26" s="3211"/>
      <c r="H26" s="3211"/>
      <c r="I26" s="3211"/>
      <c r="J26" s="3165"/>
      <c r="K26" s="3211" t="s">
        <v>2826</v>
      </c>
      <c r="L26" s="3211"/>
      <c r="M26" s="3211"/>
      <c r="N26" s="3211"/>
      <c r="O26" s="3211"/>
      <c r="P26" s="3211"/>
      <c r="Q26" s="3165"/>
      <c r="R26" s="3795" t="s">
        <v>2827</v>
      </c>
      <c r="S26" s="3796"/>
      <c r="T26" s="3796"/>
      <c r="U26" s="3796"/>
      <c r="V26" s="3796"/>
      <c r="W26" s="3796"/>
      <c r="X26" s="3165"/>
      <c r="Y26" s="3795" t="s">
        <v>2828</v>
      </c>
      <c r="Z26" s="3796"/>
      <c r="AA26" s="3796"/>
      <c r="AB26" s="3796"/>
      <c r="AC26" s="3796"/>
      <c r="AD26" s="3796"/>
    </row>
    <row r="27" spans="1:30" s="3143" customFormat="1" ht="1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3.2">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3.2">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3.2">
      <c r="A30" s="2205" t="s">
        <v>3376</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3.2">
      <c r="A31" s="3186" t="s">
        <v>3378</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3.2">
      <c r="A32" s="2205" t="s">
        <v>3373</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3.2">
      <c r="A33" s="3176" t="s">
        <v>3379</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3.2">
      <c r="A34" s="3176" t="s">
        <v>3374</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3.2">
      <c r="A35" s="3176" t="s">
        <v>3372</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3.2">
      <c r="A36" s="3176" t="s">
        <v>3370</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3.2">
      <c r="A37" s="3176" t="s">
        <v>3369</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3.2">
      <c r="A38" s="3176" t="s">
        <v>3367</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3.2">
      <c r="A39" s="3176" t="s">
        <v>3366</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3.2">
      <c r="A40" s="3176" t="s">
        <v>3365</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3.2">
      <c r="A41" s="3176" t="s">
        <v>3355</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3.2">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3.2">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3.2">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3.2">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ht="13.8"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5" thickTop="1"/>
    <row r="48" spans="1:30">
      <c r="A48" s="3448"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45696</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0" t="str">
        <f>IF(项目基本情况!B9="房地产市场价值","估价结果一览表","结果表-2")</f>
        <v>估价结果一览表</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房地产市场价值</v>
      </c>
      <c r="I2" s="3481"/>
    </row>
    <row r="3" spans="1:9" ht="15.6">
      <c r="A3" s="3482"/>
      <c r="B3" s="3482"/>
      <c r="C3" s="3482"/>
      <c r="D3" s="854" t="s">
        <v>925</v>
      </c>
      <c r="E3" s="854" t="s">
        <v>931</v>
      </c>
      <c r="F3" s="854" t="s">
        <v>925</v>
      </c>
      <c r="G3" s="854" t="s">
        <v>926</v>
      </c>
      <c r="H3" s="854" t="s">
        <v>925</v>
      </c>
      <c r="I3" s="854" t="s">
        <v>926</v>
      </c>
    </row>
    <row r="4" spans="1:9" ht="15">
      <c r="A4" s="1505" t="str">
        <f>项目基本情况!S2</f>
        <v>北京市房地产</v>
      </c>
      <c r="B4" s="854">
        <f>项目基本情况!C17</f>
        <v>41650.49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2" t="s">
        <v>927</v>
      </c>
      <c r="B5" s="3482"/>
      <c r="C5" s="3482"/>
      <c r="D5" s="3482" t="e">
        <f ca="1">结果表!D119</f>
        <v>#REF!</v>
      </c>
      <c r="E5" s="3482"/>
      <c r="F5" s="3482" t="e">
        <f ca="1">结果表!F119</f>
        <v>#REF!</v>
      </c>
      <c r="G5" s="3482"/>
      <c r="H5" s="3482" t="e">
        <f ca="1">结果表!H119</f>
        <v>#REF!</v>
      </c>
      <c r="I5" s="3482"/>
    </row>
    <row r="6" spans="1:9" ht="15.6">
      <c r="A6" s="3483" t="str">
        <f>结果表!A120</f>
        <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6">
      <c r="A8" s="3483" t="str">
        <f>结果表!A122</f>
        <v/>
      </c>
      <c r="B8" s="3483"/>
      <c r="C8" s="3483"/>
      <c r="D8" s="3483" t="e">
        <f ca="1">结果表!D122</f>
        <v>#REF!</v>
      </c>
      <c r="E8" s="3483"/>
      <c r="F8" s="3483"/>
      <c r="G8" s="3483"/>
      <c r="H8" s="3483"/>
      <c r="I8" s="3483"/>
    </row>
    <row r="9" spans="1:9" ht="15">
      <c r="A9" s="3482" t="s">
        <v>927</v>
      </c>
      <c r="B9" s="3482"/>
      <c r="C9" s="3482"/>
      <c r="D9" s="3482" t="e">
        <f ca="1">结果表!D123</f>
        <v>#REF!</v>
      </c>
      <c r="E9" s="3482"/>
      <c r="F9" s="3482"/>
      <c r="G9" s="3482"/>
      <c r="H9" s="3482"/>
      <c r="I9" s="3482"/>
    </row>
    <row r="10" spans="1:9" ht="15.6">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6">
      <c r="A12" s="3483" t="str">
        <f>结果表!A126</f>
        <v/>
      </c>
      <c r="B12" s="3483"/>
      <c r="C12" s="3483"/>
      <c r="D12" s="3483" t="str">
        <f>结果表!D126</f>
        <v>——</v>
      </c>
      <c r="E12" s="3483"/>
      <c r="F12" s="3483"/>
      <c r="G12" s="3483"/>
      <c r="H12" s="3483"/>
      <c r="I12" s="3483"/>
    </row>
    <row r="13" spans="1:9" ht="15.6" thickBot="1">
      <c r="A13" s="3487" t="s">
        <v>927</v>
      </c>
      <c r="B13" s="3487"/>
      <c r="C13" s="3487"/>
      <c r="D13" s="3487" t="e">
        <f>结果表!D127</f>
        <v>#VALUE!</v>
      </c>
      <c r="E13" s="3487"/>
      <c r="F13" s="3487"/>
      <c r="G13" s="3487"/>
      <c r="H13" s="3487"/>
      <c r="I13" s="3487"/>
    </row>
    <row r="14" spans="1:9" ht="14.4" thickTop="1">
      <c r="A14" s="3488" t="s">
        <v>932</v>
      </c>
      <c r="B14" s="3488"/>
      <c r="C14" s="3488"/>
      <c r="D14" s="3488"/>
      <c r="E14" s="3488"/>
      <c r="F14" s="3488"/>
      <c r="G14" s="3488"/>
      <c r="H14" s="3488"/>
      <c r="I14" s="348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9" t="s">
        <v>949</v>
      </c>
      <c r="B1" s="3489"/>
      <c r="C1" s="3489"/>
      <c r="D1" s="3489"/>
    </row>
    <row r="2" spans="1:4" ht="17.399999999999999">
      <c r="A2" s="3490" t="s">
        <v>933</v>
      </c>
      <c r="B2" s="3490"/>
      <c r="C2" s="3490"/>
      <c r="D2" s="349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0" t="s">
        <v>939</v>
      </c>
      <c r="B6" s="3490"/>
      <c r="C6" s="3490"/>
      <c r="D6" s="349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1" t="s">
        <v>942</v>
      </c>
      <c r="B11" s="3492"/>
      <c r="C11" s="3492"/>
      <c r="D11" s="3492"/>
    </row>
    <row r="12" spans="1:4" ht="15.6">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3"/>
      <c r="C12" s="3493"/>
      <c r="D12" s="3493"/>
    </row>
    <row r="13" spans="1:4" ht="30" customHeight="1">
      <c r="A13" s="3492" t="str">
        <f>IF(项目基本情况!B8="抵押","3.抵押双方在办理抵押登记手续时，应使用本公司出具的正式《房地产评估报告》，特提醒报告使用者注意。","——")</f>
        <v>——</v>
      </c>
      <c r="B13" s="3493"/>
      <c r="C13" s="3493"/>
      <c r="D13" s="3493"/>
    </row>
    <row r="14" spans="1:4" ht="15.75" customHeight="1">
      <c r="A14" s="3492" t="str">
        <f>IF(项目基本情况!B8="抵押","4.本次评估估价师所知悉的法定优先受偿款情况说明如下：","——")</f>
        <v>——</v>
      </c>
      <c r="B14" s="3493"/>
      <c r="C14" s="3493"/>
      <c r="D14" s="3493"/>
    </row>
    <row r="15" spans="1:4" ht="42" customHeight="1">
      <c r="A15" s="3492" t="str">
        <f>IF(项目基本情况!B8="抵押","（1）"&amp;CONCATENATE(项目基本情况!L20,项目基本情况!L21,项目基本情况!L22),"——")</f>
        <v>——</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3" t="s">
        <v>956</v>
      </c>
      <c r="B15" s="3498" t="s">
        <v>109</v>
      </c>
      <c r="C15" s="3499"/>
    </row>
    <row r="16" spans="1:7" ht="14.4">
      <c r="A16" s="3504"/>
      <c r="B16" s="3498" t="s">
        <v>42</v>
      </c>
      <c r="C16" s="3499"/>
    </row>
    <row r="17" spans="1:3" ht="14.4">
      <c r="A17" s="3504"/>
      <c r="B17" s="3501" t="s">
        <v>957</v>
      </c>
      <c r="C17" s="1532" t="s">
        <v>956</v>
      </c>
    </row>
    <row r="18" spans="1:3" ht="14.4">
      <c r="A18" s="3504"/>
      <c r="B18" s="3501"/>
      <c r="C18" s="1532" t="s">
        <v>958</v>
      </c>
    </row>
    <row r="19" spans="1:3" ht="14.4">
      <c r="A19" s="3504"/>
      <c r="B19" s="3501"/>
      <c r="C19" s="1532" t="s">
        <v>959</v>
      </c>
    </row>
    <row r="20" spans="1:3" ht="14.4">
      <c r="A20" s="3505"/>
      <c r="B20" s="3500" t="s">
        <v>960</v>
      </c>
      <c r="C20" s="3499"/>
    </row>
    <row r="21" spans="1:3" ht="14.4">
      <c r="A21" s="1533" t="s">
        <v>961</v>
      </c>
      <c r="B21" s="1534"/>
      <c r="C21" s="1535"/>
    </row>
    <row r="22" spans="1:3" ht="14.4">
      <c r="A22" s="3502" t="s">
        <v>962</v>
      </c>
      <c r="B22" s="3500" t="s">
        <v>963</v>
      </c>
      <c r="C22" s="3499"/>
    </row>
    <row r="23" spans="1:3" ht="14.4">
      <c r="A23" s="3502"/>
      <c r="B23" s="3500" t="s">
        <v>964</v>
      </c>
      <c r="C23" s="3499"/>
    </row>
    <row r="24" spans="1:3" ht="14.4">
      <c r="A24" s="3502"/>
      <c r="B24" s="3500" t="s">
        <v>965</v>
      </c>
      <c r="C24" s="3499"/>
    </row>
    <row r="25" spans="1:3" ht="14.4">
      <c r="A25" s="3502"/>
      <c r="B25" s="3501" t="s">
        <v>966</v>
      </c>
      <c r="C25" s="1532" t="s">
        <v>967</v>
      </c>
    </row>
    <row r="26" spans="1:3" ht="14.4">
      <c r="A26" s="3502"/>
      <c r="B26" s="3501"/>
      <c r="C26" s="1532" t="s">
        <v>968</v>
      </c>
    </row>
    <row r="27" spans="1:3" ht="14.4">
      <c r="A27" s="3502"/>
      <c r="B27" s="3501"/>
      <c r="C27" s="1532" t="s">
        <v>969</v>
      </c>
    </row>
    <row r="28" spans="1:3" ht="14.4">
      <c r="A28" s="3502"/>
      <c r="B28" s="3501"/>
      <c r="C28" s="1532" t="s">
        <v>970</v>
      </c>
    </row>
    <row r="29" spans="1:3" ht="14.4">
      <c r="A29" s="3502"/>
      <c r="B29" s="3501"/>
      <c r="C29" s="1532" t="s">
        <v>971</v>
      </c>
    </row>
    <row r="30" spans="1:3" ht="14.4">
      <c r="A30" s="3502"/>
      <c r="B30" s="3501"/>
      <c r="C30" s="1532" t="s">
        <v>972</v>
      </c>
    </row>
    <row r="31" spans="1:3" ht="14.4">
      <c r="A31" s="3502"/>
      <c r="B31" s="3501"/>
      <c r="C31" s="1532" t="s">
        <v>973</v>
      </c>
    </row>
    <row r="32" spans="1:3" ht="14.4">
      <c r="A32" s="3502"/>
      <c r="B32" s="3501"/>
      <c r="C32" s="1532" t="s">
        <v>974</v>
      </c>
    </row>
    <row r="33" spans="1:3" ht="14.4">
      <c r="A33" s="3502"/>
      <c r="B33" s="3501"/>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45696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3"/>
      <c r="E18" s="3508" t="s">
        <v>2162</v>
      </c>
      <c r="F18" s="3507"/>
      <c r="G18" s="350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成本法 (元)</vt:lpstr>
      <vt:lpstr>假设开发法</vt:lpstr>
      <vt:lpstr>收益法</vt:lpstr>
      <vt:lpstr>收益法-商业</vt:lpstr>
      <vt:lpstr>收益法-酒店模型</vt:lpstr>
      <vt:lpstr>收益法（汇总）</vt:lpstr>
      <vt:lpstr>比较法-住宅</vt:lpstr>
      <vt:lpstr>比较法-商业</vt:lpstr>
      <vt:lpstr>比较法-办公</vt:lpstr>
      <vt:lpstr>比较法-工业</vt:lpstr>
      <vt:lpstr>比较法-车位</vt:lpstr>
      <vt:lpstr>Sheet3</vt:lpstr>
      <vt:lpstr>收益法-仓储</vt:lpstr>
      <vt:lpstr>Sheet2</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Sheet4</vt:lpstr>
      <vt:lpstr>区片价</vt:lpstr>
      <vt:lpstr>因素修正幅度</vt:lpstr>
      <vt:lpstr>区片价（范围）</vt:lpstr>
      <vt:lpstr>结果表</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'收益法（汇总）'!Print_Area</vt:lpstr>
      <vt:lpstr>'收益法-仓储'!Print_Area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2025-02-08T06:50:41Z</dcterms:modified>
</cp:coreProperties>
</file>