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车库)"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1">'不动产收益法(车库)'!$A$1:$F$43,'不动产收益法(车库)'!$H$3:$M$29,'不动产收益法(车库)'!$A$46:$F$70,'不动产收益法(车库)'!$I$46:$M$60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66" l="1"/>
  <c r="B16" i="66"/>
  <c r="C15" i="66"/>
  <c r="B15" i="66"/>
  <c r="D16" i="66" l="1"/>
  <c r="G16" i="66" l="1"/>
  <c r="D15" i="66" l="1"/>
  <c r="G15" i="66" l="1"/>
  <c r="L7" i="1" l="1"/>
  <c r="AH8" i="1" l="1"/>
  <c r="Q73" i="69"/>
  <c r="Q60" i="69"/>
  <c r="D60" i="69"/>
  <c r="Q59" i="69"/>
  <c r="K59" i="69"/>
  <c r="P75" i="69" s="1"/>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1" i="69"/>
  <c r="L47" i="69"/>
  <c r="P62" i="69" l="1"/>
  <c r="L59" i="69"/>
  <c r="M24" i="69"/>
  <c r="F16" i="69"/>
  <c r="F35" i="69"/>
  <c r="F8" i="69"/>
  <c r="M8" i="69"/>
  <c r="F26" i="69"/>
  <c r="L48" i="69"/>
  <c r="F36" i="69"/>
  <c r="M23" i="69"/>
  <c r="F37" i="69"/>
  <c r="M28" i="69"/>
  <c r="F13" i="69"/>
  <c r="M27" i="69"/>
  <c r="F7" i="69"/>
  <c r="M9" i="69"/>
  <c r="M26" i="69"/>
  <c r="F40" i="69"/>
  <c r="F42" i="69"/>
  <c r="J15" i="69"/>
  <c r="J36" i="69"/>
  <c r="F9" i="69"/>
  <c r="M6" i="69"/>
  <c r="M29" i="69"/>
  <c r="F43" i="69"/>
  <c r="F6" i="69"/>
  <c r="M21" i="69"/>
  <c r="F38" i="69"/>
  <c r="M22" i="69"/>
  <c r="F63" i="69" l="1"/>
  <c r="F49" i="69"/>
  <c r="M7" i="69"/>
  <c r="J6" i="69" s="1"/>
  <c r="L60" i="69"/>
  <c r="L56" i="69"/>
  <c r="L57" i="69"/>
  <c r="L58" i="69"/>
  <c r="J57" i="69"/>
  <c r="J55" i="69" s="1"/>
  <c r="J58" i="69" s="1"/>
  <c r="Q51" i="69" s="1"/>
  <c r="I54" i="69"/>
  <c r="J60" i="69"/>
  <c r="Q49" i="69" s="1"/>
  <c r="J59" i="69"/>
  <c r="J53" i="69"/>
  <c r="F65" i="69"/>
  <c r="Q72" i="69"/>
  <c r="C27" i="69"/>
  <c r="J20" i="69"/>
  <c r="C6" i="69"/>
  <c r="F50" i="69"/>
  <c r="C48" i="69" s="1"/>
  <c r="F70" i="69"/>
  <c r="F67" i="69"/>
  <c r="F64" i="69"/>
  <c r="F62" i="69"/>
  <c r="C61" i="69" s="1"/>
  <c r="C34" i="69"/>
  <c r="Q75" i="69"/>
  <c r="Q62" i="69"/>
  <c r="C17" i="69"/>
  <c r="Q53" i="69" l="1"/>
  <c r="F1" i="69"/>
  <c r="Q67" i="69"/>
  <c r="Q58" i="69"/>
  <c r="J18" i="69"/>
  <c r="C33" i="69"/>
  <c r="C32" i="69"/>
  <c r="Q61" i="69"/>
  <c r="Q74" i="69"/>
  <c r="C31" i="69" l="1"/>
  <c r="C10" i="12" l="1"/>
  <c r="L14" i="1"/>
  <c r="L8" i="1"/>
  <c r="N14" i="1"/>
  <c r="N8" i="1"/>
  <c r="N7" i="1"/>
  <c r="G21" i="6" l="1"/>
  <c r="F20" i="6"/>
  <c r="F19" i="6"/>
  <c r="M13" i="3"/>
  <c r="AN13" i="3" s="1"/>
  <c r="I13" i="3"/>
  <c r="AL13" i="3"/>
  <c r="AD13" i="3"/>
  <c r="K13" i="3"/>
  <c r="N27" i="68"/>
  <c r="B11" i="68"/>
  <c r="C11" i="68"/>
  <c r="D10" i="68"/>
  <c r="D2" i="68"/>
  <c r="D3" i="68"/>
  <c r="D4" i="68"/>
  <c r="D5" i="68"/>
  <c r="D6" i="68"/>
  <c r="D11" i="68" s="1"/>
  <c r="D7" i="68"/>
  <c r="D8" i="68"/>
  <c r="D9" i="68"/>
  <c r="C11" i="4" l="1"/>
  <c r="B6" i="4"/>
  <c r="V5" i="59" l="1"/>
  <c r="U5" i="59"/>
  <c r="T5" i="59"/>
  <c r="S5" i="59"/>
  <c r="AH5" i="59"/>
  <c r="AG5" i="59"/>
  <c r="AF5" i="59"/>
  <c r="AE5" i="59"/>
  <c r="AD5" i="59"/>
  <c r="Q5" i="59"/>
  <c r="P5" i="59"/>
  <c r="O5" i="59"/>
  <c r="N5" i="59"/>
  <c r="X5" i="59" l="1"/>
  <c r="AH6" i="59"/>
  <c r="AG6" i="59"/>
  <c r="AE6" i="59"/>
  <c r="AF6" i="59" s="1"/>
  <c r="AD6" i="59"/>
  <c r="Q6" i="59"/>
  <c r="AB5" i="59" s="1"/>
  <c r="P6" i="59"/>
  <c r="AA5" i="59" s="1"/>
  <c r="O6" i="59"/>
  <c r="Y5" i="59" s="1"/>
  <c r="Z5" i="59" s="1"/>
  <c r="N6" i="59"/>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s="1"/>
  <c r="Q74" i="44"/>
  <c r="Q61" i="44"/>
  <c r="Q60" i="44"/>
  <c r="Q53" i="44"/>
  <c r="J51" i="44"/>
  <c r="J52" i="44"/>
  <c r="M48" i="44"/>
  <c r="A16" i="55"/>
  <c r="A15" i="55"/>
  <c r="B66" i="63"/>
  <c r="A14" i="55"/>
  <c r="A11" i="55"/>
  <c r="A10" i="55"/>
  <c r="B61" i="63"/>
  <c r="A9" i="55"/>
  <c r="B60" i="63"/>
  <c r="A8" i="55"/>
  <c r="A6" i="54"/>
  <c r="A8" i="54"/>
  <c r="B53" i="63" s="1"/>
  <c r="A7" i="54"/>
  <c r="A28" i="51"/>
  <c r="B21" i="63" s="1"/>
  <c r="A27" i="51"/>
  <c r="B20" i="63"/>
  <c r="Q19" i="59"/>
  <c r="AB17" i="59"/>
  <c r="O19" i="59"/>
  <c r="Y17" i="59"/>
  <c r="Z17" i="59"/>
  <c r="N20" i="59"/>
  <c r="O20" i="59"/>
  <c r="P20" i="59"/>
  <c r="Q20" i="59"/>
  <c r="N19" i="59"/>
  <c r="X17" i="59"/>
  <c r="P19" i="59"/>
  <c r="B21" i="59"/>
  <c r="C21" i="59"/>
  <c r="D21" i="59"/>
  <c r="E21" i="59"/>
  <c r="F21" i="59"/>
  <c r="K75" i="9"/>
  <c r="K6" i="4"/>
  <c r="O76" i="9" s="1"/>
  <c r="L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s="1"/>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6" i="3"/>
  <c r="BA17" i="3"/>
  <c r="AZ17" i="3"/>
  <c r="F3" i="35"/>
  <c r="K1" i="43"/>
  <c r="K1" i="12"/>
  <c r="G1" i="44"/>
  <c r="I4" i="6"/>
  <c r="G3" i="46"/>
  <c r="AZ15" i="3"/>
  <c r="G5" i="3"/>
  <c r="B3" i="3"/>
  <c r="BK5" i="3"/>
  <c r="BO5" i="3"/>
  <c r="BP5" i="3"/>
  <c r="BN5" i="3"/>
  <c r="BL18" i="3"/>
  <c r="AZ18" i="3"/>
  <c r="BC5" i="3"/>
  <c r="E8" i="6"/>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B46" i="50"/>
  <c r="B4" i="63"/>
  <c r="C46" i="36"/>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12" i="11" s="1"/>
  <c r="C12" i="11"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AZ5" i="3" s="1"/>
  <c r="E3" i="6" s="1"/>
  <c r="G29" i="6"/>
  <c r="E29" i="6"/>
  <c r="K15" i="1" s="1"/>
  <c r="AZ16" i="3"/>
  <c r="A9" i="64"/>
  <c r="A9" i="51"/>
  <c r="B9" i="63" s="1"/>
  <c r="E4" i="4"/>
  <c r="B21" i="55" s="1"/>
  <c r="B72" i="63" s="1"/>
  <c r="C4" i="4"/>
  <c r="G66" i="36"/>
  <c r="J18" i="36"/>
  <c r="AE6" i="1"/>
  <c r="W18" i="36"/>
  <c r="AC18" i="36"/>
  <c r="AG6" i="1"/>
  <c r="L20" i="6"/>
  <c r="L19" i="6"/>
  <c r="B20" i="55"/>
  <c r="B70" i="63"/>
  <c r="S9" i="1"/>
  <c r="R9" i="1"/>
  <c r="C45" i="9"/>
  <c r="H14" i="66" s="1"/>
  <c r="B7" i="66" s="1"/>
  <c r="O40" i="9"/>
  <c r="K31" i="9"/>
  <c r="K32" i="9" s="1"/>
  <c r="R7" i="54"/>
  <c r="B52" i="63" s="1"/>
  <c r="N76" i="9"/>
  <c r="C46" i="9"/>
  <c r="K33" i="9" s="1"/>
  <c r="K34" i="9"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H22" i="46"/>
  <c r="Y11" i="46"/>
  <c r="Y13" i="46"/>
  <c r="H101" i="46"/>
  <c r="H102" i="46"/>
  <c r="G22" i="46"/>
  <c r="J22" i="46"/>
  <c r="F101" i="46"/>
  <c r="F106" i="46"/>
  <c r="D101" i="46"/>
  <c r="D106" i="46"/>
  <c r="AY6" i="3"/>
  <c r="AY203" i="3" s="1"/>
  <c r="AP7" i="1"/>
  <c r="G13" i="1"/>
  <c r="D46" i="36"/>
  <c r="G6" i="1"/>
  <c r="H70" i="46"/>
  <c r="F107"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J101" i="46"/>
  <c r="J106" i="46" s="1"/>
  <c r="B113" i="46"/>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AH13" i="46"/>
  <c r="C14" i="59"/>
  <c r="C13" i="59"/>
  <c r="T13" i="59"/>
  <c r="B14" i="59"/>
  <c r="B13" i="59"/>
  <c r="S13" i="59"/>
  <c r="D14" i="59"/>
  <c r="V13" i="59"/>
  <c r="D13" i="59"/>
  <c r="D107" i="46"/>
  <c r="H107" i="46"/>
  <c r="H105" i="46"/>
  <c r="H109" i="46"/>
  <c r="D103" i="46"/>
  <c r="D102" i="46"/>
  <c r="H104" i="46"/>
  <c r="H106" i="46"/>
  <c r="D22" i="46"/>
  <c r="C21" i="46" s="1"/>
  <c r="D105" i="46"/>
  <c r="D109" i="46"/>
  <c r="D104" i="46"/>
  <c r="I109" i="46"/>
  <c r="D3" i="6"/>
  <c r="E63" i="40" s="1"/>
  <c r="AY425" i="3"/>
  <c r="AY30" i="3"/>
  <c r="AY528" i="3"/>
  <c r="AY117" i="3"/>
  <c r="AY76" i="3"/>
  <c r="BN6" i="3"/>
  <c r="AY145" i="3"/>
  <c r="AY233" i="3"/>
  <c r="AY520" i="3"/>
  <c r="AY184" i="3"/>
  <c r="AY531" i="3"/>
  <c r="AY244" i="3"/>
  <c r="AY199" i="3"/>
  <c r="AY351" i="3"/>
  <c r="AY63" i="3"/>
  <c r="AY440" i="3"/>
  <c r="AY495" i="3"/>
  <c r="AY339" i="3"/>
  <c r="AY213" i="3"/>
  <c r="AY403" i="3"/>
  <c r="AY391" i="3"/>
  <c r="AY19" i="3"/>
  <c r="AY347" i="3"/>
  <c r="AY470" i="3"/>
  <c r="AY533" i="3"/>
  <c r="AY102" i="3"/>
  <c r="AY462" i="3"/>
  <c r="AY94" i="3"/>
  <c r="AY536" i="3"/>
  <c r="AY517" i="3"/>
  <c r="AY523" i="3"/>
  <c r="E46" i="36"/>
  <c r="F46" i="36" s="1"/>
  <c r="G46" i="36" s="1"/>
  <c r="H46" i="36" s="1"/>
  <c r="N107" i="46"/>
  <c r="N106" i="46"/>
  <c r="I107" i="46"/>
  <c r="K107" i="46"/>
  <c r="K102" i="46"/>
  <c r="K104" i="46"/>
  <c r="E104" i="46"/>
  <c r="E105" i="46"/>
  <c r="E102" i="46"/>
  <c r="L102" i="46"/>
  <c r="L104"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E109" i="46"/>
  <c r="C7" i="46"/>
  <c r="D12" i="59"/>
  <c r="D11" i="59"/>
  <c r="G20" i="46"/>
  <c r="E41" i="46"/>
  <c r="C41" i="46"/>
  <c r="K38" i="9"/>
  <c r="C14" i="66" s="1"/>
  <c r="B2" i="66" s="1"/>
  <c r="E46" i="9"/>
  <c r="C16" i="69"/>
  <c r="I3" i="65"/>
  <c r="L48" i="44"/>
  <c r="F43" i="44"/>
  <c r="F40" i="15"/>
  <c r="F13" i="67"/>
  <c r="L49" i="44"/>
  <c r="M24" i="44"/>
  <c r="I5" i="65"/>
  <c r="M10" i="44"/>
  <c r="F37" i="15"/>
  <c r="F43" i="15"/>
  <c r="M9" i="15"/>
  <c r="J7" i="65"/>
  <c r="F11" i="44"/>
  <c r="F16" i="15"/>
  <c r="F35" i="15"/>
  <c r="M22" i="15"/>
  <c r="M28" i="15"/>
  <c r="I4" i="65"/>
  <c r="B14" i="67"/>
  <c r="J5" i="65"/>
  <c r="E10" i="67"/>
  <c r="M23" i="44"/>
  <c r="J4" i="65"/>
  <c r="B13" i="67"/>
  <c r="N5" i="65"/>
  <c r="N6" i="65"/>
  <c r="L47" i="15"/>
  <c r="F8" i="44"/>
  <c r="J6" i="65"/>
  <c r="F14" i="67"/>
  <c r="J36" i="15"/>
  <c r="F28" i="44"/>
  <c r="B8" i="67"/>
  <c r="M30" i="44"/>
  <c r="L48" i="15"/>
  <c r="M25" i="44"/>
  <c r="M26" i="44"/>
  <c r="E13" i="67"/>
  <c r="C19" i="44"/>
  <c r="F38" i="15"/>
  <c r="F38" i="44"/>
  <c r="B10" i="67"/>
  <c r="J17" i="44"/>
  <c r="F10" i="44"/>
  <c r="E9" i="67"/>
  <c r="I7" i="65"/>
  <c r="AE8" i="1"/>
  <c r="E11" i="67"/>
  <c r="N4" i="65"/>
  <c r="M23" i="15"/>
  <c r="F37" i="44"/>
  <c r="F8" i="15"/>
  <c r="N7" i="65"/>
  <c r="F8" i="67"/>
  <c r="E14" i="67"/>
  <c r="F11" i="67"/>
  <c r="F42" i="15"/>
  <c r="B12" i="67"/>
  <c r="F9" i="67"/>
  <c r="F6" i="15"/>
  <c r="F9" i="15"/>
  <c r="B11" i="67"/>
  <c r="B9" i="67"/>
  <c r="M31" i="44"/>
  <c r="F46" i="44"/>
  <c r="F10" i="67"/>
  <c r="F36" i="15"/>
  <c r="F7" i="15"/>
  <c r="M8" i="15"/>
  <c r="F18" i="44"/>
  <c r="F45" i="44"/>
  <c r="E12" i="67"/>
  <c r="N3" i="65"/>
  <c r="F13" i="15"/>
  <c r="M27" i="15"/>
  <c r="F15" i="44"/>
  <c r="E8" i="67"/>
  <c r="M29" i="44"/>
  <c r="M8" i="44"/>
  <c r="I6" i="65"/>
  <c r="M29" i="15"/>
  <c r="M24" i="15"/>
  <c r="F9" i="44"/>
  <c r="M26" i="15"/>
  <c r="F40" i="44"/>
  <c r="M6" i="15"/>
  <c r="J3" i="65"/>
  <c r="J15" i="15"/>
  <c r="F26" i="15"/>
  <c r="F39" i="44"/>
  <c r="M21" i="15"/>
  <c r="F12" i="67"/>
  <c r="M11" i="44"/>
  <c r="M28" i="44"/>
  <c r="O8" i="1" l="1"/>
  <c r="P8" i="1" s="1"/>
  <c r="C5" i="46"/>
  <c r="D5" i="46"/>
  <c r="M43" i="9"/>
  <c r="D18" i="9"/>
  <c r="M44" i="9" s="1"/>
  <c r="P75" i="15"/>
  <c r="A30" i="51"/>
  <c r="B22" i="63" s="1"/>
  <c r="A30" i="64"/>
  <c r="Q16" i="1"/>
  <c r="F24" i="43" s="1"/>
  <c r="C26" i="43" s="1"/>
  <c r="D24" i="43" s="1"/>
  <c r="C104" i="46"/>
  <c r="F33" i="12"/>
  <c r="F31" i="6"/>
  <c r="E14" i="6"/>
  <c r="E66" i="39" s="1"/>
  <c r="E13" i="6"/>
  <c r="E65" i="39" s="1"/>
  <c r="E10" i="6"/>
  <c r="D10" i="6" s="1"/>
  <c r="E15" i="6"/>
  <c r="E67" i="39" s="1"/>
  <c r="E12" i="6"/>
  <c r="E64" i="39" s="1"/>
  <c r="E11" i="6"/>
  <c r="E63" i="39" s="1"/>
  <c r="D22" i="6"/>
  <c r="D8" i="6"/>
  <c r="C22" i="4"/>
  <c r="N5" i="54" s="1"/>
  <c r="B43" i="63" s="1"/>
  <c r="C106" i="46"/>
  <c r="AY535" i="3"/>
  <c r="BJ6" i="3"/>
  <c r="AY511" i="3"/>
  <c r="AY51" i="3"/>
  <c r="AY332" i="3"/>
  <c r="AY89" i="3"/>
  <c r="AY119" i="3"/>
  <c r="AY345" i="3"/>
  <c r="AY513" i="3"/>
  <c r="AY300" i="3"/>
  <c r="AY454" i="3"/>
  <c r="AY110" i="3"/>
  <c r="AY547" i="3"/>
  <c r="AY363" i="3"/>
  <c r="AY195" i="3"/>
  <c r="AY71" i="3"/>
  <c r="AY328" i="3"/>
  <c r="AY174" i="3"/>
  <c r="AY399" i="3"/>
  <c r="AY485" i="3"/>
  <c r="AY151" i="3"/>
  <c r="AY453" i="3"/>
  <c r="AY131" i="3"/>
  <c r="AY472" i="3"/>
  <c r="BL6" i="3"/>
  <c r="AY193" i="3"/>
  <c r="AY337" i="3"/>
  <c r="AY36" i="3"/>
  <c r="AY188" i="3"/>
  <c r="AY169" i="3"/>
  <c r="AY83" i="3"/>
  <c r="L27" i="6"/>
  <c r="D5" i="6"/>
  <c r="D24" i="6"/>
  <c r="F45" i="9"/>
  <c r="D21" i="6"/>
  <c r="C103" i="46"/>
  <c r="J107" i="46"/>
  <c r="E60" i="40"/>
  <c r="AY452" i="3"/>
  <c r="AY292" i="3"/>
  <c r="AY477" i="3"/>
  <c r="AY180" i="3"/>
  <c r="AY439" i="3"/>
  <c r="AY167" i="3"/>
  <c r="AY541" i="3"/>
  <c r="AY551" i="3"/>
  <c r="AY473" i="3"/>
  <c r="AY33" i="3"/>
  <c r="AY306" i="3"/>
  <c r="AY522" i="3"/>
  <c r="AY59" i="3"/>
  <c r="AY173" i="3"/>
  <c r="AY237" i="3"/>
  <c r="AY23" i="3"/>
  <c r="AY61" i="3"/>
  <c r="AY215" i="3"/>
  <c r="AY48" i="3"/>
  <c r="AY507" i="3"/>
  <c r="AY499" i="3"/>
  <c r="AY514" i="3"/>
  <c r="AY298" i="3"/>
  <c r="AY502" i="3"/>
  <c r="AY455" i="3"/>
  <c r="AY433" i="3"/>
  <c r="AY545" i="3"/>
  <c r="AY267" i="3"/>
  <c r="AY401" i="3"/>
  <c r="AY235" i="3"/>
  <c r="AY190" i="3"/>
  <c r="AY223" i="3"/>
  <c r="AY344" i="3"/>
  <c r="AY358" i="3"/>
  <c r="AY90" i="3"/>
  <c r="AY480" i="3"/>
  <c r="AY553" i="3"/>
  <c r="BP6" i="3"/>
  <c r="AY565" i="3"/>
  <c r="AY137" i="3"/>
  <c r="AY360" i="3"/>
  <c r="BQ6" i="3"/>
  <c r="AY225" i="3"/>
  <c r="AY249" i="3"/>
  <c r="AY206" i="3"/>
  <c r="AY329" i="3"/>
  <c r="AY96" i="3"/>
  <c r="AY248" i="3"/>
  <c r="AY160" i="3"/>
  <c r="BD6" i="3"/>
  <c r="AY27" i="3"/>
  <c r="AY465" i="3"/>
  <c r="AY341" i="3"/>
  <c r="AY123" i="3"/>
  <c r="AY333" i="3"/>
  <c r="AY516" i="3"/>
  <c r="AY157" i="3"/>
  <c r="AY382" i="3"/>
  <c r="AY72" i="3"/>
  <c r="AY286" i="3"/>
  <c r="AY27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82" i="3"/>
  <c r="AY41" i="3"/>
  <c r="AY128" i="3"/>
  <c r="AY504" i="3"/>
  <c r="AY182" i="3"/>
  <c r="AY175" i="3"/>
  <c r="AY264" i="3"/>
  <c r="AY467" i="3"/>
  <c r="AY479" i="3"/>
  <c r="AY139" i="3"/>
  <c r="AY364" i="3"/>
  <c r="AY70" i="3"/>
  <c r="AY238" i="3"/>
  <c r="BK6" i="3"/>
  <c r="AY115" i="3"/>
  <c r="AY435" i="3"/>
  <c r="AY230" i="3"/>
  <c r="AY132" i="3"/>
  <c r="AY420"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D29" i="6"/>
  <c r="D9" i="6"/>
  <c r="D26" i="6"/>
  <c r="E68" i="39"/>
  <c r="E45" i="9"/>
  <c r="D20" i="6"/>
  <c r="D23" i="6"/>
  <c r="D25" i="6"/>
  <c r="D19" i="6"/>
  <c r="D27" i="6" s="1"/>
  <c r="C105" i="46"/>
  <c r="C102" i="46"/>
  <c r="C107" i="46"/>
  <c r="J103" i="46"/>
  <c r="AY508" i="3"/>
  <c r="AY491" i="3"/>
  <c r="AY121" i="3"/>
  <c r="AY441" i="3"/>
  <c r="BE6" i="3"/>
  <c r="AY482" i="3"/>
  <c r="AY354" i="3"/>
  <c r="AY474" i="3"/>
  <c r="AY521" i="3"/>
  <c r="AY496" i="3"/>
  <c r="AY255" i="3"/>
  <c r="AY466" i="3"/>
  <c r="AY570" i="3"/>
  <c r="AY301" i="3"/>
  <c r="AY165" i="3"/>
  <c r="AY373" i="3"/>
  <c r="AY196" i="3"/>
  <c r="AY426" i="3"/>
  <c r="BG6" i="3"/>
  <c r="AY243" i="3"/>
  <c r="AY261" i="3"/>
  <c r="AY419" i="3"/>
  <c r="AY134" i="3"/>
  <c r="AY79" i="3"/>
  <c r="AY444" i="3"/>
  <c r="AY284" i="3"/>
  <c r="AY312" i="3"/>
  <c r="AY338" i="3"/>
  <c r="AY460" i="3"/>
  <c r="AY353" i="3"/>
  <c r="AY54" i="3"/>
  <c r="AY296" i="3"/>
  <c r="AY451" i="3"/>
  <c r="AY251" i="3"/>
  <c r="AY568" i="3"/>
  <c r="BB6" i="3"/>
  <c r="AY488" i="3"/>
  <c r="AY212" i="3"/>
  <c r="AY566" i="3"/>
  <c r="AY564" i="3"/>
  <c r="AY231" i="3"/>
  <c r="AY524" i="3"/>
  <c r="AY263" i="3"/>
  <c r="AY177" i="3"/>
  <c r="AY469" i="3"/>
  <c r="AY164" i="3"/>
  <c r="BI6" i="3"/>
  <c r="AY377" i="3"/>
  <c r="AY468" i="3"/>
  <c r="AY297" i="3"/>
  <c r="AY210" i="3"/>
  <c r="AY490" i="3"/>
  <c r="BO6" i="3"/>
  <c r="AY393" i="3"/>
  <c r="AY189" i="3"/>
  <c r="AY395" i="3"/>
  <c r="AY322" i="3"/>
  <c r="AY281" i="3"/>
  <c r="AY40" i="3"/>
  <c r="AY475" i="3"/>
  <c r="AY60" i="3"/>
  <c r="AY240" i="3"/>
  <c r="AY108" i="3"/>
  <c r="AY506" i="3"/>
  <c r="AY483" i="3"/>
  <c r="AY559" i="3"/>
  <c r="AY185" i="3"/>
  <c r="AY375" i="3"/>
  <c r="AY447" i="3"/>
  <c r="AY153" i="3"/>
  <c r="AY299" i="3"/>
  <c r="AY78" i="3"/>
  <c r="AY208" i="3"/>
  <c r="AY20" i="3"/>
  <c r="AY503" i="3"/>
  <c r="AY247" i="3"/>
  <c r="AY415" i="3"/>
  <c r="AY112" i="3"/>
  <c r="AY518" i="3"/>
  <c r="AY456" i="3"/>
  <c r="AY388" i="3"/>
  <c r="AY370" i="3"/>
  <c r="AY323" i="3"/>
  <c r="BT6" i="3"/>
  <c r="AY319" i="3"/>
  <c r="AY413" i="3"/>
  <c r="AY166" i="3"/>
  <c r="AY367" i="3"/>
  <c r="AY29" i="3"/>
  <c r="AY316" i="3"/>
  <c r="AY138" i="3"/>
  <c r="AY471" i="3"/>
  <c r="AY365" i="3"/>
  <c r="AY171" i="3"/>
  <c r="AY409" i="3"/>
  <c r="AY368" i="3"/>
  <c r="AY259" i="3"/>
  <c r="AY75" i="3"/>
  <c r="AY154" i="3"/>
  <c r="AY510" i="3"/>
  <c r="AY207" i="3"/>
  <c r="AY268" i="3"/>
  <c r="AY320" i="3"/>
  <c r="AY314" i="3"/>
  <c r="AY321" i="3"/>
  <c r="AY197" i="3"/>
  <c r="AY25" i="3"/>
  <c r="AY183" i="3"/>
  <c r="AY374" i="3"/>
  <c r="AY408" i="3"/>
  <c r="AY246" i="3"/>
  <c r="AY52" i="3"/>
  <c r="AY236" i="3"/>
  <c r="AY308" i="3"/>
  <c r="AY143" i="3"/>
  <c r="AY555" i="3"/>
  <c r="AY542" i="3"/>
  <c r="AY241" i="3"/>
  <c r="AY348" i="3"/>
  <c r="AY398" i="3"/>
  <c r="AY202" i="3"/>
  <c r="AY384" i="3"/>
  <c r="AY45" i="3"/>
  <c r="AY95" i="3"/>
  <c r="AY37" i="3"/>
  <c r="G30" i="6"/>
  <c r="G31" i="6" s="1"/>
  <c r="E28" i="6"/>
  <c r="D16" i="12"/>
  <c r="D19" i="12" s="1"/>
  <c r="C19" i="12" s="1"/>
  <c r="L38" i="9"/>
  <c r="B14" i="66" s="1"/>
  <c r="B1" i="66" s="1"/>
  <c r="D45" i="9"/>
  <c r="D16" i="43"/>
  <c r="C16" i="43" s="1"/>
  <c r="E6" i="6"/>
  <c r="D22" i="12" s="1"/>
  <c r="C22" i="12" s="1"/>
  <c r="C21" i="4"/>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E62" i="40"/>
  <c r="L106" i="46"/>
  <c r="E107" i="46"/>
  <c r="E103" i="46"/>
  <c r="K105" i="46"/>
  <c r="K106" i="46"/>
  <c r="E61" i="40"/>
  <c r="M104" i="46"/>
  <c r="E58" i="40"/>
  <c r="D12" i="6"/>
  <c r="J102" i="46"/>
  <c r="N102" i="46"/>
  <c r="I103" i="46"/>
  <c r="I104" i="46"/>
  <c r="E59" i="40"/>
  <c r="E16" i="6"/>
  <c r="H16" i="1"/>
  <c r="D13" i="6"/>
  <c r="D21" i="12"/>
  <c r="C21" i="12" s="1"/>
  <c r="H20" i="12" s="1"/>
  <c r="B29" i="1" s="1"/>
  <c r="O7" i="1"/>
  <c r="P7" i="1" s="1"/>
  <c r="O11" i="1"/>
  <c r="P11" i="1" s="1"/>
  <c r="O13" i="1"/>
  <c r="P13" i="1" s="1"/>
  <c r="P6" i="1"/>
  <c r="O9" i="1"/>
  <c r="O12" i="1"/>
  <c r="P12" i="1" s="1"/>
  <c r="D15" i="6"/>
  <c r="D11" i="6"/>
  <c r="J109" i="46"/>
  <c r="J105" i="46"/>
  <c r="J104" i="46"/>
  <c r="D113" i="46"/>
  <c r="I105" i="46"/>
  <c r="N103" i="46"/>
  <c r="N109" i="46"/>
  <c r="N104" i="46"/>
  <c r="E6" i="3"/>
  <c r="M105" i="46"/>
  <c r="M102" i="46"/>
  <c r="M106" i="46"/>
  <c r="I106" i="46"/>
  <c r="M109" i="46"/>
  <c r="M103" i="46"/>
  <c r="A18" i="51"/>
  <c r="B14" i="63" s="1"/>
  <c r="L5" i="54"/>
  <c r="B39" i="63" s="1"/>
  <c r="K5" i="54"/>
  <c r="T41" i="4"/>
  <c r="A18" i="64"/>
  <c r="B74" i="63" s="1"/>
  <c r="C53" i="10"/>
  <c r="A25" i="64" s="1"/>
  <c r="A17" i="64"/>
  <c r="A17" i="51"/>
  <c r="B13" i="63" s="1"/>
  <c r="K17" i="4"/>
  <c r="A22" i="51" s="1"/>
  <c r="B16" i="63" s="1"/>
  <c r="K76" i="9"/>
  <c r="K77" i="9" s="1"/>
  <c r="K79" i="9" s="1"/>
  <c r="K81" i="9" s="1"/>
  <c r="N4" i="63"/>
  <c r="F46" i="9"/>
  <c r="O41" i="9"/>
  <c r="R8" i="54" s="1"/>
  <c r="B54" i="63" s="1"/>
  <c r="C7" i="66"/>
  <c r="D7" i="66"/>
  <c r="D46" i="9"/>
  <c r="I14" i="66"/>
  <c r="B8" i="66" s="1"/>
  <c r="A25" i="51"/>
  <c r="B18" i="63" s="1"/>
  <c r="AP16" i="1"/>
  <c r="F22" i="11" s="1"/>
  <c r="C95" i="9"/>
  <c r="C92" i="9" s="1"/>
  <c r="C25" i="12"/>
  <c r="C15" i="43"/>
  <c r="C31" i="43"/>
  <c r="C15" i="12"/>
  <c r="C30" i="44"/>
  <c r="C27" i="43"/>
  <c r="C28" i="15"/>
  <c r="G16" i="1"/>
  <c r="H12" i="39" s="1"/>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E12" i="52"/>
  <c r="B15" i="52"/>
  <c r="F31" i="15"/>
  <c r="F33" i="44"/>
  <c r="D8" i="59"/>
  <c r="C7" i="59"/>
  <c r="E9" i="59"/>
  <c r="E8" i="59" s="1"/>
  <c r="E7" i="59" s="1"/>
  <c r="E6" i="59" s="1"/>
  <c r="E5" i="59" s="1"/>
  <c r="B9" i="59"/>
  <c r="B8" i="59" s="1"/>
  <c r="B7" i="59" s="1"/>
  <c r="B6" i="59" s="1"/>
  <c r="B5" i="59" s="1"/>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6" i="15"/>
  <c r="C17" i="15"/>
  <c r="E2" i="65"/>
  <c r="C18" i="44"/>
  <c r="E3" i="65"/>
  <c r="F11" i="69" l="1"/>
  <c r="M11" i="69"/>
  <c r="J10" i="69" s="1"/>
  <c r="J5" i="69" s="1"/>
  <c r="C34" i="12"/>
  <c r="D33" i="12" s="1"/>
  <c r="S5" i="46"/>
  <c r="S3" i="46"/>
  <c r="S6" i="46"/>
  <c r="S2" i="46"/>
  <c r="S7" i="46"/>
  <c r="S4" i="46"/>
  <c r="C16" i="12"/>
  <c r="D14" i="6"/>
  <c r="D16" i="6" s="1"/>
  <c r="K19" i="6"/>
  <c r="S6" i="1" s="1"/>
  <c r="K14" i="1"/>
  <c r="K24" i="6"/>
  <c r="M24" i="6" s="1"/>
  <c r="I24" i="6" s="1"/>
  <c r="E30" i="6"/>
  <c r="E31" i="6" s="1"/>
  <c r="K25" i="6"/>
  <c r="M25" i="6" s="1"/>
  <c r="I25" i="6" s="1"/>
  <c r="K20" i="6"/>
  <c r="K26" i="6"/>
  <c r="M26" i="6" s="1"/>
  <c r="I26" i="6" s="1"/>
  <c r="K22" i="6"/>
  <c r="M22" i="6" s="1"/>
  <c r="I22" i="6" s="1"/>
  <c r="K23" i="6"/>
  <c r="M23" i="6" s="1"/>
  <c r="I23" i="6" s="1"/>
  <c r="K21" i="6"/>
  <c r="D28" i="6"/>
  <c r="D30" i="6" s="1"/>
  <c r="D31" i="6" s="1"/>
  <c r="I6" i="6" s="1"/>
  <c r="J12" i="40"/>
  <c r="W12" i="40" s="1"/>
  <c r="D13" i="11"/>
  <c r="C13" i="11" s="1"/>
  <c r="D6" i="6"/>
  <c r="A20" i="51"/>
  <c r="B15" i="63" s="1"/>
  <c r="O5" i="54"/>
  <c r="B45" i="63" s="1"/>
  <c r="A6" i="51"/>
  <c r="B7" i="63" s="1"/>
  <c r="A20" i="64"/>
  <c r="A6" i="64"/>
  <c r="F12" i="40"/>
  <c r="AA12" i="40" s="1"/>
  <c r="H12" i="40"/>
  <c r="AB12" i="40" s="1"/>
  <c r="P9" i="1"/>
  <c r="B38" i="63"/>
  <c r="A3" i="55"/>
  <c r="B56" i="63" s="1"/>
  <c r="F12" i="39"/>
  <c r="S12" i="39" s="1"/>
  <c r="J12" i="39"/>
  <c r="AC12" i="39" s="1"/>
  <c r="C8" i="66"/>
  <c r="D8" i="66"/>
  <c r="F7" i="34"/>
  <c r="J7" i="34"/>
  <c r="H7" i="21"/>
  <c r="F7" i="21"/>
  <c r="H7" i="35"/>
  <c r="U7" i="35" s="1"/>
  <c r="B40" i="1"/>
  <c r="F24" i="69" s="1"/>
  <c r="E65" i="40"/>
  <c r="D67" i="40"/>
  <c r="AC7" i="33"/>
  <c r="V48" i="33" s="1"/>
  <c r="I48" i="33" s="1"/>
  <c r="W7" i="33"/>
  <c r="U12" i="40"/>
  <c r="S7" i="34"/>
  <c r="AA7" i="34"/>
  <c r="R49" i="34" s="1"/>
  <c r="W7" i="34"/>
  <c r="AC7" i="34"/>
  <c r="V49" i="34" s="1"/>
  <c r="I49" i="34" s="1"/>
  <c r="U7" i="21"/>
  <c r="AB7" i="21"/>
  <c r="T48" i="21" s="1"/>
  <c r="G48" i="21" s="1"/>
  <c r="AA7" i="21"/>
  <c r="R48" i="21" s="1"/>
  <c r="S7" i="21"/>
  <c r="AB7" i="35"/>
  <c r="T38" i="35" s="1"/>
  <c r="G38" i="35" s="1"/>
  <c r="J7" i="37"/>
  <c r="W7" i="21"/>
  <c r="AC7" i="21"/>
  <c r="V48" i="21" s="1"/>
  <c r="I48" i="21" s="1"/>
  <c r="AB12" i="39"/>
  <c r="U12" i="39"/>
  <c r="D72" i="39"/>
  <c r="E70" i="39"/>
  <c r="AB7" i="34"/>
  <c r="T49" i="34" s="1"/>
  <c r="G49" i="34" s="1"/>
  <c r="U7" i="34"/>
  <c r="H7" i="33"/>
  <c r="F7" i="33"/>
  <c r="J46" i="36"/>
  <c r="J7" i="35"/>
  <c r="F7" i="35"/>
  <c r="H7" i="37"/>
  <c r="F7" i="37"/>
  <c r="D7" i="59"/>
  <c r="C6" i="59"/>
  <c r="M19" i="44"/>
  <c r="C19" i="46"/>
  <c r="C34" i="46" s="1"/>
  <c r="F17" i="1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C52" i="69" l="1"/>
  <c r="C47" i="69" s="1"/>
  <c r="C10" i="69"/>
  <c r="C5" i="69" s="1"/>
  <c r="C24" i="69"/>
  <c r="J26" i="69"/>
  <c r="J24" i="69"/>
  <c r="M21" i="6"/>
  <c r="I21" i="6" s="1"/>
  <c r="S8" i="1"/>
  <c r="M20" i="6"/>
  <c r="I20" i="6" s="1"/>
  <c r="S7" i="1"/>
  <c r="S16" i="1" s="1"/>
  <c r="I5" i="6"/>
  <c r="AA12" i="39"/>
  <c r="AC12" i="40"/>
  <c r="S12" i="40"/>
  <c r="H21" i="6"/>
  <c r="R21" i="6" s="1"/>
  <c r="R8" i="1" s="1"/>
  <c r="S21" i="6"/>
  <c r="H22" i="6"/>
  <c r="R22" i="6" s="1"/>
  <c r="S22" i="6"/>
  <c r="H20" i="6"/>
  <c r="R20" i="6" s="1"/>
  <c r="R7" i="1" s="1"/>
  <c r="S20" i="6"/>
  <c r="H23" i="6"/>
  <c r="R23" i="6" s="1"/>
  <c r="S23" i="6"/>
  <c r="H26" i="6"/>
  <c r="R26" i="6" s="1"/>
  <c r="S26" i="6"/>
  <c r="H25" i="6"/>
  <c r="R25" i="6" s="1"/>
  <c r="S25" i="6"/>
  <c r="H24" i="6"/>
  <c r="R24" i="6" s="1"/>
  <c r="S24" i="6"/>
  <c r="M19" i="6"/>
  <c r="K27" i="6"/>
  <c r="M14" i="1"/>
  <c r="K16" i="1"/>
  <c r="W12" i="39"/>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6" i="59"/>
  <c r="C5"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4" i="46"/>
  <c r="G34" i="46"/>
  <c r="I34" i="46" s="1"/>
  <c r="J18" i="15"/>
  <c r="J5" i="15"/>
  <c r="C40" i="44"/>
  <c r="J28" i="44"/>
  <c r="J31" i="44" s="1"/>
  <c r="J26" i="44"/>
  <c r="C52" i="15"/>
  <c r="C47" i="15" s="1"/>
  <c r="C10" i="15"/>
  <c r="C5" i="15" s="1"/>
  <c r="F41" i="15"/>
  <c r="F41" i="69"/>
  <c r="F68" i="69" l="1"/>
  <c r="J29" i="69"/>
  <c r="G33" i="46"/>
  <c r="I33" i="46" s="1"/>
  <c r="C27" i="46" s="1"/>
  <c r="E36" i="46"/>
  <c r="C60" i="69"/>
  <c r="C59" i="69"/>
  <c r="C65" i="69"/>
  <c r="C38" i="69"/>
  <c r="F68" i="15"/>
  <c r="E37" i="46"/>
  <c r="E35" i="46"/>
  <c r="O14" i="1"/>
  <c r="T13" i="1"/>
  <c r="T11" i="1"/>
  <c r="M16" i="1"/>
  <c r="N16" i="1" s="1"/>
  <c r="C29" i="43" s="1"/>
  <c r="T9" i="1"/>
  <c r="T12" i="1"/>
  <c r="T8" i="1"/>
  <c r="T10" i="1"/>
  <c r="T7" i="1"/>
  <c r="T6" i="1"/>
  <c r="M27" i="6"/>
  <c r="I19" i="6"/>
  <c r="E38" i="46"/>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5" i="59"/>
  <c r="M20" i="46"/>
  <c r="E29" i="46"/>
  <c r="C65" i="15"/>
  <c r="C59" i="15"/>
  <c r="J26" i="15"/>
  <c r="J29" i="15" s="1"/>
  <c r="J24" i="15"/>
  <c r="C38" i="15"/>
  <c r="Q58" i="44"/>
  <c r="Q67" i="44"/>
  <c r="Q49" i="44"/>
  <c r="Q55" i="44" s="1"/>
  <c r="C14" i="69"/>
  <c r="C14" i="15"/>
  <c r="C16" i="44"/>
  <c r="F7" i="67"/>
  <c r="C15" i="69" l="1"/>
  <c r="C18" i="69"/>
  <c r="C58" i="69"/>
  <c r="C20" i="44"/>
  <c r="C17" i="44"/>
  <c r="C18" i="15"/>
  <c r="C15" i="15"/>
  <c r="T16" i="1"/>
  <c r="L16" i="1"/>
  <c r="C13" i="43"/>
  <c r="I27" i="6"/>
  <c r="H19" i="6"/>
  <c r="S19" i="6"/>
  <c r="S27" i="6" s="1"/>
  <c r="P14" i="1"/>
  <c r="P16" i="1" s="1"/>
  <c r="C13" i="12" s="1"/>
  <c r="O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C19" i="69" l="1"/>
  <c r="C20" i="69" s="1"/>
  <c r="C26" i="69" s="1"/>
  <c r="C21" i="44"/>
  <c r="C19" i="15"/>
  <c r="C20" i="15" s="1"/>
  <c r="C26" i="15" s="1"/>
  <c r="R19" i="6"/>
  <c r="H27" i="6"/>
  <c r="C22" i="44"/>
  <c r="C28" i="44" s="1"/>
  <c r="C14" i="12"/>
  <c r="C17" i="12"/>
  <c r="C17" i="43"/>
  <c r="C14" i="43"/>
  <c r="I65" i="40"/>
  <c r="H67" i="40"/>
  <c r="H72" i="39"/>
  <c r="I70" i="39"/>
  <c r="N46" i="36"/>
  <c r="E3" i="67"/>
  <c r="B2" i="67"/>
  <c r="D4" i="46"/>
  <c r="B3" i="46"/>
  <c r="B4" i="46"/>
  <c r="C23" i="69" l="1"/>
  <c r="C29" i="69" s="1"/>
  <c r="C18" i="12"/>
  <c r="C18" i="43"/>
  <c r="C19" i="43" s="1"/>
  <c r="C25" i="43" s="1"/>
  <c r="C24" i="43" s="1"/>
  <c r="R27" i="6"/>
  <c r="R6" i="1"/>
  <c r="R16" i="1" s="1"/>
  <c r="O46" i="36"/>
  <c r="J7" i="36" s="1"/>
  <c r="F7" i="36"/>
  <c r="H7" i="36"/>
  <c r="J65" i="40"/>
  <c r="I67" i="40"/>
  <c r="J70" i="39"/>
  <c r="I72" i="39"/>
  <c r="B3" i="67"/>
  <c r="B4" i="67"/>
  <c r="J19" i="69" l="1"/>
  <c r="J17" i="69" s="1"/>
  <c r="C56" i="69"/>
  <c r="C63" i="69" s="1"/>
  <c r="J14" i="69"/>
  <c r="C13" i="69"/>
  <c r="C36" i="69"/>
  <c r="Q50" i="69"/>
  <c r="K70" i="39"/>
  <c r="J72" i="39"/>
  <c r="U7" i="36"/>
  <c r="AB7" i="36"/>
  <c r="T36" i="36" s="1"/>
  <c r="G36" i="36" s="1"/>
  <c r="AC7" i="36"/>
  <c r="V36" i="36" s="1"/>
  <c r="I36" i="36" s="1"/>
  <c r="W7" i="36"/>
  <c r="J67" i="40"/>
  <c r="K65" i="40"/>
  <c r="S7" i="36"/>
  <c r="AA7" i="36"/>
  <c r="R36" i="36" s="1"/>
  <c r="J13" i="69" l="1"/>
  <c r="J23" i="69" s="1"/>
  <c r="J22" i="69"/>
  <c r="Q71" i="69"/>
  <c r="C55" i="69"/>
  <c r="C64" i="69" s="1"/>
  <c r="C57" i="69" s="1"/>
  <c r="C66" i="69" s="1"/>
  <c r="C67" i="69" s="1"/>
  <c r="J35" i="69"/>
  <c r="C37" i="69"/>
  <c r="C30" i="69" s="1"/>
  <c r="C39" i="69" s="1"/>
  <c r="R37" i="36"/>
  <c r="E36" i="36"/>
  <c r="K67" i="40"/>
  <c r="L65" i="40"/>
  <c r="G41" i="36"/>
  <c r="H41" i="36" s="1"/>
  <c r="G40" i="36"/>
  <c r="H40" i="36" s="1"/>
  <c r="I40" i="36"/>
  <c r="J40" i="36" s="1"/>
  <c r="I41" i="36"/>
  <c r="J41" i="36" s="1"/>
  <c r="L70" i="39"/>
  <c r="K72" i="39"/>
  <c r="L51" i="69"/>
  <c r="J16" i="69" l="1"/>
  <c r="J25" i="69" s="1"/>
  <c r="Q68" i="69"/>
  <c r="C70" i="69"/>
  <c r="C40" i="69"/>
  <c r="C46" i="69" s="1"/>
  <c r="Q70" i="69"/>
  <c r="Q69" i="69" s="1"/>
  <c r="J39" i="69"/>
  <c r="J40" i="69" s="1"/>
  <c r="L72" i="39"/>
  <c r="M70" i="39"/>
  <c r="M65" i="40"/>
  <c r="L67" i="40"/>
  <c r="E40" i="36"/>
  <c r="F40" i="36" s="1"/>
  <c r="E41" i="36"/>
  <c r="F41" i="36" s="1"/>
  <c r="C37" i="36"/>
  <c r="B3" i="36" s="1"/>
  <c r="B2" i="36" s="1"/>
  <c r="C36" i="36"/>
  <c r="Q66" i="69" l="1"/>
  <c r="Q76" i="69" s="1"/>
  <c r="Q48" i="69"/>
  <c r="Q54" i="69" s="1"/>
  <c r="B2" i="69"/>
  <c r="Q57" i="69"/>
  <c r="Q63" i="69" s="1"/>
  <c r="C43" i="69"/>
  <c r="C44" i="69" s="1"/>
  <c r="J42" i="69"/>
  <c r="J43" i="69" s="1"/>
  <c r="N65" i="40"/>
  <c r="N67" i="40" s="1"/>
  <c r="M67" i="40"/>
  <c r="N70" i="39"/>
  <c r="N72" i="39" s="1"/>
  <c r="M72" i="39"/>
  <c r="E10" i="12" l="1"/>
  <c r="B3" i="69"/>
  <c r="E8" i="12" s="1"/>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6" i="44"/>
  <c r="C25" i="44"/>
  <c r="C23" i="43"/>
  <c r="D21" i="43" s="1"/>
  <c r="C22" i="43"/>
  <c r="C21" i="43" s="1"/>
  <c r="C28" i="43" l="1"/>
  <c r="C30" i="43" s="1"/>
  <c r="C32" i="43" s="1"/>
  <c r="B2" i="43" s="1"/>
  <c r="B5" i="43" s="1"/>
  <c r="C31" i="44"/>
  <c r="C15" i="44" s="1"/>
  <c r="C29" i="15"/>
  <c r="C13" i="15" s="1"/>
  <c r="J21" i="44"/>
  <c r="J19" i="44" s="1"/>
  <c r="C33" i="15"/>
  <c r="C31" i="15" s="1"/>
  <c r="J59" i="15"/>
  <c r="J60" i="15" s="1"/>
  <c r="C35" i="44" l="1"/>
  <c r="C33" i="44" s="1"/>
  <c r="C38" i="44"/>
  <c r="J16" i="44"/>
  <c r="J15" i="44" s="1"/>
  <c r="J25" i="44" s="1"/>
  <c r="Q51" i="44"/>
  <c r="J19" i="15"/>
  <c r="J17" i="15" s="1"/>
  <c r="C56" i="15"/>
  <c r="Q50" i="15"/>
  <c r="C36" i="15"/>
  <c r="J14" i="15"/>
  <c r="J22" i="15" s="1"/>
  <c r="B4" i="43"/>
  <c r="B3" i="43"/>
  <c r="Q49" i="15"/>
  <c r="C37" i="15"/>
  <c r="Q71" i="15"/>
  <c r="J35" i="15"/>
  <c r="C55" i="15"/>
  <c r="C64" i="15" s="1"/>
  <c r="J24" i="44"/>
  <c r="Q72" i="44"/>
  <c r="C39" i="44"/>
  <c r="C43" i="44"/>
  <c r="C60" i="15"/>
  <c r="C58" i="15" s="1"/>
  <c r="C63" i="15"/>
  <c r="C32" i="44" l="1"/>
  <c r="C42" i="44" s="1"/>
  <c r="C44" i="44" s="1"/>
  <c r="C45" i="44" s="1"/>
  <c r="J13" i="15"/>
  <c r="J23" i="15" s="1"/>
  <c r="J16" i="15" s="1"/>
  <c r="J25" i="15" s="1"/>
  <c r="C30" i="15"/>
  <c r="C39" i="15" s="1"/>
  <c r="Q70" i="15" s="1"/>
  <c r="Q69" i="15" s="1"/>
  <c r="C57" i="15"/>
  <c r="C66" i="15" s="1"/>
  <c r="C67" i="15" s="1"/>
  <c r="C70" i="15" s="1"/>
  <c r="J18" i="44"/>
  <c r="J27" i="44" s="1"/>
  <c r="L57" i="15"/>
  <c r="L60" i="15" s="1"/>
  <c r="L46" i="15" s="1"/>
  <c r="Q71" i="44"/>
  <c r="Q70" i="44" s="1"/>
  <c r="L51" i="15"/>
  <c r="C40" i="15" l="1"/>
  <c r="C46" i="15" s="1"/>
  <c r="J39" i="15"/>
  <c r="J40" i="15" s="1"/>
  <c r="Q68" i="15"/>
  <c r="B2" i="44"/>
  <c r="L52" i="44"/>
  <c r="Q67" i="15"/>
  <c r="Q58" i="15"/>
  <c r="Q48" i="15" l="1"/>
  <c r="Q54" i="15" s="1"/>
  <c r="C43" i="15"/>
  <c r="Q57" i="15"/>
  <c r="Q63" i="15" s="1"/>
  <c r="J42" i="15"/>
  <c r="J43" i="15" s="1"/>
  <c r="Q66" i="15"/>
  <c r="Q76" i="15" s="1"/>
  <c r="B2" i="15"/>
  <c r="B3" i="15" s="1"/>
  <c r="D8" i="12" s="1"/>
  <c r="Q69" i="44"/>
  <c r="L58" i="44"/>
  <c r="L61" i="44" s="1"/>
  <c r="B3" i="44"/>
  <c r="B5" i="44"/>
  <c r="B4" i="44"/>
  <c r="D10" i="12" l="1"/>
  <c r="C6" i="12" s="1"/>
  <c r="C24" i="12" s="1"/>
  <c r="Q59" i="44"/>
  <c r="Q64" i="44" s="1"/>
  <c r="Q68" i="44"/>
  <c r="Q77" i="44" s="1"/>
  <c r="C29" i="12" l="1"/>
  <c r="D66" i="9"/>
  <c r="N72" i="9"/>
  <c r="C11" i="11"/>
  <c r="C10" i="11" s="1"/>
  <c r="C18" i="11" l="1"/>
  <c r="C17" i="11"/>
  <c r="C19" i="11" l="1"/>
  <c r="C20" i="11" s="1"/>
  <c r="C21" i="11" s="1"/>
  <c r="C22" i="11" s="1"/>
  <c r="C23" i="11" s="1"/>
  <c r="B2" i="11" s="1"/>
  <c r="B5" i="11" l="1"/>
  <c r="B4" i="11"/>
  <c r="B3" i="11"/>
  <c r="C20" i="12"/>
  <c r="C23" i="12" l="1"/>
  <c r="C35" i="12" s="1"/>
  <c r="C33" i="12" s="1"/>
  <c r="C28" i="12" l="1"/>
  <c r="C26" i="12" s="1"/>
  <c r="C31" i="12" s="1"/>
  <c r="C30" i="12" s="1"/>
  <c r="C36" i="12" s="1"/>
  <c r="B2" i="12" s="1"/>
  <c r="C19" i="9"/>
  <c r="D19" i="9"/>
  <c r="D27" i="9" l="1"/>
  <c r="L44" i="9"/>
  <c r="D22" i="9"/>
  <c r="L43" i="9"/>
  <c r="G19" i="9"/>
  <c r="B5" i="12"/>
  <c r="B4" i="12"/>
  <c r="B3" i="12"/>
  <c r="D20" i="9"/>
  <c r="D21" i="9"/>
  <c r="C20" i="9"/>
  <c r="C21" i="9"/>
  <c r="G21" i="9" l="1"/>
  <c r="G20" i="9"/>
  <c r="N43" i="9"/>
  <c r="G22" i="9"/>
  <c r="C32" i="9"/>
  <c r="O43" i="9" l="1"/>
  <c r="O38" i="9"/>
  <c r="C35" i="9"/>
  <c r="F42" i="9" s="1"/>
  <c r="C34" i="9"/>
  <c r="C33" i="9"/>
  <c r="C42" i="9"/>
  <c r="N38" i="9" l="1"/>
  <c r="K28" i="9" s="1"/>
  <c r="D42" i="9"/>
  <c r="Q5" i="54" s="1"/>
  <c r="B47" i="63" s="1"/>
  <c r="R5" i="54"/>
  <c r="B48" i="63" s="1"/>
  <c r="N68" i="9"/>
  <c r="D14" i="66"/>
  <c r="D63" i="9"/>
  <c r="C44" i="9"/>
  <c r="M38" i="9"/>
  <c r="K27" i="9" s="1"/>
  <c r="E42" i="9"/>
  <c r="P5" i="54" s="1"/>
  <c r="B46" i="63" s="1"/>
  <c r="K25" i="9"/>
  <c r="K26" i="9"/>
  <c r="E44" i="9" l="1"/>
  <c r="F44" i="9"/>
  <c r="D44" i="9"/>
  <c r="G14" i="66"/>
  <c r="B6" i="66" s="1"/>
  <c r="O39" i="9"/>
  <c r="N69" i="9"/>
  <c r="F14" i="66"/>
  <c r="E14" i="66"/>
  <c r="B5" i="66"/>
  <c r="D71" i="9"/>
  <c r="D70" i="9"/>
  <c r="C111" i="9"/>
  <c r="C104" i="9" s="1"/>
  <c r="C96" i="9"/>
  <c r="C91" i="9" s="1"/>
  <c r="C82" i="9"/>
  <c r="C81" i="9" s="1"/>
  <c r="C85" i="9" s="1"/>
  <c r="C86" i="9" s="1"/>
  <c r="D72" i="9" s="1"/>
  <c r="C90" i="9"/>
  <c r="C97" i="9" s="1"/>
  <c r="D73" i="9"/>
  <c r="N73" i="9" s="1"/>
  <c r="C103" i="9"/>
  <c r="C113" i="9" l="1"/>
  <c r="C114" i="9" s="1"/>
  <c r="E114" i="9" s="1"/>
  <c r="E115" i="9" s="1"/>
  <c r="M83" i="9"/>
  <c r="N83" i="9" s="1"/>
  <c r="M84" i="9"/>
  <c r="N84" i="9" s="1"/>
  <c r="M88" i="9"/>
  <c r="N88" i="9" s="1"/>
  <c r="M86" i="9"/>
  <c r="N86" i="9" s="1"/>
  <c r="M87" i="9"/>
  <c r="N87" i="9" s="1"/>
  <c r="M85" i="9"/>
  <c r="N85" i="9" s="1"/>
  <c r="D6" i="66"/>
  <c r="C6" i="66"/>
  <c r="C98" i="9"/>
  <c r="E98" i="9" s="1"/>
  <c r="E99" i="9" s="1"/>
  <c r="C5" i="66"/>
  <c r="D5" i="66"/>
  <c r="K29" i="9"/>
  <c r="K30" i="9" s="1"/>
  <c r="R6" i="54"/>
  <c r="B50" i="63" s="1"/>
  <c r="C99" i="9" l="1"/>
  <c r="C115" i="9"/>
  <c r="D76" i="9" s="1"/>
  <c r="D74" i="9" s="1"/>
  <c r="N74" i="9" s="1"/>
  <c r="O77" i="9" s="1"/>
  <c r="N89" i="9"/>
  <c r="O89"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<sst xmlns="http://schemas.openxmlformats.org/spreadsheetml/2006/main" count="7340" uniqueCount="3086">
  <si>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</si>
  <si>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</si>
  <si>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</si>
  <si>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</si>
  <si>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</si>
  <si>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</si>
  <si>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</si>
  <si>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</si>
  <si>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</si>
  <si>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</si>
  <si>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</si>
  <si>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</si>
  <si>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</si>
  <si>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</si>
  <si>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</si>
  <si>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</si>
  <si>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</si>
  <si>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</si>
  <si>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</si>
  <si>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</si>
  <si>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</si>
  <si>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</si>
  <si>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</si>
  <si>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</si>
  <si>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</si>
  <si>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</si>
  <si>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</si>
  <si>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</si>
  <si>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</si>
  <si>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</si>
  <si>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</si>
  <si>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</si>
  <si>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</si>
  <si>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</si>
  <si>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</si>
  <si>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</si>
  <si>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</si>
  <si>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</si>
  <si>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</si>
  <si>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</si>
  <si>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</si>
  <si>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</si>
  <si>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</si>
  <si>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</si>
  <si>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</si>
  <si>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</si>
  <si>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</si>
  <si>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</si>
  <si>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</si>
  <si>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</si>
  <si>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</si>
  <si>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</si>
  <si>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</si>
  <si>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</si>
  <si>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</si>
  <si>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</si>
  <si>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</si>
  <si>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</si>
  <si>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</si>
  <si>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</si>
  <si>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</si>
  <si>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</si>
  <si>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</si>
  <si>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</si>
  <si>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</si>
  <si>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</si>
  <si>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</si>
  <si>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</si>
  <si>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</si>
  <si>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</si>
  <si>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</si>
  <si>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</si>
  <si>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</si>
  <si>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</si>
  <si>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</si>
  <si>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</si>
  <si>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</si>
  <si>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</si>
  <si>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</si>
  <si>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</si>
  <si>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</si>
  <si>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</si>
  <si>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</si>
  <si>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</si>
  <si>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</si>
  <si>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</si>
  <si>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</si>
  <si>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</si>
  <si>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</si>
  <si>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</si>
  <si>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</si>
  <si>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</si>
  <si>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</si>
  <si>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</si>
  <si>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</si>
  <si>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</si>
  <si>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</si>
  <si>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</si>
  <si>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</si>
  <si>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</si>
  <si>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</si>
  <si>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</si>
  <si>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</si>
  <si>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</si>
  <si>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</si>
  <si>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</si>
  <si>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</si>
  <si>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</si>
  <si>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</si>
  <si>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</si>
  <si>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</si>
  <si>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</si>
  <si>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</si>
  <si>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</si>
  <si>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</si>
  <si>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</si>
  <si>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</si>
  <si>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</si>
  <si>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</si>
  <si>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</si>
  <si>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</si>
  <si>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</si>
  <si>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</si>
  <si>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</si>
  <si>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</si>
  <si>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</si>
  <si>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</si>
  <si>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</si>
  <si>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</si>
  <si>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</si>
  <si>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</si>
  <si>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</si>
  <si>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</si>
  <si>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</si>
  <si>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</si>
  <si>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</si>
  <si>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</si>
  <si>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</si>
  <si>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</si>
  <si>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</si>
  <si>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</si>
  <si>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</si>
  <si>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</si>
  <si>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</si>
  <si>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</si>
  <si>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</si>
  <si>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</si>
  <si>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</si>
  <si>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</si>
  <si>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</si>
  <si>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</si>
  <si>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</si>
  <si>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</si>
  <si>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</si>
  <si>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</si>
  <si>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</si>
  <si>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</si>
  <si>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</si>
  <si>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</si>
  <si>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</si>
  <si>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</si>
  <si>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</si>
  <si>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</si>
  <si>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</si>
  <si>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</si>
  <si>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</si>
  <si>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</si>
  <si>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</si>
  <si>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</si>
  <si>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</si>
  <si>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</si>
  <si>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</si>
  <si>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</si>
  <si>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</si>
  <si>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</si>
  <si>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</si>
  <si>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</si>
  <si>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</si>
  <si>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</si>
  <si>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</si>
  <si>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</si>
  <si>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</si>
  <si>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</si>
  <si>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</si>
  <si>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</si>
  <si>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</si>
  <si>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</si>
  <si>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</si>
  <si>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</si>
  <si>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</si>
  <si>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</si>
  <si>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</si>
  <si>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</si>
  <si>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</si>
  <si>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</si>
  <si>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</si>
  <si>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</si>
  <si>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</si>
  <si>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</si>
  <si>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</si>
  <si>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</si>
  <si>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</si>
  <si>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</si>
  <si>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</si>
  <si>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</si>
  <si>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</si>
  <si>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</si>
  <si>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</si>
  <si>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</si>
  <si>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</si>
  <si>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</si>
  <si>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</si>
  <si>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</si>
  <si>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</si>
  <si>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</si>
  <si>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</si>
  <si>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</si>
  <si>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</si>
  <si>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</si>
  <si>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</si>
  <si>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</si>
  <si>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</si>
  <si>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</si>
  <si>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</si>
  <si>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</si>
  <si>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</si>
  <si>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</si>
  <si>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</si>
  <si>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</si>
  <si>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</si>
  <si>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</si>
  <si>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</si>
  <si>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</si>
  <si>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</si>
  <si>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</si>
  <si>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</si>
  <si>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</si>
  <si>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</si>
  <si>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</si>
  <si>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</si>
  <si>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</si>
  <si>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</si>
  <si>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</si>
  <si>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</si>
  <si>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</si>
  <si>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</si>
  <si>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</si>
  <si>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</si>
  <si>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</si>
  <si>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</si>
  <si>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</si>
  <si>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</si>
  <si>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</si>
  <si>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</si>
  <si>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</si>
  <si>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</si>
  <si>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</si>
  <si>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</si>
  <si>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</si>
  <si>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</si>
  <si>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</si>
  <si>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</si>
  <si>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</si>
  <si>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</si>
  <si>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</si>
  <si>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</si>
  <si>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</si>
  <si>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</si>
  <si>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</si>
  <si>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</si>
  <si>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</si>
  <si>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</si>
  <si>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</si>
  <si>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</si>
  <si>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</si>
  <si>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</si>
  <si>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</si>
  <si>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</si>
  <si>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</si>
  <si>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</si>
  <si>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</si>
  <si>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</si>
  <si>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</si>
  <si>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</si>
  <si>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</si>
  <si>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</si>
  <si>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</si>
  <si>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</si>
  <si>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</si>
  <si>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</si>
  <si>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</si>
  <si>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</si>
  <si>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</si>
  <si>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</si>
  <si>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</si>
  <si>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</si>
  <si>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</si>
  <si>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</si>
  <si>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</si>
  <si>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</si>
  <si>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</si>
  <si>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</si>
  <si>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</si>
  <si>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</si>
  <si>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</si>
  <si>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</si>
  <si>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</si>
  <si>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</si>
  <si>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</si>
  <si>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</si>
  <si>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</si>
  <si>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</si>
  <si>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</si>
  <si>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</si>
  <si>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</si>
  <si>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</si>
  <si>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</si>
  <si>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</si>
  <si>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</si>
  <si>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</si>
  <si>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</si>
  <si>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</si>
  <si>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</si>
  <si>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</si>
  <si>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</si>
  <si>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</si>
  <si>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</si>
  <si>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</si>
  <si>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</si>
  <si>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</si>
  <si>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</si>
  <si>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</si>
  <si>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</si>
  <si>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</si>
  <si>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</si>
  <si>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</si>
  <si>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</si>
  <si>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</si>
  <si>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</si>
  <si>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</si>
  <si>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</si>
  <si>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</si>
  <si>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</si>
  <si>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</si>
  <si>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</si>
  <si>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</si>
  <si>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</si>
  <si>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</si>
  <si>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</si>
  <si>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</si>
  <si>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</si>
  <si>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</si>
  <si>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</si>
  <si>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</si>
  <si>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</si>
  <si>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</si>
  <si>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</si>
  <si>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</si>
  <si>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</si>
  <si>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</si>
  <si>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</si>
  <si>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</si>
  <si>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</si>
  <si>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</si>
  <si>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</si>
  <si>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</si>
  <si>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</si>
  <si>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</si>
  <si>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</si>
  <si>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</si>
  <si>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</si>
  <si>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</si>
  <si>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</si>
  <si>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</si>
  <si>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</si>
  <si>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</si>
  <si>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</si>
  <si>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</si>
  <si>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</si>
  <si>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</si>
  <si>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</si>
  <si>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</si>
  <si>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</si>
  <si>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</si>
  <si>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</si>
  <si>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</si>
  <si>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</si>
  <si>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</si>
  <si>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</si>
  <si>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</si>
  <si>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</si>
  <si>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</si>
  <si>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</si>
  <si>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</si>
  <si>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</si>
  <si>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</si>
  <si>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</si>
  <si>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</si>
  <si>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</si>
  <si>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</si>
  <si>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</si>
  <si>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</si>
  <si>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</si>
  <si>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</si>
  <si>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</si>
  <si>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</si>
  <si>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</si>
  <si>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</si>
  <si>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</si>
  <si>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</si>
  <si>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</si>
  <si>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</si>
  <si>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</si>
  <si>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</si>
  <si>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</si>
  <si>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</si>
  <si>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</si>
  <si>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</si>
  <si>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</si>
  <si>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</si>
  <si>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</si>
  <si>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</si>
  <si>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</si>
  <si>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</si>
  <si>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</si>
  <si>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</si>
  <si>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</si>
  <si>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</si>
  <si>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</si>
  <si>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</si>
  <si>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</si>
  <si>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</si>
  <si>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</si>
  <si>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</si>
  <si>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</si>
  <si>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</si>
  <si>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</si>
  <si>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</si>
  <si>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</si>
  <si>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</si>
  <si>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</si>
  <si>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</si>
  <si>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</si>
  <si>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</si>
  <si>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</si>
  <si>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</si>
  <si>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</si>
  <si>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</si>
  <si>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</si>
  <si>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</si>
  <si>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</si>
  <si>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</si>
  <si>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</si>
  <si>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</si>
  <si>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</si>
  <si>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</si>
  <si>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</si>
  <si>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</si>
  <si>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</si>
  <si>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</si>
  <si>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</si>
  <si>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</si>
  <si>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</si>
  <si>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</si>
  <si>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</si>
  <si>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</si>
  <si>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</si>
  <si>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</si>
  <si>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</si>
  <si>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</si>
  <si>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</si>
  <si>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</si>
  <si>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</si>
  <si>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</si>
  <si>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</si>
  <si>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</si>
  <si>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</si>
  <si>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</si>
  <si>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</si>
  <si>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</si>
  <si>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</si>
  <si>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</si>
  <si>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</si>
  <si>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</si>
  <si>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</si>
  <si>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</si>
  <si>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</si>
  <si>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</si>
  <si>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</si>
  <si>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</si>
  <si>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</si>
  <si>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</si>
  <si>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</si>
  <si>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</si>
  <si>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</si>
  <si>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</si>
  <si>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</si>
  <si>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</si>
  <si>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</si>
  <si>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</si>
  <si>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</si>
  <si>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</si>
  <si>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</si>
  <si>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</si>
  <si>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</si>
  <si>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</si>
  <si>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</si>
  <si>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</si>
  <si>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</si>
  <si>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</si>
  <si>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</si>
  <si>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</si>
  <si>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</si>
  <si>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</si>
  <si>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</si>
  <si>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</si>
  <si>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</si>
  <si>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</si>
  <si>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</si>
  <si>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</si>
  <si>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</si>
  <si>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</si>
  <si>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</si>
  <si>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</si>
  <si>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</si>
  <si>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</si>
  <si>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</si>
  <si>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</si>
  <si>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</si>
  <si>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</si>
  <si>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</si>
  <si>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</si>
  <si>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</si>
  <si>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</si>
  <si>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</si>
  <si>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</si>
  <si>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</si>
  <si>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</si>
  <si>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</si>
  <si>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</si>
  <si>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</si>
  <si>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</si>
  <si>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</si>
  <si>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</si>
  <si>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</si>
  <si>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</si>
  <si>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</si>
  <si>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</si>
  <si>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</si>
  <si>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</si>
  <si>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</si>
  <si>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</si>
  <si>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</si>
  <si>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</si>
  <si>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</si>
  <si>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</si>
  <si>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</si>
  <si>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</si>
  <si>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</si>
  <si>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</si>
  <si>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</si>
  <si>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</si>
  <si>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</si>
  <si>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</si>
  <si>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</si>
  <si>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</si>
  <si>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</si>
  <si>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</si>
  <si>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</si>
  <si>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</si>
  <si>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</si>
  <si>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</si>
  <si>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</si>
  <si>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</si>
  <si>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</si>
  <si>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</si>
  <si>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</si>
  <si>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</si>
  <si>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</si>
  <si>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</si>
  <si>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</si>
  <si>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</si>
  <si>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</si>
  <si>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</si>
  <si>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</si>
  <si>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</si>
  <si>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</si>
  <si>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</si>
  <si>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</si>
  <si>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</si>
  <si>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</si>
  <si>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</si>
  <si>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</si>
  <si>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</si>
  <si>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</si>
  <si>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</si>
  <si>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</si>
  <si>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</si>
  <si>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</si>
  <si>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</si>
  <si>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</si>
  <si>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</si>
  <si>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</si>
  <si>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</si>
  <si>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</si>
  <si>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</si>
  <si>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</si>
  <si>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</si>
  <si>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</si>
  <si>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</si>
  <si>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</si>
  <si>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</si>
  <si>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</si>
  <si>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</si>
  <si>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</si>
  <si>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</si>
  <si>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</si>
  <si>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</si>
  <si>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</si>
  <si>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</si>
  <si>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</si>
  <si>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</si>
  <si>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</si>
  <si>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</si>
  <si>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</si>
  <si>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</si>
  <si>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</si>
  <si>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</si>
  <si>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</si>
  <si>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</si>
  <si>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</si>
  <si>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</si>
  <si>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</si>
  <si>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</si>
  <si>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</si>
  <si>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</si>
  <si>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</si>
  <si>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</si>
  <si>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</si>
  <si>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</si>
  <si>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</si>
  <si>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</si>
  <si>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</si>
  <si>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</si>
  <si>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</si>
  <si>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</si>
  <si>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</si>
  <si>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</si>
  <si>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</si>
  <si>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</si>
  <si>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</si>
  <si>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</si>
  <si>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</si>
  <si>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</si>
  <si>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</si>
  <si>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</si>
  <si>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</si>
  <si>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</si>
  <si>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</si>
  <si>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</si>
  <si>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</si>
  <si>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</si>
  <si>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</si>
  <si>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</si>
  <si>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</si>
  <si>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</si>
  <si>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</si>
  <si>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</si>
  <si>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</si>
  <si>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</si>
  <si>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</si>
  <si>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</si>
  <si>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</si>
  <si>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</si>
  <si>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</si>
  <si>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</si>
  <si>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</si>
  <si>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</si>
  <si>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</si>
  <si>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</si>
  <si>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</si>
  <si>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</si>
  <si>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</si>
  <si>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</si>
  <si>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</si>
  <si>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</si>
  <si>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</si>
  <si>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</si>
  <si>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</si>
  <si>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</si>
  <si>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</si>
  <si>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</si>
  <si>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</si>
  <si>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</si>
  <si>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</si>
  <si>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</si>
  <si>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</si>
  <si>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</si>
  <si>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</si>
  <si>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</si>
  <si>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</si>
  <si>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</si>
  <si>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</si>
  <si>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</si>
  <si>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</si>
  <si>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</si>
  <si>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</si>
  <si>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</si>
  <si>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</si>
  <si>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</si>
  <si>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</si>
  <si>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</si>
  <si>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</si>
  <si>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</si>
  <si>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</si>
  <si>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</si>
  <si>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</si>
  <si>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</si>
  <si>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</si>
  <si>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</si>
  <si>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</si>
  <si>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</si>
  <si>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</si>
  <si>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</si>
  <si>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</si>
  <si>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</si>
  <si>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</si>
  <si>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</si>
  <si>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</si>
  <si>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</si>
  <si>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</si>
  <si>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</si>
  <si>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</si>
  <si>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</si>
  <si>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</si>
  <si>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</si>
  <si>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</si>
  <si>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</si>
  <si>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</si>
  <si>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</si>
  <si>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</si>
  <si>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</si>
  <si>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</si>
  <si>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</si>
  <si>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</si>
  <si>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</si>
  <si>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</si>
  <si>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</si>
  <si>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</si>
  <si>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</si>
  <si>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</si>
  <si>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</si>
  <si>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</si>
  <si>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</si>
  <si>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</si>
  <si>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</si>
  <si>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</si>
  <si>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</si>
  <si>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</si>
  <si>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</si>
  <si>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</si>
  <si>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</si>
  <si>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</si>
  <si>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</si>
  <si>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</si>
  <si>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</si>
  <si>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</si>
  <si>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</si>
  <si>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</si>
  <si>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</si>
  <si>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</si>
  <si>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</si>
  <si>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</si>
  <si>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</si>
  <si>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</si>
  <si>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</si>
  <si>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</si>
  <si>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</si>
  <si>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</si>
  <si>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</si>
  <si>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</si>
  <si>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</si>
  <si>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</si>
  <si>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</si>
  <si>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</si>
  <si>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</si>
  <si>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</si>
  <si>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</si>
  <si>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</si>
  <si>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</si>
  <si>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</si>
  <si>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</si>
  <si>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</si>
  <si>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</si>
  <si>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</si>
  <si>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</si>
  <si>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</si>
  <si>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</si>
  <si>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</si>
  <si>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</si>
  <si>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</si>
  <si>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</si>
  <si>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</si>
  <si>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</si>
  <si>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</si>
  <si>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</si>
  <si>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</si>
  <si>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</si>
  <si>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</si>
  <si>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</si>
  <si>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</si>
  <si>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</si>
  <si>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</si>
  <si>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</si>
  <si>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</si>
  <si>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</si>
  <si>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</si>
  <si>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</si>
  <si>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</si>
  <si>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</si>
  <si>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</si>
  <si>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</si>
  <si>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</si>
  <si>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</si>
  <si>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</si>
  <si>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</si>
  <si>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</si>
  <si>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</si>
  <si>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</si>
  <si>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</si>
  <si>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</si>
  <si>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</si>
  <si>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</si>
  <si>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</si>
  <si>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</si>
  <si>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</si>
  <si>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</si>
  <si>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</si>
  <si>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</si>
  <si>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</si>
  <si>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</si>
  <si>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</si>
  <si>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</si>
  <si>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</si>
  <si>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</si>
  <si>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</si>
  <si>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</si>
  <si>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</si>
  <si>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</si>
  <si>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</si>
  <si>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</si>
  <si>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</si>
  <si>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</si>
  <si>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</si>
  <si>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</si>
  <si>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</si>
  <si>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</si>
  <si>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</si>
  <si>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</si>
  <si>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</si>
  <si>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</si>
  <si>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</si>
  <si>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</si>
  <si>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</si>
  <si>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</si>
  <si>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</si>
  <si>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</si>
  <si>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</si>
  <si>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</si>
  <si>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</si>
  <si>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</si>
  <si>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</si>
  <si>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</si>
  <si>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</si>
  <si>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</si>
  <si>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</si>
  <si>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</si>
  <si>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</si>
  <si>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</si>
  <si>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</si>
  <si>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</si>
  <si>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</si>
  <si>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</si>
  <si>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</si>
  <si>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</si>
  <si>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</si>
  <si>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</si>
  <si>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</si>
  <si>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</si>
  <si>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</si>
  <si>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</si>
  <si>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</si>
  <si>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</si>
  <si>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</si>
  <si>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</si>
  <si>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</si>
  <si>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</si>
  <si>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</si>
  <si>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</si>
  <si>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</si>
  <si>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</si>
  <si>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</si>
  <si>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</si>
  <si>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</si>
  <si>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</si>
  <si>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</si>
  <si>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</si>
  <si>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</si>
  <si>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</si>
  <si>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</si>
  <si>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</si>
  <si>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</si>
  <si>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</si>
  <si>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</si>
  <si>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</si>
  <si>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</si>
  <si>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</si>
  <si>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</si>
  <si>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</si>
  <si>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</si>
  <si>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</si>
  <si>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</si>
  <si>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</si>
  <si>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</si>
  <si>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</si>
  <si>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</si>
  <si>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</si>
  <si>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</si>
  <si>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</si>
  <si>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</si>
  <si>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</si>
  <si>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</si>
  <si>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</si>
  <si>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</si>
  <si>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</si>
  <si>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</si>
  <si>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</si>
  <si>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</si>
  <si>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</si>
  <si>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</si>
  <si>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</si>
  <si>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</si>
  <si>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</si>
  <si>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</si>
  <si>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</si>
  <si>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</si>
  <si>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</si>
  <si>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</si>
  <si>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</si>
  <si>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</si>
  <si>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</si>
  <si>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</si>
  <si>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</si>
  <si>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</si>
  <si>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</si>
  <si>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</si>
  <si>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</si>
  <si>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</si>
  <si>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</si>
  <si>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</si>
  <si>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</si>
  <si>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</si>
  <si>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</si>
  <si>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</si>
  <si>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</si>
  <si>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</si>
  <si>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</si>
  <si>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</si>
  <si>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</si>
  <si>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</si>
  <si>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</si>
  <si>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</si>
  <si>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</si>
  <si>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</si>
  <si>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</si>
  <si>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</si>
  <si>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</si>
  <si>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</si>
  <si>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</si>
  <si>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</si>
  <si>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</si>
  <si>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</si>
  <si>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</si>
  <si>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</si>
  <si>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</si>
  <si>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</si>
  <si>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</si>
  <si>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</si>
  <si>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</si>
  <si>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</si>
  <si>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</si>
  <si>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</si>
  <si>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</si>
  <si>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</si>
  <si>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</si>
  <si>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</si>
  <si>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</si>
  <si>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</si>
  <si>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</si>
  <si>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</si>
  <si>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</si>
  <si>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</si>
  <si>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</si>
  <si>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</si>
  <si>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</si>
  <si>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</si>
  <si>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</si>
  <si>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</si>
  <si>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</si>
  <si>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</si>
  <si>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</si>
  <si>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</si>
  <si>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</si>
  <si>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</si>
  <si>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</si>
  <si>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</si>
  <si>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</si>
  <si>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</si>
  <si>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</si>
  <si>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</si>
  <si>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</si>
  <si>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</si>
  <si>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</si>
  <si>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</si>
  <si>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</si>
  <si>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</si>
  <si>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</si>
  <si>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</si>
  <si>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</si>
  <si>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</si>
  <si>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</si>
  <si>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</si>
  <si>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</si>
  <si>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</si>
  <si>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</si>
  <si>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</si>
  <si>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</si>
  <si>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</si>
  <si>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</si>
  <si>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</si>
  <si>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</si>
  <si>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</si>
  <si>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</si>
  <si>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</si>
  <si>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</si>
  <si>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</si>
  <si>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</si>
  <si>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</si>
  <si>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</si>
  <si>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</si>
  <si>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</si>
  <si>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</si>
  <si>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</si>
  <si>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</si>
  <si>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</si>
  <si>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</si>
  <si>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</si>
  <si>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</si>
  <si>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</si>
  <si>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</si>
  <si>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</si>
  <si>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</si>
  <si>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</si>
  <si>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</si>
  <si>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</si>
  <si>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</si>
  <si>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</si>
  <si>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</si>
  <si>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</si>
  <si>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</si>
  <si>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</si>
  <si>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</si>
  <si>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</si>
  <si>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</si>
  <si>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</si>
  <si>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</si>
  <si>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</si>
  <si>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</si>
  <si>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</si>
  <si>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</si>
  <si>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</si>
  <si>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</si>
  <si>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</si>
  <si>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</si>
  <si>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</si>
  <si>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</si>
  <si>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</si>
  <si>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</si>
  <si>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</si>
  <si>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</si>
  <si>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</si>
  <si>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</si>
  <si>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</si>
  <si>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</si>
  <si>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</si>
  <si>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</si>
  <si>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</si>
  <si>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</si>
  <si>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</si>
  <si>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</si>
  <si>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</si>
  <si>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</si>
  <si>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</si>
  <si>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</si>
  <si>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</si>
  <si>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</si>
  <si>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</si>
  <si>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</si>
  <si>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</si>
  <si>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</si>
  <si>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</si>
  <si>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</si>
  <si>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</si>
  <si>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</si>
  <si>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</si>
  <si>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</si>
  <si>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</si>
  <si>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</si>
  <si>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</si>
  <si>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</si>
  <si>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</si>
  <si>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</si>
  <si>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</si>
  <si>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</si>
  <si>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</si>
  <si>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</si>
  <si>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</si>
  <si>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</si>
  <si>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</si>
  <si>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</si>
  <si>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</si>
  <si>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</si>
  <si>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</si>
  <si>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</si>
  <si>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</si>
  <si>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</si>
  <si>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</si>
  <si>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</si>
  <si>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</si>
  <si>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</si>
  <si>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</si>
  <si>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</si>
  <si>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</si>
  <si>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</si>
  <si>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</si>
  <si>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</si>
  <si>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</si>
  <si>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</si>
  <si>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</si>
  <si>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</si>
  <si>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</si>
  <si>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</si>
  <si>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</si>
  <si>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</si>
  <si>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</si>
  <si>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</si>
  <si>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</si>
  <si>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</si>
  <si>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</si>
  <si>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</si>
  <si>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</si>
  <si>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</si>
  <si>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</si>
  <si>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</si>
  <si>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</si>
  <si>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</si>
  <si>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</si>
  <si>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</si>
  <si>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</si>
  <si>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</si>
  <si>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</si>
  <si>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</si>
  <si>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</si>
  <si>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</si>
  <si>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</si>
  <si>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</si>
  <si>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</si>
  <si>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</si>
  <si>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</si>
  <si>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</si>
  <si>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</si>
  <si>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</si>
  <si>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</si>
  <si>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</si>
  <si>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</si>
  <si>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</si>
  <si>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</si>
  <si>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</si>
  <si>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</si>
  <si>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</si>
  <si>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</si>
  <si>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</si>
  <si>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</si>
  <si>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</si>
  <si>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</si>
  <si>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</si>
  <si>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</si>
  <si>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</si>
  <si>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</si>
  <si>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</si>
  <si>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</si>
  <si>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</si>
  <si>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</si>
  <si>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</si>
  <si>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</si>
  <si>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</si>
  <si>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</si>
  <si>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</si>
  <si>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</si>
  <si>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</si>
  <si>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</si>
  <si>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</si>
  <si>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</si>
  <si>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</si>
  <si>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</si>
  <si>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</si>
  <si>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</si>
  <si>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</si>
  <si>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</si>
  <si>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</si>
  <si>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</si>
  <si>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</si>
  <si>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</si>
  <si>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</si>
  <si>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</si>
  <si>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</si>
  <si>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</si>
  <si>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</si>
  <si>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</si>
  <si>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</si>
  <si>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</si>
  <si>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</si>
  <si>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</si>
  <si>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</si>
  <si>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</si>
  <si>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</si>
  <si>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</si>
  <si>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</si>
  <si>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</si>
  <si>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</si>
  <si>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</si>
  <si>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</si>
  <si>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</si>
  <si>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</si>
  <si>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</si>
  <si>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</si>
  <si>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</si>
  <si>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</si>
  <si>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</si>
  <si>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</si>
  <si>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</si>
  <si>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</si>
  <si>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</si>
  <si>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</si>
  <si>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</si>
  <si>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</si>
  <si>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</si>
  <si>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</si>
  <si>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</si>
  <si>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</si>
  <si>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</si>
  <si>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</si>
  <si>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</si>
  <si>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</si>
  <si>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</si>
  <si>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</si>
  <si>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</si>
  <si>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</si>
  <si>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</si>
  <si>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</si>
  <si>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</si>
  <si>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</si>
  <si>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</si>
  <si>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</si>
  <si>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</si>
  <si>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</si>
  <si>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</si>
  <si>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</si>
  <si>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</si>
  <si>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</si>
  <si>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</si>
  <si>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</si>
  <si>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</si>
  <si>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</si>
  <si>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</si>
  <si>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</si>
  <si>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</si>
  <si>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</si>
  <si>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</si>
  <si>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</si>
  <si>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</si>
  <si>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</si>
  <si>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</si>
  <si>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</si>
  <si>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</si>
  <si>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</si>
  <si>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</si>
  <si>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</si>
  <si>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</si>
  <si>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</si>
  <si>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</si>
  <si>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</si>
  <si>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</si>
  <si>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</si>
  <si>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</si>
  <si>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</si>
  <si>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</si>
  <si>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</si>
  <si>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</si>
  <si>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</si>
  <si>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</si>
  <si>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</si>
  <si>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</si>
  <si>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</si>
  <si>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</si>
  <si>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</si>
  <si>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</si>
  <si>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</si>
  <si>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</si>
  <si>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</si>
  <si>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</si>
  <si>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</si>
  <si>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</si>
  <si>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</si>
  <si>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</si>
  <si>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</si>
  <si>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</si>
  <si>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</si>
  <si>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</si>
  <si>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</si>
  <si>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</si>
  <si>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</si>
  <si>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</si>
  <si>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</si>
  <si>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</si>
  <si>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</si>
  <si>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</si>
  <si>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</si>
  <si>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</si>
  <si>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</si>
  <si>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</si>
  <si>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</si>
  <si>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</si>
  <si>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</si>
  <si>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</si>
  <si>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</si>
  <si>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</si>
  <si>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</si>
  <si>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</si>
  <si>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</si>
  <si>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</si>
  <si>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</si>
  <si>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</si>
  <si>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</si>
  <si>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</si>
  <si>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</si>
  <si>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</si>
  <si>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</si>
  <si>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</si>
  <si>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</si>
  <si>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</si>
  <si>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</si>
  <si>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</si>
  <si>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</si>
  <si>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</si>
  <si>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</si>
  <si>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</si>
  <si>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</si>
  <si>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</si>
  <si>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</si>
  <si>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</si>
  <si>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</si>
  <si>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</si>
  <si>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</si>
  <si>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</si>
  <si>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</si>
  <si>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</si>
  <si>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</si>
  <si>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</si>
  <si>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</si>
  <si>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</si>
  <si>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</si>
  <si>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</si>
  <si>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</si>
  <si>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</si>
  <si>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</si>
  <si>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</si>
  <si>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</si>
  <si>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</si>
  <si>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</si>
  <si>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</si>
  <si>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</si>
  <si>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</si>
  <si>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</si>
  <si>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</si>
  <si>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</si>
  <si>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</si>
  <si>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</si>
  <si>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</si>
  <si>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</si>
  <si>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</si>
  <si>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</si>
  <si>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</si>
  <si>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</si>
  <si>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</si>
  <si>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</si>
  <si>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</si>
  <si>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</si>
  <si>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</si>
  <si>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</si>
  <si>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</si>
  <si>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</si>
  <si>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</si>
  <si>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</si>
  <si>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</si>
  <si>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</si>
  <si>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</si>
  <si>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</si>
  <si>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</si>
  <si>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</si>
  <si>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</si>
  <si>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</si>
  <si>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</si>
  <si>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</si>
  <si>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</si>
  <si>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</si>
  <si>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</si>
  <si>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</si>
  <si>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</si>
  <si>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</si>
  <si>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</si>
  <si>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</si>
  <si>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</si>
  <si>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</si>
  <si>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</si>
  <si>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</si>
  <si>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</si>
  <si>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</si>
  <si>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</si>
  <si>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</si>
  <si>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</si>
  <si>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</si>
  <si>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</si>
  <si>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</si>
  <si>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</si>
  <si>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</si>
  <si>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</si>
  <si>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</si>
  <si>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</si>
  <si>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</si>
  <si>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</si>
  <si>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</si>
  <si>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</si>
  <si>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</si>
  <si>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</si>
  <si>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</si>
  <si>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</si>
  <si>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</si>
  <si>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</si>
  <si>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</si>
  <si>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</si>
  <si>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</si>
  <si>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</si>
  <si>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</si>
  <si>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</si>
  <si>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</si>
  <si>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</si>
  <si>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</si>
  <si>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</si>
  <si>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</si>
  <si>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</si>
  <si>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</si>
  <si>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</si>
  <si>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</si>
  <si>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</si>
  <si>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</si>
  <si>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</si>
  <si>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</si>
  <si>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</si>
  <si>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</si>
  <si>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</si>
  <si>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</si>
  <si>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</si>
  <si>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</si>
  <si>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</si>
  <si>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</si>
  <si>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</si>
  <si>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</si>
  <si>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</si>
  <si>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</si>
  <si>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</si>
  <si>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</si>
  <si>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</si>
  <si>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</si>
  <si>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</si>
  <si>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</si>
  <si>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</si>
  <si>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</si>
  <si>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</si>
  <si>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</si>
  <si>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</si>
  <si>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</si>
  <si>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</si>
  <si>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</si>
  <si>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</si>
  <si>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</si>
  <si>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</si>
  <si>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</si>
  <si>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</si>
  <si>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</si>
  <si>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</si>
  <si>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</si>
  <si>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</si>
  <si>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</si>
  <si>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</si>
  <si>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</si>
  <si>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</si>
  <si>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</si>
  <si>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</si>
  <si>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</si>
  <si>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</si>
  <si>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</si>
  <si>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</si>
  <si>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</si>
  <si>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</si>
  <si>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</si>
  <si>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</si>
  <si>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</si>
  <si>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</si>
  <si>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</si>
  <si>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</si>
  <si>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</si>
  <si>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</si>
  <si>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</si>
  <si>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</si>
  <si>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</si>
  <si>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</si>
  <si>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</si>
  <si>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</si>
  <si>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</si>
  <si>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</si>
  <si>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</si>
  <si>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</si>
  <si>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</si>
  <si>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</si>
  <si>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</si>
  <si>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</si>
  <si>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</si>
  <si>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</si>
  <si>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</si>
  <si>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</si>
  <si>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</si>
  <si>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</si>
  <si>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</si>
  <si>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</si>
  <si>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</si>
  <si>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</si>
  <si>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</si>
  <si>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</si>
  <si>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</si>
  <si>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</si>
  <si>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</si>
  <si>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</si>
  <si>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</si>
  <si>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</si>
  <si>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</si>
  <si>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</si>
  <si>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</si>
  <si>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</si>
  <si>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</si>
  <si>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</si>
  <si>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</si>
  <si>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</si>
  <si>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</si>
  <si>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</si>
  <si>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</si>
  <si>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</si>
  <si>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</si>
  <si>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</si>
  <si>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</si>
  <si>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</si>
  <si>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</si>
  <si>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</si>
  <si>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</si>
  <si>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</si>
  <si>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</si>
  <si>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</si>
  <si>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</si>
  <si>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</si>
  <si>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</si>
  <si>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</si>
  <si>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</si>
  <si>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</si>
  <si>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</si>
  <si>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</si>
  <si>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</si>
  <si>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</si>
  <si>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</si>
  <si>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</si>
  <si>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</si>
  <si>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</si>
  <si>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</si>
  <si>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</si>
  <si>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</si>
  <si>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</si>
  <si>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</si>
  <si>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</si>
  <si>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</si>
  <si>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</si>
  <si>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</si>
  <si>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</si>
  <si>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</si>
  <si>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</si>
  <si>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</si>
  <si>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</si>
  <si>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</si>
  <si>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</si>
  <si>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</si>
  <si>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</si>
  <si>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</si>
  <si>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</si>
  <si>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</si>
  <si>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</si>
  <si>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</si>
  <si>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</si>
  <si>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</si>
  <si>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</si>
  <si>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</si>
  <si>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</si>
  <si>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</si>
  <si>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</si>
  <si>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</si>
  <si>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</si>
  <si>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</si>
  <si>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</si>
  <si>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</si>
  <si>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</si>
  <si>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</si>
  <si>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</si>
  <si>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</si>
  <si>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</si>
  <si>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</si>
  <si>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</si>
  <si>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</si>
  <si>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</si>
  <si>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</si>
  <si>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</si>
  <si>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</si>
  <si>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</si>
  <si>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</si>
  <si>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</si>
  <si>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</si>
  <si>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</si>
  <si>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</si>
  <si>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</si>
  <si>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</si>
  <si>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</si>
  <si>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</si>
  <si>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</si>
  <si>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</si>
  <si>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</si>
  <si>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</si>
  <si>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</si>
  <si>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</si>
  <si>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</si>
  <si>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</si>
  <si>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</si>
  <si>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</si>
  <si>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</si>
  <si>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</si>
  <si>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</si>
  <si>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</si>
  <si>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</si>
  <si>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</si>
  <si>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</si>
  <si>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</si>
  <si>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</si>
  <si>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</si>
  <si>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</si>
  <si>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</si>
  <si>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</si>
  <si>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</si>
  <si>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</si>
  <si>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</si>
  <si>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</si>
  <si>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</si>
  <si>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</si>
  <si>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</si>
  <si>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</si>
  <si>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</si>
  <si>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</si>
  <si>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</si>
  <si>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</si>
  <si>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</si>
  <si>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</si>
  <si>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</si>
  <si>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</si>
  <si>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</si>
  <si>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</si>
  <si>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</si>
  <si>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</si>
  <si>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</si>
  <si>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</si>
  <si>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</si>
  <si>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</si>
  <si>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</si>
  <si>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</si>
  <si>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</si>
  <si>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</si>
  <si>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</si>
  <si>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</si>
  <si>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</si>
  <si>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</si>
  <si>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</si>
  <si>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</si>
  <si>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</si>
  <si>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</si>
  <si>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</si>
  <si>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</si>
  <si>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</si>
  <si>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</si>
  <si>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</si>
  <si>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</si>
  <si>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</si>
  <si>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</si>
  <si>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</si>
  <si>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</si>
  <si>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</si>
  <si>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</si>
  <si>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</si>
  <si>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</si>
  <si>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</si>
  <si>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</si>
  <si>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</si>
  <si>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</si>
  <si>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</si>
  <si>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</si>
  <si>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</si>
  <si>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</si>
  <si>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</si>
  <si>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</si>
  <si>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</si>
  <si>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</si>
  <si>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</si>
  <si>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</si>
  <si>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</si>
  <si>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</si>
  <si>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</si>
  <si>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</si>
  <si>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</si>
  <si>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</si>
  <si>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</si>
  <si>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</si>
  <si>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</si>
  <si>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</si>
  <si>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</si>
  <si>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</si>
  <si>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</si>
  <si>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</si>
  <si>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</si>
  <si>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</si>
  <si>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</si>
  <si>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</si>
  <si>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</si>
  <si>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</si>
  <si>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</si>
  <si>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</si>
  <si>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</si>
  <si>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</si>
  <si>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</si>
  <si>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</si>
  <si>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</si>
  <si>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</si>
  <si>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</si>
  <si>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</si>
  <si>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</si>
  <si>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</si>
  <si>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</si>
  <si>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</si>
  <si>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</si>
  <si>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</si>
  <si>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</si>
  <si>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</si>
  <si>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</si>
  <si>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</si>
  <si>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</si>
  <si>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</si>
  <si>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</si>
  <si>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</si>
  <si>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</si>
  <si>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</si>
  <si>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</si>
  <si>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</si>
  <si>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</si>
  <si>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</si>
  <si>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</si>
  <si>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</si>
  <si>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</si>
  <si>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</si>
  <si>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</si>
  <si>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</si>
  <si>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</si>
  <si>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</si>
  <si>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</si>
  <si>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</si>
  <si>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</si>
  <si>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</si>
  <si>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</si>
  <si>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</si>
  <si>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</si>
  <si>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</si>
  <si>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</si>
  <si>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</si>
  <si>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</si>
  <si>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</si>
  <si>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</si>
  <si>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</si>
  <si>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</si>
  <si>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</si>
  <si>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</si>
  <si>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</si>
  <si>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</si>
  <si>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</si>
  <si>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</si>
  <si>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</si>
  <si>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</si>
  <si>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</si>
  <si>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</si>
  <si>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</si>
  <si>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</si>
  <si>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</si>
  <si>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</si>
  <si>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</si>
  <si>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</si>
  <si>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</si>
  <si>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</si>
  <si>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</si>
  <si>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</si>
  <si>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</si>
  <si>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</si>
  <si>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</si>
  <si>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</si>
  <si>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</si>
  <si>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</si>
  <si>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</si>
  <si>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</si>
  <si>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</si>
  <si>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</si>
  <si>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</si>
  <si>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</si>
  <si>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</si>
  <si>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</si>
  <si>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</si>
  <si>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</si>
  <si>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</si>
  <si>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</si>
  <si>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</si>
  <si>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</si>
  <si>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</si>
  <si>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</si>
  <si>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</si>
  <si>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</si>
  <si>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</si>
  <si>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</si>
  <si>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</si>
  <si>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</si>
  <si>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</si>
  <si>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</si>
  <si>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</si>
  <si>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</si>
  <si>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</si>
  <si>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</si>
  <si>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</si>
  <si>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</si>
  <si>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</si>
  <si>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</si>
  <si>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</si>
  <si>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</si>
  <si>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</si>
  <si>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</si>
  <si>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</si>
  <si>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</si>
  <si>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</si>
  <si>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</si>
  <si>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</si>
  <si>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</si>
  <si>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</si>
  <si>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</si>
  <si>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</si>
  <si>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</si>
  <si>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</si>
  <si>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</si>
  <si>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</si>
  <si>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</si>
  <si>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</si>
  <si>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</si>
  <si>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</si>
  <si>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</si>
  <si>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</si>
  <si>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</si>
  <si>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</si>
  <si>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</si>
  <si>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</si>
  <si>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</si>
  <si>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</si>
  <si>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</si>
  <si>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</si>
  <si>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</si>
  <si>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</si>
  <si>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</si>
  <si>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</si>
  <si>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</si>
  <si>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</si>
  <si>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</si>
  <si>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</si>
  <si>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</si>
  <si>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</si>
  <si>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</si>
  <si>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</si>
  <si>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</si>
  <si>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</si>
  <si>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</si>
  <si>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</si>
  <si>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</si>
  <si>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</si>
  <si>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</si>
  <si>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</si>
  <si>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</si>
  <si>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</si>
  <si>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</si>
  <si>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</si>
  <si>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</si>
  <si>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</si>
  <si>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</si>
  <si>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</si>
  <si>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</si>
  <si>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</si>
  <si>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</si>
  <si>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</si>
  <si>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</si>
  <si>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</si>
  <si>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</si>
  <si>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</si>
  <si>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</si>
  <si>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</si>
  <si>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</si>
  <si>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</si>
  <si>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</si>
  <si>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</si>
  <si>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</si>
  <si>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</si>
  <si>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</si>
  <si>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</si>
  <si>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</si>
  <si>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</si>
  <si>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</si>
  <si>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</si>
  <si>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</si>
  <si>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</si>
  <si>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</si>
  <si>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</si>
  <si>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</si>
  <si>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</si>
  <si>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</si>
  <si>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</si>
  <si>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</si>
  <si>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</si>
  <si>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</si>
  <si>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</si>
  <si>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</si>
  <si>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</si>
  <si>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</si>
  <si>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</si>
  <si>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</si>
  <si>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</si>
  <si>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</si>
  <si>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</si>
  <si>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</si>
  <si>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</si>
  <si>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</si>
  <si>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</si>
  <si>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</si>
  <si>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</si>
  <si>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</si>
  <si>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</si>
  <si>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</si>
  <si>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</si>
  <si>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</si>
  <si>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</si>
  <si>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</si>
  <si>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</si>
  <si>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</si>
  <si>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</si>
  <si>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</si>
  <si>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</si>
  <si>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</si>
  <si>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</si>
  <si>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</si>
  <si>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</si>
  <si>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</si>
  <si>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</si>
  <si>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</si>
  <si>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</si>
  <si>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</si>
  <si>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</si>
  <si>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</si>
  <si>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</si>
  <si>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</si>
  <si>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</si>
  <si>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</si>
  <si>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</si>
  <si>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</si>
  <si>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</si>
  <si>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</si>
  <si>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</si>
  <si>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</si>
  <si>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</si>
  <si>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</si>
  <si>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</si>
  <si>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</si>
  <si>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</si>
  <si>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</si>
  <si>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</si>
  <si>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</si>
  <si>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</si>
  <si>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</si>
  <si>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</si>
  <si>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</si>
  <si>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</si>
  <si>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</si>
  <si>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</si>
  <si>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</si>
  <si>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</si>
  <si>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</si>
  <si>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</si>
  <si>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</si>
  <si>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</si>
  <si>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</si>
  <si>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</si>
  <si>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</si>
  <si>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</si>
  <si>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</si>
  <si>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</si>
  <si>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</si>
  <si>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</si>
  <si>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</si>
  <si>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</si>
  <si>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</si>
  <si>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</si>
  <si>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</si>
  <si>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</si>
  <si>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</si>
  <si>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</si>
  <si>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</si>
  <si>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</si>
  <si>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</si>
  <si>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</si>
  <si>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</si>
  <si>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</si>
  <si>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</si>
  <si>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</si>
  <si>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</si>
  <si>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</si>
  <si>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</si>
  <si>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</si>
  <si>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</si>
  <si>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</si>
  <si>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</si>
  <si>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</si>
  <si>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</si>
  <si>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</si>
  <si>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</si>
  <si>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</si>
  <si>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</si>
  <si>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</si>
  <si>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</si>
  <si>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</si>
  <si>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</si>
  <si>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</si>
  <si>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</si>
  <si>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</si>
  <si>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</si>
  <si>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</si>
  <si>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</si>
  <si>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</si>
  <si>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</si>
  <si>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</si>
  <si>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</si>
  <si>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</si>
  <si>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</si>
  <si>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</si>
  <si>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</si>
  <si>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</si>
  <si>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</si>
  <si>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</si>
  <si>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</si>
  <si>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</si>
  <si>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</si>
  <si>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</si>
  <si>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</si>
  <si>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</si>
  <si>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</si>
  <si>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</si>
  <si>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</si>
  <si>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</si>
  <si>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</si>
  <si>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</si>
  <si>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</si>
  <si>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</si>
  <si>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</si>
  <si>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</si>
  <si>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</si>
  <si>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</si>
  <si>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</si>
  <si>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</si>
  <si>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</si>
  <si>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</si>
  <si>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</si>
  <si>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</si>
  <si>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</si>
  <si>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</si>
  <si>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</si>
  <si>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</si>
  <si>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</si>
  <si>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</si>
  <si>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</si>
  <si>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</si>
  <si>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</si>
  <si>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</si>
  <si>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</si>
  <si>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</si>
  <si>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</si>
  <si>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</si>
  <si>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</si>
  <si>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</si>
  <si>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</si>
  <si>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</si>
  <si>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</si>
  <si>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</si>
  <si>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</si>
  <si>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</si>
  <si>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</si>
  <si>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</si>
  <si>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</si>
  <si>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</si>
  <si>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</si>
  <si>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</si>
  <si>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</si>
  <si>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</si>
  <si>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</si>
  <si>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</si>
  <si>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</si>
  <si>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</si>
  <si>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</si>
  <si>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</si>
  <si>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</si>
  <si>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</si>
  <si>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</si>
  <si>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</si>
  <si>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</si>
  <si>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</si>
  <si>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</si>
  <si>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</si>
  <si>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</si>
  <si>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</si>
  <si>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</si>
  <si>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</si>
  <si>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</si>
  <si>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</si>
  <si>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</si>
  <si>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</si>
  <si>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</si>
  <si>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</si>
  <si>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</si>
  <si>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</si>
  <si>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</si>
  <si>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</si>
  <si>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</si>
  <si>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</si>
  <si>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</si>
  <si>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</si>
  <si>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</si>
  <si>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</si>
  <si>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</si>
  <si>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</si>
  <si>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</si>
  <si>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</si>
  <si>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</si>
  <si>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</si>
  <si>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</si>
  <si>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</si>
  <si>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</si>
  <si>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</si>
  <si>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</si>
  <si>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</si>
  <si>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</si>
  <si>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</si>
  <si>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</si>
  <si>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</si>
  <si>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</si>
  <si>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</si>
  <si>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</si>
  <si>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</si>
  <si>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</si>
  <si>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</si>
  <si>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</si>
  <si>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</si>
  <si>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</si>
  <si>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</si>
  <si>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</si>
  <si>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</si>
  <si>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</si>
  <si>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</si>
  <si>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</si>
  <si>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</si>
  <si>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</si>
  <si>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</si>
  <si>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</si>
  <si>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</si>
  <si>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</si>
  <si>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</si>
  <si>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</si>
  <si>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</si>
  <si>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</si>
  <si>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</si>
  <si>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</si>
  <si>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</si>
  <si>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</si>
  <si>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</si>
  <si>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</si>
  <si>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</si>
  <si>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</si>
  <si>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</si>
  <si>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</si>
  <si>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</si>
  <si>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</si>
  <si>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</si>
  <si>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</si>
  <si>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</si>
  <si>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</si>
  <si>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</si>
  <si>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</si>
  <si>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</si>
  <si>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</si>
  <si>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</si>
  <si>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</si>
  <si>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</si>
  <si>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</si>
  <si>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</si>
  <si>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</si>
  <si>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</si>
  <si>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</si>
  <si>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</si>
  <si>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</si>
  <si>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</si>
  <si>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</si>
  <si>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</si>
  <si>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</si>
  <si>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</si>
  <si>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</si>
  <si>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</si>
  <si>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</si>
  <si>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</si>
  <si>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</si>
  <si>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</si>
  <si>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</si>
  <si>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</si>
  <si>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</si>
  <si>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</si>
  <si>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</si>
  <si>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</si>
  <si>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</si>
  <si>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</si>
  <si>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</si>
  <si>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</si>
  <si>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</si>
  <si>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</si>
  <si>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</si>
  <si>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</si>
  <si>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</si>
  <si>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</si>
  <si>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</si>
  <si>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</si>
  <si>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</si>
  <si>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</si>
  <si>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</si>
  <si>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</si>
  <si>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</si>
  <si>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</si>
  <si>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</si>
  <si>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</si>
  <si>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</si>
  <si>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</si>
  <si>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</si>
  <si>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</si>
  <si>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</si>
  <si>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</si>
  <si>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</si>
  <si>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</si>
  <si>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</si>
  <si>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</si>
  <si>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</si>
  <si>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</si>
  <si>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</si>
  <si>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</si>
  <si>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</si>
  <si>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</si>
  <si>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</si>
  <si>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</si>
  <si>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</si>
  <si>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</si>
  <si>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</si>
  <si>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</si>
  <si>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</si>
  <si>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</si>
  <si>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</si>
  <si>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</si>
  <si>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</si>
  <si>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</si>
  <si>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</si>
  <si>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</si>
  <si>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</si>
  <si>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</si>
  <si>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</si>
  <si>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</si>
  <si>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</si>
  <si>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</si>
  <si>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</si>
  <si>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</si>
  <si>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</si>
  <si>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</si>
  <si>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</si>
  <si>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</si>
  <si>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</si>
  <si>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</si>
  <si>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</si>
  <si>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</si>
  <si>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</si>
  <si>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</si>
  <si>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</si>
  <si>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</si>
  <si>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</si>
  <si>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</si>
  <si>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</si>
  <si>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</si>
  <si>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</si>
  <si>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</si>
  <si>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</si>
  <si>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</si>
  <si>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</si>
  <si>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</si>
  <si>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</si>
  <si>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</si>
  <si>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</si>
  <si>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</si>
  <si>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</si>
  <si>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</si>
  <si>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</si>
  <si>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</si>
  <si>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</si>
  <si>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</si>
  <si>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</si>
  <si>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</si>
  <si>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</si>
  <si>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</si>
  <si>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</si>
  <si>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</si>
  <si>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</si>
  <si>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</si>
  <si>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</si>
  <si>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</si>
  <si>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</si>
  <si>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</si>
  <si>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</si>
  <si>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</si>
  <si>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</si>
  <si>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</si>
  <si>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</si>
  <si>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</si>
  <si>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</si>
  <si>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</si>
  <si>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</si>
  <si>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</si>
  <si>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</si>
  <si>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</si>
  <si>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</si>
  <si>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</si>
  <si>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</si>
  <si>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</si>
  <si>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</si>
  <si>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</si>
  <si>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</si>
  <si>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</si>
  <si>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</si>
  <si>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</si>
  <si>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</si>
  <si>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</si>
  <si>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</si>
  <si>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</si>
  <si>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</si>
  <si>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</si>
  <si>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</si>
  <si>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</si>
  <si>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</si>
  <si>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</si>
  <si>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</si>
  <si>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</si>
  <si>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</si>
  <si>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</si>
  <si>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</si>
  <si>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</si>
  <si>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</si>
  <si>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</si>
  <si>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</si>
  <si>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</si>
  <si>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</si>
  <si>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</si>
  <si>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</si>
  <si>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</si>
  <si>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</si>
  <si>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</si>
  <si>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</si>
  <si>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</si>
  <si>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</si>
  <si>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</si>
  <si>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</si>
  <si>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</si>
  <si>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</si>
  <si>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</si>
  <si>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</si>
  <si>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</si>
  <si>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</si>
  <si>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</si>
  <si>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</si>
  <si>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</si>
  <si>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</si>
  <si>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</si>
  <si>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</si>
  <si>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</si>
  <si>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</si>
  <si>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</si>
  <si>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</si>
  <si>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</si>
  <si>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</si>
  <si>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</si>
  <si>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</si>
  <si>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</si>
  <si>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</si>
  <si>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</si>
  <si>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</si>
  <si>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</si>
  <si>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</si>
  <si>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</si>
  <si>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</si>
  <si>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</si>
  <si>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</si>
  <si>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</si>
  <si>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</si>
  <si>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</si>
  <si>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</si>
  <si>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</si>
  <si>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</si>
  <si>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</si>
  <si>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</si>
  <si>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</si>
  <si>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</si>
  <si>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</si>
  <si>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</si>
  <si>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</si>
  <si>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</si>
  <si>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</si>
  <si>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</si>
  <si>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</si>
  <si>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</si>
  <si>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</si>
  <si>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</si>
  <si>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</si>
  <si>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</si>
  <si>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</si>
  <si>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</si>
  <si>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</si>
  <si>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</si>
  <si>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</si>
  <si>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</si>
  <si>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</si>
  <si>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</si>
  <si>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</si>
  <si>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</si>
  <si>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</si>
  <si>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</si>
  <si>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</si>
  <si>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</si>
  <si>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</si>
  <si>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</si>
  <si>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</si>
  <si>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</si>
  <si>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</si>
  <si>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</si>
  <si>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</si>
  <si>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</si>
  <si>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</si>
  <si>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</si>
  <si>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</si>
  <si>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</si>
  <si>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</si>
  <si>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</si>
  <si>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</si>
  <si>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</si>
  <si>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</si>
  <si>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</si>
  <si>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</si>
  <si>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</si>
  <si>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</si>
  <si>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</si>
  <si>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</si>
  <si>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</si>
  <si>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</si>
  <si>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</si>
  <si>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</si>
  <si>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</si>
  <si>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</si>
  <si>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</si>
  <si>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</si>
  <si>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</si>
  <si>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</si>
  <si>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</si>
  <si>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</si>
  <si>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</si>
  <si>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</si>
  <si>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</si>
  <si>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</si>
  <si>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</si>
  <si>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</si>
  <si>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</si>
  <si>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</si>
  <si>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</si>
  <si>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</si>
  <si>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</si>
  <si>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</si>
  <si>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</si>
  <si>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</si>
  <si>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</si>
  <si>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</si>
  <si>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</si>
  <si>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</si>
  <si>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</si>
  <si>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</si>
  <si>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</si>
  <si>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</si>
  <si>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</si>
  <si>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</si>
  <si>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</si>
  <si>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</si>
  <si>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</si>
  <si>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</si>
  <si>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</si>
  <si>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</si>
  <si>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</si>
  <si>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</si>
  <si>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</si>
  <si>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</si>
  <si>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</si>
  <si>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</si>
  <si>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</si>
  <si>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</si>
  <si>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</si>
  <si>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</si>
  <si>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</si>
  <si>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</si>
  <si>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</si>
  <si>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</si>
  <si>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</si>
  <si>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</si>
  <si>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</si>
  <si>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</si>
  <si>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</si>
  <si>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</si>
  <si>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</si>
  <si>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</si>
  <si>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</si>
  <si>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</si>
  <si>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</si>
  <si>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</si>
  <si>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</si>
  <si>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</si>
  <si>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</si>
  <si>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</si>
  <si>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</si>
  <si>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</si>
  <si>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</si>
  <si>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</si>
  <si>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</si>
  <si>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</si>
  <si>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</si>
  <si>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</si>
  <si>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</si>
  <si>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</si>
  <si>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</si>
  <si>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</si>
  <si>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</si>
  <si>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</si>
  <si>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</si>
  <si>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</si>
  <si>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</si>
  <si>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</si>
  <si>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</si>
  <si>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</si>
  <si>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</si>
  <si>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</si>
  <si>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</si>
  <si>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</si>
  <si>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</si>
  <si>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</si>
  <si>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</si>
  <si>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</si>
  <si>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</si>
  <si>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</si>
  <si>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</si>
  <si>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</si>
  <si>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</si>
  <si>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</si>
  <si>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</si>
  <si>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</si>
  <si>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</si>
  <si>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</si>
  <si>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</si>
  <si>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</si>
  <si>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</si>
  <si>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</si>
  <si>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</si>
  <si>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</si>
  <si>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</si>
  <si>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</si>
  <si>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</si>
  <si>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</si>
  <si>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</si>
  <si>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</si>
  <si>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</si>
  <si>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</si>
  <si>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</si>
  <si>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</si>
  <si>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</si>
  <si>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</si>
  <si>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</si>
  <si>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</si>
  <si>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</si>
  <si>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</si>
  <si>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</si>
  <si>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</si>
  <si>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</si>
  <si>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</si>
  <si>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</si>
  <si>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</si>
  <si>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</si>
  <si>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</si>
  <si>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</si>
  <si>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</si>
  <si>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</si>
  <si>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</si>
  <si>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</si>
  <si>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</si>
  <si>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</si>
  <si>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</si>
  <si>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</si>
  <si>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</si>
  <si>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</si>
  <si>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</si>
  <si>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</si>
  <si>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</si>
  <si>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</si>
  <si>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</si>
  <si>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</si>
  <si>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</si>
  <si>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</si>
  <si>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</si>
  <si>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</si>
  <si>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</si>
  <si>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</si>
  <si>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</si>
  <si>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</si>
  <si>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</si>
  <si>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</si>
  <si>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</si>
  <si>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</si>
  <si>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</si>
  <si>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</si>
  <si>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</si>
  <si>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</si>
  <si>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</si>
  <si>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</si>
  <si>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</si>
  <si>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</si>
  <si>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</si>
  <si>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</si>
  <si>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</si>
  <si>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</si>
  <si>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</si>
  <si>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</si>
  <si>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</si>
  <si>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</si>
  <si>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</si>
  <si>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</si>
  <si>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</si>
  <si>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</si>
  <si>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</si>
  <si>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</si>
  <si>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</si>
  <si>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</si>
  <si>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</si>
  <si>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</si>
  <si>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</si>
  <si>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</si>
  <si>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</si>
  <si>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</si>
  <si>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</si>
  <si>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</si>
  <si>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</si>
  <si>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</si>
  <si>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</si>
  <si>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</si>
  <si>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</si>
  <si>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</si>
  <si>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</si>
  <si>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</si>
  <si>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</si>
  <si>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</si>
  <si>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</si>
  <si>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</si>
  <si>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</si>
  <si>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</si>
  <si>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</si>
  <si>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</si>
  <si>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</si>
  <si>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</si>
  <si>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</si>
  <si>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</si>
  <si>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</si>
  <si>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</si>
  <si>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</si>
  <si>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</si>
  <si>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</si>
  <si>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</si>
  <si>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</si>
  <si>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</si>
  <si>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</si>
  <si>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</si>
  <si>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</si>
  <si>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</si>
  <si>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</si>
  <si>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</si>
  <si>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</si>
  <si>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</si>
  <si>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</si>
  <si>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</si>
  <si>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</si>
  <si>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</si>
  <si>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</si>
  <si>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</si>
  <si>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</si>
  <si>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</si>
  <si>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</si>
  <si>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</si>
  <si>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</si>
  <si>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</si>
  <si>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</si>
  <si>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</si>
  <si>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</si>
  <si>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</si>
  <si>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</si>
  <si>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</si>
  <si>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</si>
  <si>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</si>
  <si>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</si>
  <si>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</si>
  <si>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</si>
  <si>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</si>
  <si>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</si>
  <si>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</si>
  <si>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</si>
  <si>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</si>
  <si>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</si>
  <si>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</si>
  <si>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</si>
  <si>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</si>
  <si>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</si>
  <si>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</si>
  <si>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</si>
  <si>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</si>
  <si>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</si>
  <si>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</si>
  <si>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</si>
  <si>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</si>
  <si>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</si>
  <si>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</si>
  <si>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</si>
  <si>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</si>
  <si>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</si>
  <si>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</si>
  <si>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</si>
  <si>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</si>
  <si>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</si>
  <si>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</si>
  <si>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</si>
  <si>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</si>
  <si>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</si>
  <si>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</si>
  <si>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</si>
  <si>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</si>
  <si>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</si>
  <si>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</si>
  <si>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</si>
  <si>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</si>
  <si>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</si>
  <si>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</si>
  <si>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</si>
  <si>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</si>
  <si>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</si>
  <si>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</si>
  <si>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</si>
  <si>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</si>
  <si>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</si>
  <si>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</si>
  <si>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</si>
  <si>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</si>
  <si>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</si>
  <si>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</si>
  <si>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</si>
  <si>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</si>
  <si>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</si>
  <si>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</si>
  <si>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</si>
  <si>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</si>
  <si>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</si>
  <si>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</si>
  <si>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</si>
  <si>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</si>
  <si>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</si>
  <si>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</si>
  <si>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</si>
  <si>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</si>
  <si>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</si>
  <si>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</si>
  <si>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</si>
  <si>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</si>
  <si>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</si>
  <si>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</si>
  <si>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</si>
  <si>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</si>
  <si>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</si>
  <si>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</si>
  <si>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</si>
  <si>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</si>
  <si>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</si>
  <si>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</si>
  <si>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</si>
  <si>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</si>
  <si>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</si>
  <si>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</si>
  <si>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</si>
  <si>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</si>
  <si>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</si>
  <si>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</si>
  <si>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</si>
  <si>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</si>
  <si>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</si>
  <si>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</si>
  <si>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</si>
  <si>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</si>
  <si>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</si>
  <si>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</si>
  <si>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</si>
  <si>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</si>
  <si>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</si>
  <si>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</si>
  <si>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</si>
  <si>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</si>
  <si>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</si>
  <si>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</si>
  <si>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</si>
  <si>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</si>
  <si>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</si>
  <si>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</si>
  <si>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</si>
  <si>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</si>
  <si>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</si>
  <si>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</si>
  <si>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</si>
  <si>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</si>
  <si>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</si>
  <si>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</si>
  <si>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</si>
  <si>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</si>
  <si>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</si>
  <si>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</si>
  <si>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</si>
  <si>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</si>
  <si>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</si>
  <si>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</si>
  <si>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</si>
  <si>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</si>
  <si>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</si>
  <si>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</si>
  <si>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</si>
  <si>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</si>
  <si>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</si>
  <si>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</si>
  <si>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</si>
  <si>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</si>
  <si>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</si>
  <si>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</si>
  <si>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</si>
  <si>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</si>
  <si>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</si>
  <si>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</si>
  <si>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</si>
  <si>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</si>
  <si>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</si>
  <si>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</si>
  <si>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</si>
  <si>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</si>
  <si>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</si>
  <si>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</si>
  <si>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</si>
  <si>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</si>
  <si>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</si>
  <si>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</si>
  <si>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</si>
  <si>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</si>
  <si>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</si>
  <si>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</si>
  <si>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</si>
  <si>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</si>
  <si>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</si>
  <si>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</si>
  <si>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</si>
  <si>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</si>
  <si>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</si>
  <si>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</si>
  <si>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</si>
  <si>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</si>
  <si>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</si>
  <si>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</si>
  <si>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</si>
  <si>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</si>
  <si>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</si>
  <si>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</si>
  <si>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</si>
  <si>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</si>
  <si>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</si>
  <si>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</si>
  <si>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</si>
  <si>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</si>
  <si>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</si>
  <si>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</si>
  <si>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</si>
  <si>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</si>
  <si>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</si>
  <si>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</si>
  <si>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</si>
  <si>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</si>
  <si>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</si>
  <si>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</si>
  <si>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</si>
  <si>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</si>
  <si>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</si>
  <si>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</si>
  <si>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</si>
  <si>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</si>
  <si>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</si>
  <si>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</si>
  <si>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</si>
  <si>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</si>
  <si>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</si>
  <si>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</si>
  <si>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</si>
  <si>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</si>
  <si>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</si>
  <si>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</si>
  <si>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</si>
  <si>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</si>
  <si>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</si>
  <si>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</si>
  <si>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</si>
  <si>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</si>
  <si>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</si>
  <si>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</si>
  <si>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</si>
  <si>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</si>
  <si>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</si>
  <si>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</si>
  <si>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</si>
  <si>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</si>
  <si>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</si>
  <si>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</si>
  <si>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</si>
  <si>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</si>
  <si>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</si>
  <si>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</si>
  <si>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</si>
  <si>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</si>
  <si>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</si>
  <si>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</si>
  <si>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</si>
  <si>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</si>
  <si>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</si>
  <si>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</si>
  <si>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</si>
  <si>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广西省</t>
    <phoneticPr fontId="6" type="noConversion"/>
  </si>
  <si>
    <t>柳州市柳东新区智和路以北L-14-34地块A地块</t>
    <phoneticPr fontId="6" type="noConversion"/>
  </si>
  <si>
    <t>企业</t>
  </si>
  <si>
    <t>五矿信托</t>
    <phoneticPr fontId="6" type="noConversion"/>
  </si>
  <si>
    <t>柳州东城安居置业开发有限公司</t>
    <phoneticPr fontId="6" type="noConversion"/>
  </si>
  <si>
    <t>商业</t>
  </si>
  <si>
    <t>通路</t>
  </si>
  <si>
    <t>通电</t>
  </si>
  <si>
    <t>通讯</t>
  </si>
  <si>
    <t>通上水</t>
  </si>
  <si>
    <t>通下水</t>
  </si>
  <si>
    <t>燃气</t>
  </si>
  <si>
    <t>地上</t>
  </si>
  <si>
    <r>
      <t>1</t>
    </r>
    <r>
      <rPr>
        <sz val="11"/>
        <color theme="1"/>
        <rFont val="宋体"/>
        <family val="3"/>
        <charset val="134"/>
        <scheme val="minor"/>
      </rPr>
      <t>#楼</t>
    </r>
    <phoneticPr fontId="228" type="noConversion"/>
  </si>
  <si>
    <r>
      <t>2#楼</t>
    </r>
    <r>
      <rPr>
        <sz val="11"/>
        <color theme="1"/>
        <rFont val="宋体"/>
        <family val="3"/>
        <charset val="134"/>
        <scheme val="minor"/>
      </rPr>
      <t/>
    </r>
  </si>
  <si>
    <r>
      <t>3#楼</t>
    </r>
    <r>
      <rPr>
        <sz val="11"/>
        <color theme="1"/>
        <rFont val="宋体"/>
        <family val="3"/>
        <charset val="134"/>
        <scheme val="minor"/>
      </rPr>
      <t/>
    </r>
  </si>
  <si>
    <r>
      <t>4#楼</t>
    </r>
    <r>
      <rPr>
        <sz val="11"/>
        <color theme="1"/>
        <rFont val="宋体"/>
        <family val="3"/>
        <charset val="134"/>
        <scheme val="minor"/>
      </rPr>
      <t/>
    </r>
  </si>
  <si>
    <r>
      <t>5#楼</t>
    </r>
    <r>
      <rPr>
        <sz val="11"/>
        <color theme="1"/>
        <rFont val="宋体"/>
        <family val="3"/>
        <charset val="134"/>
        <scheme val="minor"/>
      </rPr>
      <t/>
    </r>
  </si>
  <si>
    <r>
      <t>6#楼</t>
    </r>
    <r>
      <rPr>
        <sz val="11"/>
        <color theme="1"/>
        <rFont val="宋体"/>
        <family val="3"/>
        <charset val="134"/>
        <scheme val="minor"/>
      </rPr>
      <t/>
    </r>
  </si>
  <si>
    <r>
      <t>7#楼</t>
    </r>
    <r>
      <rPr>
        <sz val="11"/>
        <color theme="1"/>
        <rFont val="宋体"/>
        <family val="3"/>
        <charset val="134"/>
        <scheme val="minor"/>
      </rPr>
      <t/>
    </r>
  </si>
  <si>
    <r>
      <t>8#楼</t>
    </r>
    <r>
      <rPr>
        <sz val="11"/>
        <color theme="1"/>
        <rFont val="宋体"/>
        <family val="3"/>
        <charset val="134"/>
        <scheme val="minor"/>
      </rPr>
      <t/>
    </r>
  </si>
  <si>
    <t>地上</t>
    <phoneticPr fontId="228" type="noConversion"/>
  </si>
  <si>
    <t>地下</t>
  </si>
  <si>
    <t>地下</t>
    <phoneticPr fontId="228" type="noConversion"/>
  </si>
  <si>
    <t>幼儿园</t>
    <phoneticPr fontId="228" type="noConversion"/>
  </si>
  <si>
    <t>表1-1   项目主要技术经济指标</t>
  </si>
  <si>
    <t>指标名称</t>
  </si>
  <si>
    <t>单位</t>
  </si>
  <si>
    <t>数值</t>
  </si>
  <si>
    <t>备注</t>
  </si>
  <si>
    <t>建设总用地面积</t>
  </si>
  <si>
    <t>㎡</t>
  </si>
  <si>
    <t>其中</t>
  </si>
  <si>
    <t>代征道路用地面积</t>
  </si>
  <si>
    <t>水域用地面积</t>
  </si>
  <si>
    <t>绿化用地面积</t>
  </si>
  <si>
    <t>建设净用地面积</t>
  </si>
  <si>
    <t>总建筑面积</t>
  </si>
  <si>
    <t>地上建筑面积</t>
  </si>
  <si>
    <t>住宅建筑面积</t>
  </si>
  <si>
    <t>架空层面积</t>
  </si>
  <si>
    <t>不计容</t>
  </si>
  <si>
    <t>商业建筑面积</t>
  </si>
  <si>
    <t>配套公共建筑面积</t>
  </si>
  <si>
    <t>地下建筑面积</t>
  </si>
  <si>
    <t>计容建筑面积</t>
  </si>
  <si>
    <t>建筑基底面积</t>
  </si>
  <si>
    <t>㎡/㎡</t>
  </si>
  <si>
    <t>建筑密度</t>
  </si>
  <si>
    <t>%</t>
  </si>
  <si>
    <t>绿地率</t>
  </si>
  <si>
    <t>规划户数</t>
  </si>
  <si>
    <t>户</t>
  </si>
  <si>
    <t>机动车停车位</t>
  </si>
  <si>
    <t>个</t>
  </si>
  <si>
    <t>商业停车位</t>
  </si>
  <si>
    <t>幼儿园停车位</t>
  </si>
  <si>
    <t>住宅停车位</t>
  </si>
  <si>
    <t>地上停车位</t>
  </si>
  <si>
    <t>地下停车位</t>
  </si>
  <si>
    <t>非机动车停车位</t>
  </si>
  <si>
    <t>住宅非机动车停车位</t>
  </si>
  <si>
    <t>商业等其他非机动车停车位</t>
  </si>
  <si>
    <t>车库</t>
  </si>
  <si>
    <t>住宅</t>
    <phoneticPr fontId="7" type="noConversion"/>
  </si>
  <si>
    <t>商业</t>
    <phoneticPr fontId="7" type="noConversion"/>
  </si>
  <si>
    <t>地下车库</t>
    <phoneticPr fontId="7" type="noConversion"/>
  </si>
  <si>
    <t>剩余法-待开发</t>
  </si>
  <si>
    <t>土地</t>
  </si>
  <si>
    <t>不动产收益法</t>
  </si>
  <si>
    <t>土地（套用方法）</t>
  </si>
  <si>
    <t>押一</t>
  </si>
  <si>
    <t>按租金收入计税</t>
  </si>
  <si>
    <t>钢混</t>
  </si>
  <si>
    <t>https://max.book118.com/html/2018/0507/165315540.shtm</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</si>
  <si>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</si>
  <si>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自定义</t>
  </si>
  <si>
    <t>不动产收益法(车库)</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</si>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</sst>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4"/>
      <color rgb="FF000000"/>
      <name val="宋体"/>
      <family val="3"/>
      <charset val="134"/>
    </font>
    <font>
      <b/>
      <sz val="15"/>
      <color rgb="FF00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82" xfId="0" applyFont="1" applyBorder="1" applyAlignment="1">
      <alignment horizontal="center" vertical="center"/>
    </xf>
    <xf numFmtId="0" fontId="259" fillId="0" borderId="38" xfId="0" applyFont="1" applyBorder="1" applyAlignment="1">
      <alignment horizontal="center" vertical="center"/>
    </xf>
    <xf numFmtId="0" fontId="259" fillId="0" borderId="80" xfId="0" applyFont="1" applyBorder="1" applyAlignment="1">
      <alignment horizontal="center" vertical="center"/>
    </xf>
    <xf numFmtId="0" fontId="259" fillId="0" borderId="66" xfId="0" applyFont="1" applyBorder="1" applyAlignment="1">
      <alignment horizontal="center" vertical="center"/>
    </xf>
    <xf numFmtId="0" fontId="259" fillId="0" borderId="66" xfId="0" applyFont="1" applyBorder="1" applyAlignment="1">
      <alignment horizontal="left" vertical="center"/>
    </xf>
    <xf numFmtId="0" fontId="281" fillId="0" borderId="0" xfId="0" applyFont="1" applyAlignment="1">
      <alignment horizontal="justify" vertical="center"/>
    </xf>
    <xf numFmtId="0" fontId="259" fillId="6" borderId="66" xfId="0" applyFont="1" applyFill="1" applyBorder="1" applyAlignment="1">
      <alignment horizontal="center" vertical="center"/>
    </xf>
    <xf numFmtId="0" fontId="259" fillId="0" borderId="66" xfId="0" applyFont="1" applyFill="1" applyBorder="1" applyAlignment="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0" borderId="61" xfId="0" applyFont="1" applyBorder="1" applyAlignment="1">
      <alignment horizontal="center" vertical="center"/>
    </xf>
    <xf numFmtId="0" fontId="259" fillId="0" borderId="35" xfId="0" applyFont="1" applyBorder="1" applyAlignment="1">
      <alignment horizontal="center" vertical="center"/>
    </xf>
    <xf numFmtId="0" fontId="259" fillId="0" borderId="79" xfId="0" applyFont="1" applyBorder="1" applyAlignment="1">
      <alignment horizontal="center" vertical="center"/>
    </xf>
    <xf numFmtId="0" fontId="259" fillId="0" borderId="80"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611;&#24030;&#22303;&#223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11;&#24030;&#22303;&#22320;&#65288;&#21830;&#1999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62874.12000000001</v>
          </cell>
          <cell r="C14">
            <v>16232.6</v>
          </cell>
          <cell r="D14">
            <v>3301</v>
          </cell>
          <cell r="G14">
            <v>3301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47205.270000000004</v>
          </cell>
          <cell r="C14">
            <v>31470.18</v>
          </cell>
          <cell r="D14">
            <v>8635</v>
          </cell>
          <cell r="G14">
            <v>8635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广西省柳州市柳东新区智和路以北L-14-34地块A地块出让国有建设用地使用权抵押价格预评估</v>
      </c>
      <c r="AX2" s="2614"/>
      <c r="AZ2" s="2614"/>
      <c r="BA2" s="2615"/>
      <c r="BC2" s="2615"/>
    </row>
    <row r="3" spans="1:55" s="2616" customFormat="1">
      <c r="A3" s="2595" t="s">
        <v>2641</v>
      </c>
      <c r="B3" s="2598" t="str">
        <f>'预评函-封皮'!B40</f>
        <v>五矿信托</v>
      </c>
    </row>
    <row r="4" spans="1:55" s="2597" customFormat="1">
      <c r="A4" s="2595" t="s">
        <v>2642</v>
      </c>
      <c r="B4" s="2596" t="str">
        <f>'预评函-封皮'!B46</f>
        <v>土地估价师、土地估价师</v>
      </c>
      <c r="N4" s="2597" t="str">
        <f>'预评函-1'!A28</f>
        <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受贵公司委托，我公司对广西省柳州市柳东新区智和路以北L-14-34地块A地块出让国有建设用地使用权抵押价格进行了预评估。</v>
      </c>
      <c r="AM6" s="2620"/>
    </row>
    <row r="7" spans="1:55" s="2594" customFormat="1">
      <c r="A7" s="2595" t="s">
        <v>2637</v>
      </c>
      <c r="B7" s="2596" t="str">
        <f>'预评函-1'!A6</f>
        <v>估价对象为柳州东城安居置业开发有限公司使用的、位于广西省柳州市柳东新区智和路以北L-14-34地块A地块出让国有建设用地使用权。根据《国有土地使用证》[]，估价对象（分摊）出让国有建设用地使用权面积为55043.06平方米。根据《建设工程规划许可证》[]、《出让合同》[]，估价对象规划建筑面积为219676.65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柳州东城安居置业开发有限公司拟使用广西省柳州市柳东新区智和路以北L-14-34地块A地块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2021年2月23日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根据委托估价方介绍及评估专业人员现场勘查，本次评估估价对象实际土地开发程度为红线外市政基础设施达“六通”（即通路、通电、通讯、通上水、通下水、燃气）、宗地红线内场地平整。</v>
      </c>
    </row>
    <row r="14" spans="1:55" s="2594" customFormat="1">
      <c r="A14" s="2595" t="s">
        <v>2648</v>
      </c>
      <c r="B14" s="2596" t="str">
        <f>'预评函-1'!A18</f>
        <v>。本次评估设定土地开发程度为红线外市政基础设施达“六通”、宗地红线内场地平整。</v>
      </c>
    </row>
    <row r="15" spans="1:55" s="2594" customFormat="1">
      <c r="A15" s="2595" t="s">
        <v>2644</v>
      </c>
      <c r="B15" s="2596" t="str">
        <f>'预评函-1'!A20</f>
        <v>根据《国有土地使用证》[]，估价对象（分摊）出让国有建设用地使用权面积为55043.06平方米。根据《建设工程规划许可证》[]、《出让合同》[]，估价对象规划建筑面积为219676.65平方米。</v>
      </c>
    </row>
    <row r="16" spans="1:55" s="2594" customFormat="1">
      <c r="A16" s="2595" t="s">
        <v>2649</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11月9日、商业2056年11月9日地下车库2066年11月9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2月23日，在规划利用条件下、设定土地开发程度为红线外“六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
      </c>
    </row>
    <row r="22" spans="1:48" ht="15" thickTop="1">
      <c r="A22" s="2606" t="s">
        <v>2655</v>
      </c>
      <c r="B22" s="2607"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估价期日：2021年2月23日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红线外六通、宗地红线内</v>
      </c>
    </row>
    <row r="39" spans="1:2">
      <c r="A39" s="2595" t="s">
        <v>2699</v>
      </c>
      <c r="B39" s="2596" t="str">
        <f>'预评函-2'!L5</f>
        <v>红线外六通、宗地红线内场地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55043.06</v>
      </c>
    </row>
    <row r="44" spans="1:2">
      <c r="A44" s="2595" t="s">
        <v>2720</v>
      </c>
      <c r="B44" s="2596" t="str">
        <f>'预评函-2'!O3</f>
        <v>规划建筑面积/㎡</v>
      </c>
    </row>
    <row r="45" spans="1:2">
      <c r="A45" s="2595" t="s">
        <v>2702</v>
      </c>
      <c r="B45" s="2596">
        <f>'预评函-2'!O5</f>
        <v>219676.65000000002</v>
      </c>
    </row>
    <row r="46" spans="1:2">
      <c r="A46" s="2595" t="s">
        <v>2703</v>
      </c>
      <c r="B46" s="2596">
        <f ca="1">'预评函-2'!P5</f>
        <v>1599</v>
      </c>
    </row>
    <row r="47" spans="1:2">
      <c r="A47" s="2595" t="s">
        <v>2704</v>
      </c>
      <c r="B47" s="2596">
        <f ca="1">'预评函-2'!Q5</f>
        <v>401</v>
      </c>
    </row>
    <row r="48" spans="1:2">
      <c r="A48" s="2595" t="s">
        <v>2705</v>
      </c>
      <c r="B48" s="2596">
        <f ca="1">'预评函-2'!R5</f>
        <v>8800</v>
      </c>
    </row>
    <row r="49" spans="1:2">
      <c r="A49" s="2595" t="s">
        <v>2721</v>
      </c>
      <c r="B49" s="2596" t="str">
        <f>'预评函-2'!A6</f>
        <v>抵押价格</v>
      </c>
    </row>
    <row r="50" spans="1:2">
      <c r="A50" s="2595" t="s">
        <v>2706</v>
      </c>
      <c r="B50" s="2596">
        <f ca="1">'预评函-2'!R6</f>
        <v>8800</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2.基础设施条件：估价对象实际开发程度为红线外六通、宗地红线内；本次评估设定开发程度为红线外六通、宗地红线内场地。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由于本次评估估价目的是评估储备国有建设用地使用权的“抵押价格”，因此本次评估设定土地开发程度为红线外市政基础设施达“六通”、宗地红线内场地平整。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9" sqref="E19"/>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42" t="str">
        <f>IF(B10="北京市","北京市",C10)&amp;F10&amp;B16&amp;"国有建设用地使用权"&amp;B9&amp;"预评估"</f>
        <v>广西省柳州市柳东新区智和路以北L-14-34地块A地块出让国有建设用地使用权抵押价格预评估</v>
      </c>
      <c r="C1" s="3343"/>
      <c r="D1" s="3343"/>
      <c r="E1" s="3343"/>
      <c r="F1" s="3343"/>
      <c r="G1" s="3343"/>
      <c r="H1" s="3343"/>
      <c r="I1" s="3344"/>
      <c r="J1" s="3074"/>
      <c r="K1" s="2310" t="str">
        <f>IF(B10="北京市","北京市",C10)&amp;F10&amp;B16&amp;"国有建设用地使用权"&amp;B9</f>
        <v>广西省柳州市柳东新区智和路以北L-14-34地块A地块出让国有建设用地使用权抵押价格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广西省柳州市柳东新区智和路以北L-14-34地块A地块出让国有建设用地使用权</v>
      </c>
      <c r="L2" s="3053"/>
      <c r="M2" s="3053"/>
      <c r="N2" s="3054"/>
      <c r="O2" s="3055"/>
      <c r="P2" s="3054"/>
      <c r="Q2" s="3054"/>
      <c r="R2" s="3054"/>
      <c r="S2" s="3054"/>
      <c r="T2" s="3054"/>
      <c r="U2" s="3054"/>
    </row>
    <row r="3" spans="1:21">
      <c r="A3" s="1588" t="s">
        <v>1928</v>
      </c>
      <c r="B3" s="1589"/>
      <c r="C3" s="2997" t="s">
        <v>1984</v>
      </c>
      <c r="D3" s="1589">
        <v>44250</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t="s">
        <v>3010</v>
      </c>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t="str">
        <f>B5</f>
        <v>五矿信托</v>
      </c>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t="s">
        <v>3011</v>
      </c>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2956</v>
      </c>
      <c r="C8" s="1598"/>
      <c r="D8" s="3348" t="s">
        <v>1933</v>
      </c>
      <c r="E8" s="1757" t="s">
        <v>3005</v>
      </c>
      <c r="F8" s="1599"/>
      <c r="G8" s="3075"/>
      <c r="H8" s="3075"/>
      <c r="I8" s="3078"/>
      <c r="J8" s="3074"/>
      <c r="K8" s="3057"/>
      <c r="L8" s="3053"/>
      <c r="M8" s="3053"/>
      <c r="N8" s="3054"/>
      <c r="O8" s="3055"/>
      <c r="P8" s="3054"/>
      <c r="Q8" s="3054"/>
      <c r="R8" s="3054"/>
      <c r="S8" s="3054"/>
      <c r="T8" s="3054"/>
      <c r="U8" s="3054"/>
    </row>
    <row r="9" spans="1:21" ht="15" thickBot="1">
      <c r="A9" s="2999" t="s">
        <v>1932</v>
      </c>
      <c r="B9" s="1600" t="s">
        <v>3005</v>
      </c>
      <c r="C9" s="1601"/>
      <c r="D9" s="3349"/>
      <c r="E9" s="1600" t="s">
        <v>943</v>
      </c>
      <c r="F9" s="1664"/>
      <c r="G9" s="3079"/>
      <c r="H9" s="3079"/>
      <c r="I9" s="3080"/>
      <c r="J9" s="3074"/>
      <c r="K9" s="3057"/>
      <c r="L9" s="3053"/>
      <c r="M9" s="3053"/>
      <c r="N9" s="3054"/>
      <c r="O9" s="3055"/>
      <c r="P9" s="3054"/>
      <c r="Q9" s="3054"/>
      <c r="R9" s="3054"/>
      <c r="S9" s="3054"/>
      <c r="T9" s="3054"/>
      <c r="U9" s="3054"/>
    </row>
    <row r="10" spans="1:21" ht="15" thickTop="1">
      <c r="A10" s="3000" t="s">
        <v>1988</v>
      </c>
      <c r="B10" s="1640" t="s">
        <v>3006</v>
      </c>
      <c r="C10" s="1602" t="s">
        <v>3007</v>
      </c>
      <c r="D10" s="1594"/>
      <c r="E10" s="1603" t="s">
        <v>1935</v>
      </c>
      <c r="F10" s="1604" t="s">
        <v>3008</v>
      </c>
      <c r="G10" s="1662"/>
      <c r="H10" s="1663"/>
      <c r="I10" s="1594"/>
      <c r="J10" s="3074"/>
      <c r="K10" s="3057"/>
      <c r="L10" s="3053"/>
      <c r="M10" s="3053"/>
      <c r="N10" s="3054"/>
      <c r="O10" s="3055"/>
      <c r="P10" s="3054"/>
      <c r="Q10" s="3054"/>
      <c r="R10" s="3054"/>
      <c r="S10" s="3054"/>
      <c r="T10" s="3054"/>
      <c r="U10" s="3054"/>
    </row>
    <row r="11" spans="1:21" ht="42.75">
      <c r="A11" s="3001" t="s">
        <v>1989</v>
      </c>
      <c r="B11" s="1619" t="s">
        <v>3009</v>
      </c>
      <c r="C11" s="1605" t="str">
        <f>B7</f>
        <v>柳州东城安居置业开发有限公司</v>
      </c>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45"/>
      <c r="C12" s="3346"/>
      <c r="D12" s="3347"/>
      <c r="E12" s="1620" t="s">
        <v>2050</v>
      </c>
      <c r="F12" s="3363" t="s">
        <v>2868</v>
      </c>
      <c r="G12" s="3364"/>
      <c r="H12" s="3364"/>
      <c r="I12" s="3365"/>
      <c r="J12" s="3074"/>
      <c r="K12" s="3057"/>
      <c r="L12" s="3053"/>
      <c r="M12" s="3053"/>
      <c r="N12" s="3054"/>
      <c r="O12" s="3055"/>
      <c r="P12" s="3054"/>
      <c r="Q12" s="3054"/>
      <c r="R12" s="3054"/>
      <c r="S12" s="3054"/>
      <c r="T12" s="3054"/>
      <c r="U12" s="3054"/>
    </row>
    <row r="13" spans="1:21">
      <c r="A13" s="1611" t="s">
        <v>2048</v>
      </c>
      <c r="B13" s="3345"/>
      <c r="C13" s="3346"/>
      <c r="D13" s="3347"/>
      <c r="E13" s="1620" t="s">
        <v>2050</v>
      </c>
      <c r="F13" s="3363" t="s">
        <v>2869</v>
      </c>
      <c r="G13" s="3364"/>
      <c r="H13" s="3364"/>
      <c r="I13" s="3365"/>
      <c r="J13" s="3074"/>
      <c r="K13" s="3057"/>
      <c r="L13" s="3053"/>
      <c r="M13" s="3053"/>
      <c r="N13" s="3054"/>
      <c r="O13" s="3055"/>
      <c r="P13" s="3054"/>
      <c r="Q13" s="3054"/>
      <c r="R13" s="3054"/>
      <c r="S13" s="3054"/>
      <c r="T13" s="3054"/>
      <c r="U13" s="3054"/>
    </row>
    <row r="14" spans="1:21">
      <c r="A14" s="1588" t="s">
        <v>2051</v>
      </c>
      <c r="B14" s="1620"/>
      <c r="C14" s="1758"/>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42.75">
      <c r="A16" s="3002" t="s">
        <v>1936</v>
      </c>
      <c r="B16" s="1606" t="s">
        <v>2951</v>
      </c>
      <c r="C16" s="1620" t="s">
        <v>1937</v>
      </c>
      <c r="D16" s="2488" t="s">
        <v>1938</v>
      </c>
      <c r="E16" s="1643" t="s">
        <v>3012</v>
      </c>
      <c r="F16" s="1643"/>
      <c r="G16" s="1643" t="s">
        <v>35</v>
      </c>
      <c r="H16" s="1643"/>
      <c r="I16" s="1610" t="s">
        <v>1943</v>
      </c>
      <c r="J16" s="3074"/>
      <c r="K16" s="2311" t="str">
        <f>IF(D17="","",D16&amp;TEXT(D17,"yyyy年m月d日;;"))</f>
        <v>住宅2086年11月9日</v>
      </c>
      <c r="L16" s="1620" t="str">
        <f>IF(OR(K16="",M16=""),"","、")</f>
        <v>、</v>
      </c>
      <c r="M16" s="2311" t="str">
        <f>IF(E17="","",E16&amp;TEXT(E17,"yyyy年m月d日;;"))</f>
        <v>商业2056年11月9日</v>
      </c>
      <c r="N16" s="1620" t="str">
        <f>IF(OR(M16="",O16=""),"","、")</f>
        <v/>
      </c>
      <c r="O16" s="2311" t="str">
        <f>IF(F17="","",F16&amp;TEXT(F17,"yyyy年m月d日;;"))</f>
        <v/>
      </c>
      <c r="P16" s="1620" t="str">
        <f>IF(OR(O16="",Q16=""),"","、")</f>
        <v/>
      </c>
      <c r="Q16" s="2311" t="str">
        <f>IF(G17="","",G16&amp;TEXT(G17,"yyyy年m月d日;;"))</f>
        <v>地下车库2066年11月9日</v>
      </c>
      <c r="R16" s="1620" t="str">
        <f>IF(OR(Q16="",S16=""),"","、")</f>
        <v/>
      </c>
      <c r="S16" s="2311" t="str">
        <f>IF(H17="","",H16&amp;TEXT(H17,"yyyy年m月d日;;"))</f>
        <v/>
      </c>
      <c r="T16" s="1620" t="str">
        <f>IF(OR(S16="",U16=""),"","、")</f>
        <v/>
      </c>
      <c r="U16" s="2311" t="str">
        <f>IF(I17="","",I16&amp;TEXT(I17,"yyyy年m月d日;;"))</f>
        <v/>
      </c>
    </row>
    <row r="17" spans="1:21">
      <c r="A17" s="1680"/>
      <c r="B17" s="1607"/>
      <c r="C17" s="3003" t="s">
        <v>1944</v>
      </c>
      <c r="D17" s="1621">
        <v>68250</v>
      </c>
      <c r="E17" s="1621">
        <v>57293</v>
      </c>
      <c r="F17" s="1621"/>
      <c r="G17" s="1621">
        <v>60945</v>
      </c>
      <c r="H17" s="1621"/>
      <c r="I17" s="1621"/>
      <c r="J17" s="3074"/>
      <c r="K17" s="3052" t="str">
        <f>CONCATENATE(K16,L16,M16,N16,O16,P16,Q16,R16,S16,T16,,U16)</f>
        <v>住宅2086年11月9日、商业2056年11月9日地下车库2066年11月9日</v>
      </c>
      <c r="L17" s="3053"/>
      <c r="M17" s="3053"/>
      <c r="N17" s="3054"/>
      <c r="O17" s="3055"/>
      <c r="P17" s="3054"/>
      <c r="Q17" s="3054"/>
      <c r="R17" s="3054"/>
      <c r="S17" s="3054"/>
      <c r="T17" s="3054"/>
      <c r="U17" s="3054"/>
    </row>
    <row r="18" spans="1:21">
      <c r="A18" s="1680"/>
      <c r="B18" s="1607"/>
      <c r="C18" s="3003" t="s">
        <v>1945</v>
      </c>
      <c r="D18" s="1608">
        <v>70</v>
      </c>
      <c r="E18" s="1608">
        <v>40</v>
      </c>
      <c r="F18" s="1608"/>
      <c r="G18" s="1608">
        <v>50</v>
      </c>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65.75</v>
      </c>
      <c r="E19" s="1609">
        <f>IF(B16="出让",IF(E17="","",ROUNDDOWN(MIN((E17-$D$3)/365,E18),2)),E18)</f>
        <v>35.729999999999997</v>
      </c>
      <c r="F19" s="1609" t="str">
        <f>IF(B16="出让",IF(F17="","",ROUNDDOWN(MIN((F17-$D$3)/365,F18),2)),F18)</f>
        <v/>
      </c>
      <c r="G19" s="1609">
        <f>IF(B16="出让",IF(G17="","",ROUNDDOWN(MIN((G17-$D$3)/365,G18),2)),G18)</f>
        <v>45.73</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60"/>
      <c r="E20" s="3361"/>
      <c r="F20" s="3361"/>
      <c r="G20" s="3361"/>
      <c r="H20" s="3361"/>
      <c r="I20" s="3362"/>
      <c r="J20" s="3074"/>
      <c r="K20" s="3057"/>
      <c r="L20" s="3053"/>
      <c r="M20" s="3053"/>
      <c r="N20" s="3054"/>
      <c r="O20" s="3055"/>
      <c r="P20" s="3054"/>
      <c r="Q20" s="3054"/>
      <c r="R20" s="3054"/>
      <c r="S20" s="3054"/>
      <c r="T20" s="3054"/>
      <c r="U20" s="3054"/>
    </row>
    <row r="21" spans="1:21">
      <c r="A21" s="1680" t="s">
        <v>1947</v>
      </c>
      <c r="B21" s="1681" t="s">
        <v>1948</v>
      </c>
      <c r="C21" s="1676">
        <f>'数据-汇总表'!E3</f>
        <v>219676.65000000002</v>
      </c>
      <c r="D21" s="1677" t="s">
        <v>1949</v>
      </c>
      <c r="E21" s="3350" t="s">
        <v>1987</v>
      </c>
      <c r="F21" s="3351"/>
      <c r="G21" s="3351"/>
      <c r="H21" s="3351"/>
      <c r="I21" s="3352"/>
      <c r="J21" s="3074"/>
      <c r="K21" s="3057"/>
      <c r="L21" s="3053"/>
      <c r="M21" s="3053"/>
      <c r="N21" s="3054"/>
      <c r="O21" s="3055"/>
      <c r="P21" s="3054"/>
      <c r="Q21" s="3054"/>
      <c r="R21" s="3054"/>
      <c r="S21" s="3054"/>
      <c r="T21" s="3054"/>
      <c r="U21" s="3054"/>
    </row>
    <row r="22" spans="1:21">
      <c r="A22" s="2802" t="s">
        <v>943</v>
      </c>
      <c r="B22" s="1588" t="s">
        <v>1950</v>
      </c>
      <c r="C22" s="1610">
        <f>'数据-汇总表'!D3</f>
        <v>55043.06</v>
      </c>
      <c r="D22" s="1611" t="s">
        <v>1949</v>
      </c>
      <c r="E22" s="3350" t="s">
        <v>2870</v>
      </c>
      <c r="F22" s="3351"/>
      <c r="G22" s="3351"/>
      <c r="H22" s="3351"/>
      <c r="I22" s="3352"/>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53" t="s">
        <v>1955</v>
      </c>
      <c r="C24" s="3354"/>
      <c r="D24" s="3355" t="s">
        <v>1956</v>
      </c>
      <c r="E24" s="3356"/>
      <c r="F24" s="1629" t="s">
        <v>1957</v>
      </c>
      <c r="G24" s="3074"/>
      <c r="H24" s="3074"/>
      <c r="I24" s="3078"/>
      <c r="J24" s="3074"/>
      <c r="K24" s="3341"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41"/>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41"/>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27" t="s">
        <v>1990</v>
      </c>
      <c r="B31" s="1681" t="s">
        <v>1991</v>
      </c>
      <c r="C31" s="3366"/>
      <c r="D31" s="3367"/>
      <c r="E31" s="3074"/>
      <c r="F31" s="3074"/>
      <c r="G31" s="3074"/>
      <c r="H31" s="3074"/>
      <c r="I31" s="3078"/>
      <c r="J31" s="3074"/>
      <c r="K31" s="3060"/>
      <c r="L31" s="3054"/>
      <c r="M31" s="3054"/>
      <c r="N31" s="3054"/>
      <c r="O31" s="3054"/>
      <c r="P31" s="3054"/>
      <c r="Q31" s="3054"/>
      <c r="R31" s="3054"/>
      <c r="S31" s="3054"/>
      <c r="T31" s="3054"/>
      <c r="U31" s="3054"/>
    </row>
    <row r="32" spans="1:21">
      <c r="A32" s="3327"/>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27"/>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28"/>
      <c r="B34" s="1588" t="s">
        <v>1994</v>
      </c>
      <c r="C34" s="3329"/>
      <c r="D34" s="3330"/>
      <c r="E34" s="3074"/>
      <c r="F34" s="3074"/>
      <c r="G34" s="3074"/>
      <c r="H34" s="3074"/>
      <c r="I34" s="3078"/>
      <c r="J34" s="3074"/>
      <c r="K34" s="3060"/>
      <c r="L34" s="3054"/>
      <c r="M34" s="3054"/>
      <c r="N34" s="3054"/>
      <c r="O34" s="3054"/>
      <c r="P34" s="3054"/>
      <c r="Q34" s="3054"/>
      <c r="R34" s="3054"/>
      <c r="S34" s="3054"/>
      <c r="T34" s="3054"/>
      <c r="U34" s="3054"/>
    </row>
    <row r="35" spans="1:28">
      <c r="A35" s="3331" t="s">
        <v>839</v>
      </c>
      <c r="B35" s="1643"/>
      <c r="C35" s="1690" t="str">
        <f>IF(B35="场地平整","——","具体情况：")</f>
        <v>具体情况：</v>
      </c>
      <c r="D35" s="3333"/>
      <c r="E35" s="3334"/>
      <c r="F35" s="3334"/>
      <c r="G35" s="3334"/>
      <c r="H35" s="3334"/>
      <c r="I35" s="3335"/>
      <c r="J35" s="3074"/>
      <c r="K35" s="3061"/>
      <c r="L35" s="3053"/>
      <c r="M35" s="3053"/>
      <c r="N35" s="3054"/>
      <c r="O35" s="3055"/>
      <c r="P35" s="3054"/>
      <c r="Q35" s="3054"/>
      <c r="R35" s="3054"/>
      <c r="S35" s="3054"/>
      <c r="T35" s="3054"/>
      <c r="U35" s="3054"/>
    </row>
    <row r="36" spans="1:28">
      <c r="A36" s="3327"/>
      <c r="B36" s="3336" t="s">
        <v>2043</v>
      </c>
      <c r="C36" s="3337"/>
      <c r="D36" s="1706"/>
      <c r="E36" s="3338"/>
      <c r="F36" s="3338"/>
      <c r="G36" s="1611" t="str">
        <f>IF(B35="场地未平整","估价结果处理","")</f>
        <v/>
      </c>
      <c r="H36" s="3339"/>
      <c r="I36" s="3339"/>
      <c r="J36" s="3074"/>
      <c r="K36" s="3061"/>
      <c r="L36" s="3053"/>
      <c r="M36" s="3053"/>
      <c r="N36" s="3054"/>
      <c r="O36" s="3055"/>
      <c r="P36" s="3054"/>
      <c r="Q36" s="3054"/>
      <c r="R36" s="3054"/>
      <c r="S36" s="3054"/>
      <c r="T36" s="3054"/>
      <c r="U36" s="3054"/>
    </row>
    <row r="37" spans="1:28" ht="28.5">
      <c r="A37" s="3327"/>
      <c r="B37" s="3357"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27"/>
      <c r="B38" s="3358"/>
      <c r="C38" s="1596" t="s">
        <v>842</v>
      </c>
      <c r="D38" s="1705">
        <f>ROUNDDOWN(MIN(('数据-取费表'!$B$2-D37)/365,D34),1)</f>
        <v>121.2</v>
      </c>
      <c r="E38" s="1648" t="s">
        <v>843</v>
      </c>
      <c r="F38" s="3074"/>
      <c r="G38" s="3074"/>
      <c r="H38" s="3074"/>
      <c r="I38" s="3078"/>
      <c r="J38" s="3074"/>
      <c r="K38" s="3061"/>
      <c r="L38" s="3054"/>
      <c r="M38" s="3054"/>
      <c r="N38" s="3054"/>
      <c r="O38" s="3054"/>
      <c r="P38" s="3054"/>
      <c r="Q38" s="3054"/>
      <c r="R38" s="3054"/>
      <c r="S38" s="3054"/>
      <c r="T38" s="3054"/>
      <c r="U38" s="3054"/>
    </row>
    <row r="39" spans="1:28">
      <c r="A39" s="3328"/>
      <c r="B39" s="3359"/>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t="s">
        <v>3013</v>
      </c>
      <c r="C40" s="1612" t="s">
        <v>3014</v>
      </c>
      <c r="D40" s="1612" t="s">
        <v>3015</v>
      </c>
      <c r="E40" s="1612" t="s">
        <v>3016</v>
      </c>
      <c r="F40" s="1612" t="s">
        <v>3017</v>
      </c>
      <c r="G40" s="1612" t="s">
        <v>3018</v>
      </c>
      <c r="H40" s="1612" t="s">
        <v>943</v>
      </c>
      <c r="I40" s="3078"/>
      <c r="J40" s="3074"/>
      <c r="K40" s="3022">
        <f>COUNTIF(B40:H40,"——")</f>
        <v>1</v>
      </c>
      <c r="L40" s="1620" t="s">
        <v>1967</v>
      </c>
      <c r="M40" s="1617" t="s">
        <v>1968</v>
      </c>
      <c r="N40" s="1617" t="s">
        <v>1969</v>
      </c>
      <c r="O40" s="1617" t="s">
        <v>1970</v>
      </c>
      <c r="P40" s="1617" t="s">
        <v>1971</v>
      </c>
      <c r="Q40" s="1617" t="s">
        <v>1972</v>
      </c>
      <c r="R40" s="1617" t="s">
        <v>1973</v>
      </c>
      <c r="S40" s="3340" t="s">
        <v>1974</v>
      </c>
      <c r="T40" s="1652" t="str">
        <f>NUMBERSTRING(7-K40,1)&amp;"通"</f>
        <v>六通</v>
      </c>
      <c r="U40" s="3054"/>
    </row>
    <row r="41" spans="1:28">
      <c r="A41" s="1590"/>
      <c r="B41" s="3332" t="s">
        <v>1712</v>
      </c>
      <c r="C41" s="3332"/>
      <c r="D41" s="3332"/>
      <c r="E41" s="3332"/>
      <c r="F41" s="1653" t="str">
        <f>C10</f>
        <v>广西省</v>
      </c>
      <c r="G41" s="3074"/>
      <c r="H41" s="3074"/>
      <c r="I41" s="3078"/>
      <c r="J41" s="3074"/>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通路、通电、通讯、通上水、通下水、燃气</v>
      </c>
      <c r="R41" s="1655" t="str">
        <f>B40&amp;"、"&amp;C40&amp;"、"&amp;D40&amp;"、"&amp;E40&amp;"、"&amp;F40&amp;"、"&amp;G40&amp;"、"&amp;H40</f>
        <v>通路、通电、通讯、通上水、通下水、燃气、——</v>
      </c>
      <c r="S41" s="3340"/>
      <c r="T41" s="1654" t="str">
        <f>IF(T40="一通",L41,IF(T40="二通",M41,IF(T40="三通",N41,IF(T40="四通",O41,IF(T40="五通",P41,IF(T40="六通",Q41,R41))))))</f>
        <v>通路、通电、通讯、通上水、通下水、燃气</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2871</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0" sqref="F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55043.06</v>
      </c>
      <c r="B3" s="22">
        <f>IF(C3="否",G5-AT5,G5)</f>
        <v>219676.65000000002</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219676.65000000002</v>
      </c>
      <c r="H5" s="27">
        <f t="shared" ref="H5:AT5" si="0">SUM(H13:H641)</f>
        <v>201549.64</v>
      </c>
      <c r="I5" s="27">
        <f t="shared" si="0"/>
        <v>143707.95000000001</v>
      </c>
      <c r="J5" s="27">
        <f t="shared" si="0"/>
        <v>0</v>
      </c>
      <c r="K5" s="27">
        <f t="shared" si="0"/>
        <v>1841.69</v>
      </c>
      <c r="L5" s="27">
        <f t="shared" si="0"/>
        <v>0</v>
      </c>
      <c r="M5" s="27">
        <f t="shared" si="0"/>
        <v>56000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18127.010000000002</v>
      </c>
      <c r="AD5" s="27">
        <f t="shared" si="0"/>
        <v>3552.9</v>
      </c>
      <c r="AE5" s="27">
        <f t="shared" si="0"/>
        <v>0</v>
      </c>
      <c r="AF5" s="27">
        <f t="shared" si="0"/>
        <v>0</v>
      </c>
      <c r="AG5" s="27">
        <f t="shared" si="0"/>
        <v>0</v>
      </c>
      <c r="AH5" s="27">
        <f t="shared" si="0"/>
        <v>0</v>
      </c>
      <c r="AI5" s="27">
        <f t="shared" si="0"/>
        <v>0</v>
      </c>
      <c r="AJ5" s="27">
        <f t="shared" si="0"/>
        <v>0</v>
      </c>
      <c r="AK5" s="27">
        <f t="shared" si="0"/>
        <v>0</v>
      </c>
      <c r="AL5" s="27">
        <f t="shared" si="0"/>
        <v>854.81</v>
      </c>
      <c r="AM5" s="27">
        <f t="shared" si="0"/>
        <v>0</v>
      </c>
      <c r="AN5" s="27">
        <f t="shared" si="0"/>
        <v>13719.300000000003</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219676.65000000002</v>
      </c>
      <c r="BA5" s="29">
        <f t="shared" si="1"/>
        <v>201549.64</v>
      </c>
      <c r="BB5" s="29">
        <f t="shared" si="1"/>
        <v>143707.95000000001</v>
      </c>
      <c r="BC5" s="29">
        <f t="shared" si="1"/>
        <v>1841.69</v>
      </c>
      <c r="BD5" s="29">
        <f t="shared" si="1"/>
        <v>56000</v>
      </c>
      <c r="BE5" s="29">
        <f t="shared" si="1"/>
        <v>0</v>
      </c>
      <c r="BF5" s="29">
        <f t="shared" si="1"/>
        <v>0</v>
      </c>
      <c r="BG5" s="29">
        <f t="shared" si="1"/>
        <v>0</v>
      </c>
      <c r="BH5" s="29">
        <f t="shared" si="1"/>
        <v>0</v>
      </c>
      <c r="BI5" s="29">
        <f t="shared" si="1"/>
        <v>0</v>
      </c>
      <c r="BJ5" s="29">
        <f t="shared" si="1"/>
        <v>0</v>
      </c>
      <c r="BK5" s="29">
        <f t="shared" si="1"/>
        <v>0</v>
      </c>
      <c r="BL5" s="29">
        <f t="shared" si="1"/>
        <v>18127.010000000002</v>
      </c>
      <c r="BM5" s="29">
        <f t="shared" si="1"/>
        <v>3552.9</v>
      </c>
      <c r="BN5" s="29">
        <f t="shared" si="1"/>
        <v>0</v>
      </c>
      <c r="BO5" s="29">
        <f t="shared" si="1"/>
        <v>0</v>
      </c>
      <c r="BP5" s="29">
        <f t="shared" si="1"/>
        <v>0</v>
      </c>
      <c r="BQ5" s="29">
        <f t="shared" si="1"/>
        <v>854.81</v>
      </c>
      <c r="BR5" s="29">
        <f t="shared" si="1"/>
        <v>13719.300000000003</v>
      </c>
      <c r="BS5" s="29">
        <f t="shared" si="1"/>
        <v>0</v>
      </c>
      <c r="BT5" s="30">
        <f t="shared" si="1"/>
        <v>0</v>
      </c>
    </row>
    <row r="6" spans="1:72" s="37" customFormat="1" ht="12.75">
      <c r="A6" s="26" t="s">
        <v>169</v>
      </c>
      <c r="B6" s="31"/>
      <c r="C6" s="31"/>
      <c r="D6" s="32"/>
      <c r="E6" s="27">
        <f>H6+AC6+AT6</f>
        <v>55043.05</v>
      </c>
      <c r="F6" s="27" t="s">
        <v>1</v>
      </c>
      <c r="G6" s="27" t="s">
        <v>2</v>
      </c>
      <c r="H6" s="33">
        <f>SUMIF(I$12:AB$12,"总值",I6:AB6)</f>
        <v>50501.08</v>
      </c>
      <c r="I6" s="27">
        <f t="shared" ref="I6:AB6" si="2">ROUND($A$3*I5/$B$3,2)</f>
        <v>36008.04</v>
      </c>
      <c r="J6" s="27">
        <f t="shared" si="2"/>
        <v>0</v>
      </c>
      <c r="K6" s="27">
        <f t="shared" si="2"/>
        <v>461.46</v>
      </c>
      <c r="L6" s="27">
        <f t="shared" si="2"/>
        <v>0</v>
      </c>
      <c r="M6" s="27">
        <f t="shared" si="2"/>
        <v>14031.58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4541.97</v>
      </c>
      <c r="AD6" s="27">
        <f t="shared" ref="AD6:AS6" si="3">ROUND($A$3*AD5/$B$3,2)</f>
        <v>890.23</v>
      </c>
      <c r="AE6" s="27">
        <f t="shared" si="3"/>
        <v>0</v>
      </c>
      <c r="AF6" s="27">
        <f t="shared" si="3"/>
        <v>0</v>
      </c>
      <c r="AG6" s="27">
        <f t="shared" si="3"/>
        <v>0</v>
      </c>
      <c r="AH6" s="27">
        <f t="shared" si="3"/>
        <v>0</v>
      </c>
      <c r="AI6" s="27">
        <f t="shared" si="3"/>
        <v>0</v>
      </c>
      <c r="AJ6" s="27">
        <f t="shared" si="3"/>
        <v>0</v>
      </c>
      <c r="AK6" s="27">
        <f t="shared" si="3"/>
        <v>0</v>
      </c>
      <c r="AL6" s="27">
        <f t="shared" si="3"/>
        <v>214.18</v>
      </c>
      <c r="AM6" s="27">
        <f t="shared" si="3"/>
        <v>0</v>
      </c>
      <c r="AN6" s="27">
        <f t="shared" si="3"/>
        <v>3437.56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55043.06</v>
      </c>
      <c r="AZ6" s="27" t="s">
        <v>3</v>
      </c>
      <c r="BA6" s="27">
        <f>ROUND($AY$6*BA5/$AZ$5,2)</f>
        <v>50501.08</v>
      </c>
      <c r="BB6" s="27">
        <f>ROUND($AY$6*BB5/$AZ$5,2)</f>
        <v>36008.04</v>
      </c>
      <c r="BC6" s="27">
        <f t="shared" ref="BC6:BH6" si="4">ROUND($AY$6*BC5/$AZ$5,2)</f>
        <v>461.46</v>
      </c>
      <c r="BD6" s="27">
        <f t="shared" si="4"/>
        <v>14031.58</v>
      </c>
      <c r="BE6" s="27">
        <f t="shared" si="4"/>
        <v>0</v>
      </c>
      <c r="BF6" s="27">
        <f t="shared" si="4"/>
        <v>0</v>
      </c>
      <c r="BG6" s="27">
        <f t="shared" si="4"/>
        <v>0</v>
      </c>
      <c r="BH6" s="27">
        <f t="shared" si="4"/>
        <v>0</v>
      </c>
      <c r="BI6" s="27">
        <f t="shared" ref="BI6:BT6" si="5">ROUND($AY$6*BI5/$AZ$5,2)</f>
        <v>0</v>
      </c>
      <c r="BJ6" s="27">
        <f t="shared" si="5"/>
        <v>0</v>
      </c>
      <c r="BK6" s="27">
        <f t="shared" si="5"/>
        <v>0</v>
      </c>
      <c r="BL6" s="27">
        <f t="shared" si="5"/>
        <v>4541.9799999999996</v>
      </c>
      <c r="BM6" s="27">
        <f t="shared" si="5"/>
        <v>890.23</v>
      </c>
      <c r="BN6" s="27">
        <f t="shared" si="5"/>
        <v>0</v>
      </c>
      <c r="BO6" s="27">
        <f t="shared" si="5"/>
        <v>0</v>
      </c>
      <c r="BP6" s="27">
        <f t="shared" si="5"/>
        <v>0</v>
      </c>
      <c r="BQ6" s="27">
        <f t="shared" si="5"/>
        <v>214.18</v>
      </c>
      <c r="BR6" s="27">
        <f t="shared" si="5"/>
        <v>3437.56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3019</v>
      </c>
      <c r="J9" s="51"/>
      <c r="K9" s="2732" t="s">
        <v>3019</v>
      </c>
      <c r="L9" s="51"/>
      <c r="M9" s="2732" t="s">
        <v>3029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914</v>
      </c>
      <c r="J10" s="51"/>
      <c r="K10" s="2734" t="s">
        <v>3012</v>
      </c>
      <c r="L10" s="51"/>
      <c r="M10" s="2734" t="s">
        <v>3070</v>
      </c>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55043.06</v>
      </c>
      <c r="F13" s="81"/>
      <c r="G13" s="82">
        <f t="shared" ref="G13:G20" si="7">H13+AC13+AT13</f>
        <v>219676.65000000002</v>
      </c>
      <c r="H13" s="33">
        <f t="shared" ref="H13:H20" si="8">SUMIF(I$12:AB$12,"总值",I13:AB13)</f>
        <v>201549.64</v>
      </c>
      <c r="I13" s="2731">
        <f>面积清单!B11-'数据-基础表'!K13-'数据-基础表'!AD13-'数据-基础表'!AL13</f>
        <v>143707.95000000001</v>
      </c>
      <c r="J13" s="2731"/>
      <c r="K13" s="2731">
        <f>面积清单!K13</f>
        <v>1841.69</v>
      </c>
      <c r="L13" s="2731"/>
      <c r="M13" s="2731">
        <f>35*面积清单!K27</f>
        <v>56000</v>
      </c>
      <c r="N13" s="83"/>
      <c r="O13" s="83"/>
      <c r="P13" s="83"/>
      <c r="Q13" s="83"/>
      <c r="R13" s="83"/>
      <c r="S13" s="83"/>
      <c r="T13" s="83"/>
      <c r="U13" s="83"/>
      <c r="V13" s="83"/>
      <c r="W13" s="83"/>
      <c r="X13" s="83"/>
      <c r="Y13" s="83"/>
      <c r="Z13" s="83"/>
      <c r="AA13" s="83"/>
      <c r="AB13" s="83"/>
      <c r="AC13" s="27">
        <f t="shared" ref="AC13:AC20" si="9">SUMIF(AD$12:AS$12,"总值",AD13:AS13)</f>
        <v>18127.010000000002</v>
      </c>
      <c r="AD13" s="2735">
        <f>面积清单!K14</f>
        <v>3552.9</v>
      </c>
      <c r="AE13" s="2735"/>
      <c r="AF13" s="2735"/>
      <c r="AG13" s="2735"/>
      <c r="AH13" s="2735"/>
      <c r="AI13" s="2735"/>
      <c r="AJ13" s="2735"/>
      <c r="AK13" s="2735"/>
      <c r="AL13" s="2735">
        <f>面积清单!K12</f>
        <v>854.81</v>
      </c>
      <c r="AM13" s="2735"/>
      <c r="AN13" s="2735">
        <f>面积清单!C11-'数据-基础表'!M13</f>
        <v>13719.300000000003</v>
      </c>
      <c r="AO13" s="2735"/>
      <c r="AP13" s="2735"/>
      <c r="AQ13" s="2735"/>
      <c r="AR13" s="2735"/>
      <c r="AS13" s="2735"/>
      <c r="AT13" s="2736"/>
      <c r="AU13" s="2737"/>
      <c r="AV13" s="17">
        <f t="shared" ref="AV13:AX20" si="10">A13</f>
        <v>0</v>
      </c>
      <c r="AW13" s="17">
        <f t="shared" si="10"/>
        <v>0</v>
      </c>
      <c r="AX13" s="17">
        <f t="shared" si="10"/>
        <v>0</v>
      </c>
      <c r="AY13" s="984">
        <f t="shared" ref="AY13:AY20" si="11">ROUND($AY$6*AZ13/$AZ$5,2)</f>
        <v>55043.06</v>
      </c>
      <c r="AZ13" s="27">
        <f t="shared" ref="AZ13:AZ20" si="12">BA13+BL13</f>
        <v>219676.65000000002</v>
      </c>
      <c r="BA13" s="27">
        <f t="shared" ref="BA13:BA20" si="13">SUM(BB13:BK13)</f>
        <v>201549.64</v>
      </c>
      <c r="BB13" s="27">
        <f t="shared" ref="BB13:BB20" si="14">IF($D13="是",I13-J13,0)</f>
        <v>143707.95000000001</v>
      </c>
      <c r="BC13" s="27">
        <f t="shared" ref="BC13:BC20" si="15">IF($D13="是",K13-L13,0)</f>
        <v>1841.69</v>
      </c>
      <c r="BD13" s="27">
        <f t="shared" ref="BD13:BD20" si="16">IF($D13="是",M13-N13,0)</f>
        <v>56000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18127.010000000002</v>
      </c>
      <c r="BM13" s="27">
        <f t="shared" ref="BM13:BM20" si="25">IF($D13="是",AD13-AE13,0)</f>
        <v>3552.9</v>
      </c>
      <c r="BN13" s="27">
        <f t="shared" ref="BN13:BN20" si="26">IF($D13="是",AF13-AG13,0)</f>
        <v>0</v>
      </c>
      <c r="BO13" s="27">
        <f t="shared" ref="BO13:BO20" si="27">IF($D13="是",AH13-AI13,0)</f>
        <v>0</v>
      </c>
      <c r="BP13" s="27">
        <f t="shared" ref="BP13:BP20" si="28">IF($D13="是",AJ13-AK13,0)</f>
        <v>0</v>
      </c>
      <c r="BQ13" s="27">
        <f t="shared" ref="BQ13:BQ20" si="29">IF($D13="是",AL13-AM13,0)</f>
        <v>854.81</v>
      </c>
      <c r="BR13" s="27">
        <f t="shared" ref="BR13:BR20" si="30">IF($D13="是",AN13-AO13,0)</f>
        <v>13719.300000000003</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8" t="s">
        <v>0</v>
      </c>
      <c r="B1" s="3368" t="s">
        <v>4</v>
      </c>
      <c r="C1" s="3368" t="s">
        <v>5</v>
      </c>
      <c r="D1" s="3369" t="s">
        <v>40</v>
      </c>
      <c r="E1" s="3369" t="s">
        <v>41</v>
      </c>
      <c r="F1" s="3369"/>
      <c r="G1" s="3369"/>
      <c r="H1" s="3369"/>
      <c r="I1" s="3369"/>
      <c r="J1" s="3369"/>
      <c r="K1" s="3369"/>
      <c r="L1" s="3369"/>
      <c r="M1" s="3369"/>
    </row>
    <row r="2" spans="1:13" ht="27" customHeight="1">
      <c r="A2" s="3368"/>
      <c r="B2" s="3368"/>
      <c r="C2" s="3368"/>
      <c r="D2" s="3369"/>
      <c r="E2" s="3369" t="s">
        <v>24</v>
      </c>
      <c r="F2" s="3369" t="s">
        <v>25</v>
      </c>
      <c r="G2" s="3369"/>
      <c r="H2" s="3369"/>
      <c r="I2" s="3369"/>
      <c r="J2" s="3369" t="s">
        <v>26</v>
      </c>
      <c r="K2" s="3369"/>
      <c r="L2" s="3369"/>
      <c r="M2" s="3369"/>
    </row>
    <row r="3" spans="1:13" ht="28.5">
      <c r="A3" s="3368"/>
      <c r="B3" s="3368"/>
      <c r="C3" s="3368"/>
      <c r="D3" s="3369"/>
      <c r="E3" s="33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9" t="s">
        <v>42</v>
      </c>
      <c r="B9" s="3369"/>
      <c r="C9" s="33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topLeftCell="F1" workbookViewId="0">
      <selection activeCell="E25" sqref="E25"/>
    </sheetView>
  </sheetViews>
  <sheetFormatPr defaultRowHeight="13.5"/>
  <cols>
    <col min="4" max="4" width="11.375" customWidth="1"/>
    <col min="9" max="9" width="21.5" customWidth="1"/>
    <col min="11" max="11" width="12.375" customWidth="1"/>
    <col min="12" max="12" width="12.75" customWidth="1"/>
  </cols>
  <sheetData>
    <row r="1" spans="1:12">
      <c r="B1" s="3249" t="s">
        <v>3028</v>
      </c>
      <c r="C1" s="3249" t="s">
        <v>3030</v>
      </c>
    </row>
    <row r="2" spans="1:12" ht="19.5" thickBot="1">
      <c r="A2" s="3249" t="s">
        <v>3020</v>
      </c>
      <c r="B2">
        <v>14903.28</v>
      </c>
      <c r="C2">
        <v>13064.2</v>
      </c>
      <c r="D2">
        <f t="shared" ref="D2:D10" si="0">SUM(B2:C2)</f>
        <v>27967.480000000003</v>
      </c>
      <c r="H2" s="3370" t="s">
        <v>3032</v>
      </c>
      <c r="I2" s="3370"/>
      <c r="J2" s="3370"/>
      <c r="K2" s="3370"/>
      <c r="L2" s="3370"/>
    </row>
    <row r="3" spans="1:12" ht="14.25" thickBot="1">
      <c r="A3" s="3249" t="s">
        <v>3021</v>
      </c>
      <c r="B3">
        <v>14903.28</v>
      </c>
      <c r="C3">
        <v>8371.7900000000009</v>
      </c>
      <c r="D3">
        <f t="shared" si="0"/>
        <v>23275.07</v>
      </c>
      <c r="H3" s="3288" t="s">
        <v>2360</v>
      </c>
      <c r="I3" s="3289" t="s">
        <v>3033</v>
      </c>
      <c r="J3" s="3289" t="s">
        <v>3034</v>
      </c>
      <c r="K3" s="3289" t="s">
        <v>3035</v>
      </c>
      <c r="L3" s="3289" t="s">
        <v>3036</v>
      </c>
    </row>
    <row r="4" spans="1:12" ht="14.25" thickBot="1">
      <c r="A4" s="3249" t="s">
        <v>3022</v>
      </c>
      <c r="B4">
        <v>22796.89</v>
      </c>
      <c r="C4">
        <v>7594.32</v>
      </c>
      <c r="D4">
        <f t="shared" si="0"/>
        <v>30391.21</v>
      </c>
      <c r="H4" s="3290">
        <v>1</v>
      </c>
      <c r="I4" s="3291" t="s">
        <v>3037</v>
      </c>
      <c r="J4" s="3291" t="s">
        <v>3038</v>
      </c>
      <c r="K4" s="3291">
        <v>104805.75999999999</v>
      </c>
      <c r="L4" s="3291"/>
    </row>
    <row r="5" spans="1:12" ht="14.25" thickBot="1">
      <c r="A5" s="3249" t="s">
        <v>3023</v>
      </c>
      <c r="B5">
        <v>14918.31</v>
      </c>
      <c r="C5">
        <v>8687.34</v>
      </c>
      <c r="D5">
        <f t="shared" si="0"/>
        <v>23605.65</v>
      </c>
      <c r="H5" s="3371" t="s">
        <v>3039</v>
      </c>
      <c r="I5" s="3291" t="s">
        <v>3040</v>
      </c>
      <c r="J5" s="3291" t="s">
        <v>3038</v>
      </c>
      <c r="K5" s="3291">
        <v>23526.04</v>
      </c>
      <c r="L5" s="3292"/>
    </row>
    <row r="6" spans="1:12" ht="14.25" thickBot="1">
      <c r="A6" s="3249" t="s">
        <v>3024</v>
      </c>
      <c r="B6">
        <v>24617.47</v>
      </c>
      <c r="C6">
        <v>8267.19</v>
      </c>
      <c r="D6">
        <f t="shared" si="0"/>
        <v>32884.660000000003</v>
      </c>
      <c r="H6" s="3372"/>
      <c r="I6" s="3291" t="s">
        <v>3041</v>
      </c>
      <c r="J6" s="3291" t="s">
        <v>3038</v>
      </c>
      <c r="K6" s="3291">
        <v>6444.26</v>
      </c>
      <c r="L6" s="3292"/>
    </row>
    <row r="7" spans="1:12" ht="14.25" thickBot="1">
      <c r="A7" s="3249" t="s">
        <v>3025</v>
      </c>
      <c r="B7">
        <v>18194.84</v>
      </c>
      <c r="C7">
        <v>8341.34</v>
      </c>
      <c r="D7">
        <f t="shared" si="0"/>
        <v>26536.18</v>
      </c>
      <c r="H7" s="3372"/>
      <c r="I7" s="3291" t="s">
        <v>3042</v>
      </c>
      <c r="J7" s="3291" t="s">
        <v>3038</v>
      </c>
      <c r="K7" s="3291">
        <v>19793.580000000002</v>
      </c>
      <c r="L7" s="3292"/>
    </row>
    <row r="8" spans="1:12" ht="14.25" thickBot="1">
      <c r="A8" s="3249" t="s">
        <v>3026</v>
      </c>
      <c r="B8">
        <v>18111.560000000001</v>
      </c>
      <c r="C8">
        <v>7575.36</v>
      </c>
      <c r="D8">
        <f t="shared" si="0"/>
        <v>25686.920000000002</v>
      </c>
      <c r="H8" s="3373"/>
      <c r="I8" s="3291" t="s">
        <v>3043</v>
      </c>
      <c r="J8" s="3291" t="s">
        <v>3038</v>
      </c>
      <c r="K8" s="3291">
        <v>55041.88</v>
      </c>
      <c r="L8" s="3292"/>
    </row>
    <row r="9" spans="1:12" ht="14.25" thickBot="1">
      <c r="A9" s="3249" t="s">
        <v>3027</v>
      </c>
      <c r="B9">
        <v>18816.740000000002</v>
      </c>
      <c r="C9">
        <v>7817.76</v>
      </c>
      <c r="D9">
        <f t="shared" si="0"/>
        <v>26634.5</v>
      </c>
      <c r="H9" s="3290">
        <v>2</v>
      </c>
      <c r="I9" s="3291" t="s">
        <v>3044</v>
      </c>
      <c r="J9" s="3291" t="s">
        <v>3038</v>
      </c>
      <c r="K9" s="3291">
        <v>219705.37</v>
      </c>
      <c r="L9" s="3292"/>
    </row>
    <row r="10" spans="1:12" ht="14.25" thickBot="1">
      <c r="A10" s="3249" t="s">
        <v>3031</v>
      </c>
      <c r="B10">
        <v>2694.98</v>
      </c>
      <c r="D10">
        <f t="shared" si="0"/>
        <v>2694.98</v>
      </c>
      <c r="H10" s="3290">
        <v>1.1000000000000001</v>
      </c>
      <c r="I10" s="3291" t="s">
        <v>3045</v>
      </c>
      <c r="J10" s="3291" t="s">
        <v>3038</v>
      </c>
      <c r="K10" s="3295">
        <v>150009.37</v>
      </c>
      <c r="L10" s="3292"/>
    </row>
    <row r="11" spans="1:12" ht="14.25" thickBot="1">
      <c r="A11" s="3249"/>
      <c r="B11">
        <f>SUM(B2:B10)</f>
        <v>149957.35</v>
      </c>
      <c r="C11">
        <f>SUM(C2:C10)</f>
        <v>69719.3</v>
      </c>
      <c r="D11">
        <f>SUM(D2:D10)</f>
        <v>219676.65000000002</v>
      </c>
      <c r="H11" s="3371" t="s">
        <v>3039</v>
      </c>
      <c r="I11" s="3291" t="s">
        <v>3046</v>
      </c>
      <c r="J11" s="3291" t="s">
        <v>3038</v>
      </c>
      <c r="K11" s="3295">
        <v>143759.97</v>
      </c>
      <c r="L11" s="3292"/>
    </row>
    <row r="12" spans="1:12" ht="14.25" thickBot="1">
      <c r="A12" s="3249"/>
      <c r="H12" s="3372"/>
      <c r="I12" s="3291" t="s">
        <v>3047</v>
      </c>
      <c r="J12" s="3291" t="s">
        <v>3038</v>
      </c>
      <c r="K12" s="3294">
        <v>854.81</v>
      </c>
      <c r="L12" s="3291" t="s">
        <v>3048</v>
      </c>
    </row>
    <row r="13" spans="1:12" ht="14.25" thickBot="1">
      <c r="A13" s="3249"/>
      <c r="H13" s="3372"/>
      <c r="I13" s="3291" t="s">
        <v>3049</v>
      </c>
      <c r="J13" s="3291" t="s">
        <v>3038</v>
      </c>
      <c r="K13" s="3294">
        <v>1841.69</v>
      </c>
      <c r="L13" s="3292"/>
    </row>
    <row r="14" spans="1:12" ht="14.25" thickBot="1">
      <c r="H14" s="3373"/>
      <c r="I14" s="3291" t="s">
        <v>3050</v>
      </c>
      <c r="J14" s="3291" t="s">
        <v>3038</v>
      </c>
      <c r="K14" s="3294">
        <v>3552.9</v>
      </c>
      <c r="L14" s="3292"/>
    </row>
    <row r="15" spans="1:12" ht="14.25" thickBot="1">
      <c r="H15" s="3290">
        <v>1.2</v>
      </c>
      <c r="I15" s="3291" t="s">
        <v>3051</v>
      </c>
      <c r="J15" s="3291" t="s">
        <v>3038</v>
      </c>
      <c r="K15" s="3291">
        <v>69696</v>
      </c>
      <c r="L15" s="3292"/>
    </row>
    <row r="16" spans="1:12" ht="14.25" thickBot="1">
      <c r="H16" s="3290">
        <v>1.3</v>
      </c>
      <c r="I16" s="3291" t="s">
        <v>3052</v>
      </c>
      <c r="J16" s="3291" t="s">
        <v>3038</v>
      </c>
      <c r="K16" s="3291">
        <v>149154.56</v>
      </c>
      <c r="L16" s="3292"/>
    </row>
    <row r="17" spans="8:14" ht="14.25" thickBot="1">
      <c r="H17" s="3290">
        <v>3</v>
      </c>
      <c r="I17" s="3291" t="s">
        <v>3053</v>
      </c>
      <c r="J17" s="3291" t="s">
        <v>3038</v>
      </c>
      <c r="K17" s="3291">
        <v>9625.0400000000009</v>
      </c>
      <c r="L17" s="3292"/>
    </row>
    <row r="18" spans="8:14" ht="14.25" thickBot="1">
      <c r="H18" s="3290">
        <v>4</v>
      </c>
      <c r="I18" s="3291" t="s">
        <v>2021</v>
      </c>
      <c r="J18" s="3291" t="s">
        <v>3054</v>
      </c>
      <c r="K18" s="3291">
        <v>2.71</v>
      </c>
      <c r="L18" s="3292"/>
    </row>
    <row r="19" spans="8:14" ht="14.25" thickBot="1">
      <c r="H19" s="3290">
        <v>5</v>
      </c>
      <c r="I19" s="3291" t="s">
        <v>3055</v>
      </c>
      <c r="J19" s="3291" t="s">
        <v>3056</v>
      </c>
      <c r="K19" s="3291">
        <v>17.5</v>
      </c>
      <c r="L19" s="3292"/>
    </row>
    <row r="20" spans="8:14" ht="14.25" thickBot="1">
      <c r="H20" s="3290">
        <v>6</v>
      </c>
      <c r="I20" s="3291" t="s">
        <v>3057</v>
      </c>
      <c r="J20" s="3291" t="s">
        <v>3056</v>
      </c>
      <c r="K20" s="3291">
        <v>35.200000000000003</v>
      </c>
      <c r="L20" s="3292"/>
    </row>
    <row r="21" spans="8:14" ht="14.25" thickBot="1">
      <c r="H21" s="3290">
        <v>7</v>
      </c>
      <c r="I21" s="3291" t="s">
        <v>3058</v>
      </c>
      <c r="J21" s="3291" t="s">
        <v>3059</v>
      </c>
      <c r="K21" s="3291">
        <v>1324</v>
      </c>
      <c r="L21" s="3292"/>
    </row>
    <row r="22" spans="8:14" ht="14.25" thickBot="1">
      <c r="H22" s="3290">
        <v>8</v>
      </c>
      <c r="I22" s="3291" t="s">
        <v>3060</v>
      </c>
      <c r="J22" s="3291" t="s">
        <v>3061</v>
      </c>
      <c r="K22" s="3291">
        <v>1663</v>
      </c>
      <c r="L22" s="3292"/>
    </row>
    <row r="23" spans="8:14" ht="14.25" thickBot="1">
      <c r="H23" s="3290">
        <v>8.1</v>
      </c>
      <c r="I23" s="3291" t="s">
        <v>3062</v>
      </c>
      <c r="J23" s="3291" t="s">
        <v>3061</v>
      </c>
      <c r="K23" s="3291">
        <v>18</v>
      </c>
      <c r="L23" s="3292"/>
    </row>
    <row r="24" spans="8:14" ht="14.25" thickBot="1">
      <c r="H24" s="3290">
        <v>8.1999999999999993</v>
      </c>
      <c r="I24" s="3291" t="s">
        <v>3063</v>
      </c>
      <c r="J24" s="3291" t="s">
        <v>3061</v>
      </c>
      <c r="K24" s="3291">
        <v>5</v>
      </c>
      <c r="L24" s="3292"/>
    </row>
    <row r="25" spans="8:14" ht="14.25" thickBot="1">
      <c r="H25" s="3290">
        <v>8.3000000000000007</v>
      </c>
      <c r="I25" s="3291" t="s">
        <v>3064</v>
      </c>
      <c r="J25" s="3291" t="s">
        <v>3061</v>
      </c>
      <c r="K25" s="3291">
        <v>1640</v>
      </c>
      <c r="L25" s="3292"/>
    </row>
    <row r="26" spans="8:14" ht="14.25" thickBot="1">
      <c r="H26" s="3371" t="s">
        <v>3039</v>
      </c>
      <c r="I26" s="3291" t="s">
        <v>3065</v>
      </c>
      <c r="J26" s="3291" t="s">
        <v>3061</v>
      </c>
      <c r="K26" s="3291">
        <v>40</v>
      </c>
      <c r="L26" s="3292"/>
    </row>
    <row r="27" spans="8:14" ht="14.25" thickBot="1">
      <c r="H27" s="3373"/>
      <c r="I27" s="3291" t="s">
        <v>3066</v>
      </c>
      <c r="J27" s="3291" t="s">
        <v>3061</v>
      </c>
      <c r="K27" s="3291">
        <v>1600</v>
      </c>
      <c r="L27" s="3292"/>
      <c r="M27">
        <v>35</v>
      </c>
      <c r="N27">
        <f>K27*M27</f>
        <v>56000</v>
      </c>
    </row>
    <row r="28" spans="8:14" ht="14.25" thickBot="1">
      <c r="H28" s="3290">
        <v>9</v>
      </c>
      <c r="I28" s="3291" t="s">
        <v>3067</v>
      </c>
      <c r="J28" s="3291" t="s">
        <v>3061</v>
      </c>
      <c r="K28" s="3291">
        <v>2908</v>
      </c>
      <c r="L28" s="3292"/>
    </row>
    <row r="29" spans="8:14" ht="14.25" thickBot="1">
      <c r="H29" s="3371" t="s">
        <v>3039</v>
      </c>
      <c r="I29" s="3291" t="s">
        <v>3068</v>
      </c>
      <c r="J29" s="3291" t="s">
        <v>3061</v>
      </c>
      <c r="K29" s="3291">
        <v>2740</v>
      </c>
      <c r="L29" s="3292"/>
    </row>
    <row r="30" spans="8:14" ht="14.25" thickBot="1">
      <c r="H30" s="3373"/>
      <c r="I30" s="3291" t="s">
        <v>3069</v>
      </c>
      <c r="J30" s="3291" t="s">
        <v>3061</v>
      </c>
      <c r="K30" s="3291">
        <v>168</v>
      </c>
      <c r="L30" s="3292"/>
    </row>
    <row r="31" spans="8:14" ht="19.5">
      <c r="H31" s="3293"/>
    </row>
  </sheetData>
  <mergeCells count="5">
    <mergeCell ref="H2:L2"/>
    <mergeCell ref="H5:H8"/>
    <mergeCell ref="H11:H14"/>
    <mergeCell ref="H26:H27"/>
    <mergeCell ref="H29:H30"/>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4" sqref="I4"/>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3" t="s">
        <v>203</v>
      </c>
      <c r="B2" s="3383"/>
      <c r="C2" s="3383"/>
      <c r="D2" s="1889" t="s">
        <v>204</v>
      </c>
      <c r="E2" s="106" t="s">
        <v>205</v>
      </c>
      <c r="F2" s="3083"/>
      <c r="G2" s="1181"/>
      <c r="H2" s="1182"/>
      <c r="I2" s="1183" t="s">
        <v>849</v>
      </c>
      <c r="J2" s="3083"/>
      <c r="K2" s="3083"/>
      <c r="L2" s="3083"/>
      <c r="M2" s="3083"/>
      <c r="N2" s="3083"/>
      <c r="O2" s="3083"/>
      <c r="P2" s="3083"/>
    </row>
    <row r="3" spans="1:16" ht="15.75" thickBot="1">
      <c r="A3" s="3384" t="s">
        <v>206</v>
      </c>
      <c r="B3" s="3384"/>
      <c r="C3" s="3384"/>
      <c r="D3" s="107">
        <f>'数据-基础表'!AY6</f>
        <v>55043.06</v>
      </c>
      <c r="E3" s="107">
        <f>'数据-基础表'!AZ5</f>
        <v>219676.65000000002</v>
      </c>
      <c r="F3" s="3083"/>
      <c r="G3" s="278" t="s">
        <v>850</v>
      </c>
      <c r="H3" s="273" t="s">
        <v>851</v>
      </c>
      <c r="I3" s="1890">
        <f>ROUND('数据-基础表'!B3/'数据-基础表'!A3,2)</f>
        <v>3.99</v>
      </c>
      <c r="J3" s="3083"/>
      <c r="K3" s="3083"/>
      <c r="L3" s="3083"/>
      <c r="M3" s="3083"/>
      <c r="N3" s="3083"/>
      <c r="O3" s="3083"/>
      <c r="P3" s="3083"/>
    </row>
    <row r="4" spans="1:16" ht="15">
      <c r="A4" s="3385"/>
      <c r="B4" s="3386"/>
      <c r="C4" s="3387"/>
      <c r="D4" s="108" t="s">
        <v>204</v>
      </c>
      <c r="E4" s="109" t="s">
        <v>205</v>
      </c>
      <c r="F4" s="3083"/>
      <c r="G4" s="1184"/>
      <c r="H4" s="273" t="s">
        <v>852</v>
      </c>
      <c r="I4" s="1890">
        <f>ROUND(SUMIF('数据-基础表'!I9:AS9,"地上",'数据-基础表'!I5:AS5)/'数据-基础表'!A3,2)</f>
        <v>2.72</v>
      </c>
      <c r="J4" s="3083"/>
      <c r="K4" s="3083"/>
      <c r="L4" s="3083"/>
      <c r="M4" s="3083"/>
      <c r="N4" s="3083"/>
      <c r="O4" s="3083"/>
      <c r="P4" s="3083"/>
    </row>
    <row r="5" spans="1:16">
      <c r="A5" s="110" t="s">
        <v>207</v>
      </c>
      <c r="B5" s="3388" t="s">
        <v>230</v>
      </c>
      <c r="C5" s="3388"/>
      <c r="D5" s="111">
        <f>ROUND($D$3*E5/$E$3,2)</f>
        <v>36008.04</v>
      </c>
      <c r="E5" s="112">
        <f>SUMIF('数据-基础表'!$11:$11,"住宅",'数据-基础表'!$5:$5)</f>
        <v>143707.95000000001</v>
      </c>
      <c r="F5" s="3083"/>
      <c r="G5" s="278" t="s">
        <v>853</v>
      </c>
      <c r="H5" s="273" t="s">
        <v>851</v>
      </c>
      <c r="I5" s="1890">
        <f>ROUND(E31/D31,2)</f>
        <v>3.99</v>
      </c>
      <c r="J5" s="3083"/>
      <c r="K5" s="3083"/>
      <c r="L5" s="3083"/>
      <c r="M5" s="3083"/>
      <c r="N5" s="3083"/>
      <c r="O5" s="3083"/>
      <c r="P5" s="3083"/>
    </row>
    <row r="6" spans="1:16" ht="15" thickBot="1">
      <c r="A6" s="113"/>
      <c r="B6" s="3388" t="s">
        <v>208</v>
      </c>
      <c r="C6" s="3388"/>
      <c r="D6" s="111">
        <f>ROUND($D$3*E6/$E$3,2)</f>
        <v>19035.02</v>
      </c>
      <c r="E6" s="112">
        <f>E3-E5</f>
        <v>75968.700000000012</v>
      </c>
      <c r="F6" s="3083"/>
      <c r="G6" s="1184"/>
      <c r="H6" s="273" t="s">
        <v>852</v>
      </c>
      <c r="I6" s="1890">
        <f>ROUND(F31/D31,2)</f>
        <v>2.72</v>
      </c>
      <c r="J6" s="3083"/>
      <c r="K6" s="3083"/>
      <c r="L6" s="3083"/>
      <c r="M6" s="3083"/>
      <c r="N6" s="3083"/>
      <c r="O6" s="3083"/>
      <c r="P6" s="3083"/>
    </row>
    <row r="7" spans="1:16" ht="15">
      <c r="A7" s="3380"/>
      <c r="B7" s="3381"/>
      <c r="C7" s="3382"/>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36469.5</v>
      </c>
      <c r="E8" s="116">
        <f>SUMIF('数据-基础表'!BB10:BK10,"地上",'数据-基础表'!BB5:BK5)</f>
        <v>145549.64000000001</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14031.58</v>
      </c>
      <c r="E13" s="116">
        <f>SUMPRODUCT(('数据-基础表'!BB10:BK10="地下")*('数据-基础表'!BB11:BK11="车库")*('数据-基础表'!BB5:BK5))</f>
        <v>56000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50501.08</v>
      </c>
      <c r="E16" s="120">
        <f>SUM(E8:E15)</f>
        <v>201549.64</v>
      </c>
      <c r="F16" s="3083"/>
      <c r="G16" s="3084"/>
      <c r="H16" s="956" t="s">
        <v>219</v>
      </c>
      <c r="I16" s="957"/>
      <c r="J16" s="1898"/>
      <c r="K16" s="3374" t="s">
        <v>2547</v>
      </c>
      <c r="L16" s="3375"/>
      <c r="M16" s="3375"/>
      <c r="N16" s="3375"/>
      <c r="O16" s="3375"/>
      <c r="P16" s="3376"/>
    </row>
    <row r="17" spans="1:19" ht="15">
      <c r="A17" s="121" t="s">
        <v>216</v>
      </c>
      <c r="B17" s="122" t="s">
        <v>217</v>
      </c>
      <c r="C17" s="2178" t="s">
        <v>2301</v>
      </c>
      <c r="D17" s="108" t="s">
        <v>204</v>
      </c>
      <c r="E17" s="124" t="s">
        <v>205</v>
      </c>
      <c r="F17" s="125"/>
      <c r="G17" s="1319"/>
      <c r="H17" s="958" t="s">
        <v>218</v>
      </c>
      <c r="I17" s="959" t="s">
        <v>2300</v>
      </c>
      <c r="J17" s="1898"/>
      <c r="K17" s="3377" t="s">
        <v>2548</v>
      </c>
      <c r="L17" s="3378"/>
      <c r="M17" s="3379"/>
      <c r="N17" s="3377" t="s">
        <v>2549</v>
      </c>
      <c r="O17" s="3378"/>
      <c r="P17" s="3379"/>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8" t="s">
        <v>3071</v>
      </c>
      <c r="D19" s="111">
        <f t="shared" ref="D19:D26" si="1">ROUND($D$3*E19/$E$3,2)</f>
        <v>36008.04</v>
      </c>
      <c r="E19" s="134">
        <f t="shared" ref="E19:E26" si="2">SUM(F19:G19)</f>
        <v>143707.95000000001</v>
      </c>
      <c r="F19" s="3085">
        <f>'数据-基础表'!I5</f>
        <v>143707.95000000001</v>
      </c>
      <c r="G19" s="3086"/>
      <c r="H19" s="962">
        <f>ROUND($D$3*I19/$E$3,2)</f>
        <v>3493.98</v>
      </c>
      <c r="I19" s="116">
        <f>IF($I$17="自定义",P19,M19)</f>
        <v>13944.46</v>
      </c>
      <c r="J19" s="1898"/>
      <c r="K19" s="2452">
        <f t="shared" ref="K19:K26" si="3">ROUND(E$28*E19/E$27,2)</f>
        <v>10391.56</v>
      </c>
      <c r="L19" s="273">
        <f t="shared" ref="L19:L26" si="4">ROUND(IF(COUNTIF(C19,"*住宅*")&gt;0,E$29*E19/E$32,0),2)</f>
        <v>3552.9</v>
      </c>
      <c r="M19" s="2453">
        <f>K19+L19</f>
        <v>13944.46</v>
      </c>
      <c r="N19" s="2454"/>
      <c r="O19" s="2455"/>
      <c r="P19" s="2456">
        <f>N19+O19</f>
        <v>0</v>
      </c>
      <c r="R19" s="273">
        <f t="shared" ref="R19:S26" si="5">D19+H19</f>
        <v>39502.020000000004</v>
      </c>
      <c r="S19" s="2181">
        <f t="shared" si="5"/>
        <v>157652.41</v>
      </c>
    </row>
    <row r="20" spans="1:19">
      <c r="A20" s="137"/>
      <c r="B20" s="115" t="s">
        <v>226</v>
      </c>
      <c r="C20" s="2738" t="s">
        <v>3072</v>
      </c>
      <c r="D20" s="111">
        <f t="shared" si="1"/>
        <v>461.46</v>
      </c>
      <c r="E20" s="134">
        <f t="shared" si="2"/>
        <v>1841.69</v>
      </c>
      <c r="F20" s="3085">
        <f>'数据-基础表'!K5</f>
        <v>1841.69</v>
      </c>
      <c r="G20" s="3086"/>
      <c r="H20" s="962">
        <f t="shared" ref="H20:H26" si="6">ROUND($D$3*I20/$E$3,2)</f>
        <v>33.369999999999997</v>
      </c>
      <c r="I20" s="116">
        <f t="shared" ref="I20:I26" si="7">IF($I$17="自定义",P20,M20)</f>
        <v>133.16999999999999</v>
      </c>
      <c r="J20" s="1898"/>
      <c r="K20" s="2452">
        <f t="shared" si="3"/>
        <v>133.16999999999999</v>
      </c>
      <c r="L20" s="273">
        <f t="shared" si="4"/>
        <v>0</v>
      </c>
      <c r="M20" s="2453">
        <f t="shared" ref="M20:M26" si="8">K20+L20</f>
        <v>133.16999999999999</v>
      </c>
      <c r="N20" s="2454"/>
      <c r="O20" s="2455"/>
      <c r="P20" s="2456">
        <f t="shared" ref="P20:P26" si="9">N20+O20</f>
        <v>0</v>
      </c>
      <c r="R20" s="273">
        <f t="shared" si="5"/>
        <v>494.83</v>
      </c>
      <c r="S20" s="2181">
        <f t="shared" si="5"/>
        <v>1974.8600000000001</v>
      </c>
    </row>
    <row r="21" spans="1:19">
      <c r="A21" s="137"/>
      <c r="B21" s="115" t="s">
        <v>226</v>
      </c>
      <c r="C21" s="2738" t="s">
        <v>3073</v>
      </c>
      <c r="D21" s="111">
        <f t="shared" si="1"/>
        <v>14031.58</v>
      </c>
      <c r="E21" s="134">
        <f t="shared" si="2"/>
        <v>56000</v>
      </c>
      <c r="F21" s="3085"/>
      <c r="G21" s="3086">
        <f>'数据-基础表'!M5</f>
        <v>56000</v>
      </c>
      <c r="H21" s="962">
        <f t="shared" si="6"/>
        <v>1014.63</v>
      </c>
      <c r="I21" s="116">
        <f t="shared" si="7"/>
        <v>4049.38</v>
      </c>
      <c r="J21" s="1898"/>
      <c r="K21" s="2452">
        <f t="shared" si="3"/>
        <v>4049.38</v>
      </c>
      <c r="L21" s="273">
        <f t="shared" si="4"/>
        <v>0</v>
      </c>
      <c r="M21" s="2453">
        <f t="shared" si="8"/>
        <v>4049.38</v>
      </c>
      <c r="N21" s="2454"/>
      <c r="O21" s="2455"/>
      <c r="P21" s="2456">
        <f t="shared" si="9"/>
        <v>0</v>
      </c>
      <c r="R21" s="273">
        <f t="shared" si="5"/>
        <v>15046.21</v>
      </c>
      <c r="S21" s="2181">
        <f t="shared" si="5"/>
        <v>60049.38</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50501.08</v>
      </c>
      <c r="E27" s="141">
        <f>IF(SUM(E19:E26)='数据-基础表'!BA5,SUM(E19:E26),IF(F27="地上面积有误","面积有误","地下面积有误"))</f>
        <v>201549.64</v>
      </c>
      <c r="F27" s="134">
        <f>IF(SUM(F19:F26)=E8,SUM(F19:F26),"地上面积有误")</f>
        <v>145549.64000000001</v>
      </c>
      <c r="G27" s="112">
        <f>SUM(G19:G26)</f>
        <v>56000</v>
      </c>
      <c r="H27" s="963">
        <f>SUM(H19:H26)</f>
        <v>4541.9799999999996</v>
      </c>
      <c r="I27" s="964">
        <f>SUM(I19:I26)</f>
        <v>18127.009999999998</v>
      </c>
      <c r="J27" s="1898"/>
      <c r="K27" s="2461">
        <f>SUM(K19:K26)</f>
        <v>14574.11</v>
      </c>
      <c r="L27" s="2462">
        <f>SUM(L19:L26)</f>
        <v>3552.9</v>
      </c>
      <c r="M27" s="2463">
        <f>SUM(M19:M26)</f>
        <v>18127.009999999998</v>
      </c>
      <c r="N27" s="2461">
        <f t="shared" ref="N27:O27" si="10">SUM(N19:N26)</f>
        <v>0</v>
      </c>
      <c r="O27" s="2462">
        <f t="shared" si="10"/>
        <v>0</v>
      </c>
      <c r="P27" s="2464">
        <f>SUM(P19:P26)</f>
        <v>0</v>
      </c>
      <c r="R27" s="2185">
        <f>IF(SUM(R19:R26)=$D$3,SUM(R19:R26),SUM(R19:R26)&amp;"误差"&amp;ROUND(SUM(R19:R26)-$D$3,2))</f>
        <v>55043.060000000005</v>
      </c>
      <c r="S27" s="273">
        <f>IF(SUM(S19:S26)=$E$3,SUM(S19:S26),SUM(S19:S26)&amp;"误差"&amp;ROUND(SUM(S19:S26)-E3,2))</f>
        <v>219676.65</v>
      </c>
    </row>
    <row r="28" spans="1:19">
      <c r="A28" s="137"/>
      <c r="B28" s="115" t="s">
        <v>227</v>
      </c>
      <c r="C28" s="135" t="s">
        <v>228</v>
      </c>
      <c r="D28" s="111">
        <f>ROUND($D$3*E28/$E$3,2)</f>
        <v>3651.75</v>
      </c>
      <c r="E28" s="134">
        <f>SUM(F28:G28)</f>
        <v>14574.110000000002</v>
      </c>
      <c r="F28" s="142">
        <f>'数据-基础表'!BQ5+'数据-基础表'!BS5</f>
        <v>854.81</v>
      </c>
      <c r="G28" s="143">
        <f>'数据-基础表'!BR5+'数据-基础表'!BT5</f>
        <v>13719.300000000003</v>
      </c>
      <c r="H28" s="3083"/>
      <c r="I28" s="3083"/>
      <c r="J28" s="3083"/>
      <c r="K28" s="3083"/>
      <c r="L28" s="3083"/>
      <c r="M28" s="3083"/>
      <c r="N28" s="3083"/>
      <c r="O28" s="3083"/>
      <c r="P28" s="3083"/>
    </row>
    <row r="29" spans="1:19">
      <c r="A29" s="137"/>
      <c r="B29" s="115" t="s">
        <v>227</v>
      </c>
      <c r="C29" s="2193" t="s">
        <v>2308</v>
      </c>
      <c r="D29" s="111">
        <f>ROUND($D$3*E29/$E$3,2)</f>
        <v>890.23</v>
      </c>
      <c r="E29" s="134">
        <f>SUM(F29:G29)</f>
        <v>3552.9</v>
      </c>
      <c r="F29" s="142">
        <f>'数据-基础表'!BM5+'数据-基础表'!BO5</f>
        <v>3552.9</v>
      </c>
      <c r="G29" s="144">
        <f>'数据-基础表'!BN5+'数据-基础表'!BP5</f>
        <v>0</v>
      </c>
      <c r="H29" s="3083"/>
      <c r="I29" s="3083"/>
      <c r="J29" s="3083"/>
      <c r="K29" s="3083"/>
      <c r="L29" s="3083"/>
      <c r="M29" s="3083"/>
      <c r="N29" s="3083"/>
      <c r="O29" s="3083"/>
      <c r="P29" s="3083"/>
    </row>
    <row r="30" spans="1:19">
      <c r="A30" s="137"/>
      <c r="B30" s="111"/>
      <c r="C30" s="145" t="s">
        <v>215</v>
      </c>
      <c r="D30" s="134">
        <f>SUM(D28:D29)</f>
        <v>4541.9799999999996</v>
      </c>
      <c r="E30" s="134">
        <f>SUM(E28:E29)</f>
        <v>18127.010000000002</v>
      </c>
      <c r="F30" s="134">
        <f>SUM(F28:F29)</f>
        <v>4407.71</v>
      </c>
      <c r="G30" s="112">
        <f>SUM(G28:G29)</f>
        <v>13719.300000000003</v>
      </c>
      <c r="H30" s="3083"/>
      <c r="I30" s="3083"/>
      <c r="J30" s="3083"/>
      <c r="K30" s="3083"/>
      <c r="L30" s="3083"/>
      <c r="M30" s="3083"/>
      <c r="N30" s="3083"/>
      <c r="O30" s="3083"/>
      <c r="P30" s="3083"/>
    </row>
    <row r="31" spans="1:19" ht="32.25" customHeight="1" thickBot="1">
      <c r="A31" s="1321"/>
      <c r="B31" s="1322" t="s">
        <v>229</v>
      </c>
      <c r="C31" s="2210" t="s">
        <v>2310</v>
      </c>
      <c r="D31" s="1323">
        <f>D27+D30</f>
        <v>55043.06</v>
      </c>
      <c r="E31" s="1323">
        <f>E27+E30</f>
        <v>219676.65000000002</v>
      </c>
      <c r="F31" s="1324">
        <f>F27+F30</f>
        <v>149957.35</v>
      </c>
      <c r="G31" s="1325">
        <f>G27+G30</f>
        <v>69719.3</v>
      </c>
      <c r="H31" s="3083"/>
      <c r="I31" s="3083"/>
      <c r="J31" s="3083"/>
      <c r="K31" s="3083"/>
      <c r="L31" s="3083"/>
      <c r="M31" s="3083"/>
      <c r="N31" s="3083"/>
      <c r="O31" s="3083"/>
      <c r="P31" s="3083"/>
    </row>
    <row r="32" spans="1:19">
      <c r="A32" s="1898"/>
      <c r="B32" s="2222" t="s">
        <v>2309</v>
      </c>
      <c r="C32" s="2489"/>
      <c r="D32" s="1184"/>
      <c r="E32" s="1184">
        <f>SUMIF(C19:C26,"*住宅*",E19:E26)</f>
        <v>143707.95000000001</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I33" activePane="bottomRight" state="frozen"/>
      <selection pane="topRight" activeCell="D1" sqref="D1"/>
      <selection pane="bottomLeft" activeCell="A4" sqref="A4"/>
      <selection pane="bottomRight" activeCell="J44" sqref="J44"/>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44250</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2975</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68250</v>
      </c>
      <c r="F6" s="172">
        <f>SUMIF(项目基本情况!D$15:I$15,C6,项目基本情况!D$19:I$19)</f>
        <v>65.75</v>
      </c>
      <c r="G6" s="173">
        <f>IF(ISERROR(ROUND(POWER(1+H6,D6-F6)*(POWER(1+H6,F6)-1)/(POWER(1+H6,D6)-1),3)),0,ROUND(POWER(1+H6,D6-F6)*(POWER(1+H6,F6)-1)/(POWER(1+H6,D6)-1),3))</f>
        <v>0.98799999999999999</v>
      </c>
      <c r="H6" s="2739">
        <v>0.04</v>
      </c>
      <c r="I6" s="2739">
        <v>4.4999999999999998E-2</v>
      </c>
      <c r="J6" s="174">
        <v>8.5000000000000006E-2</v>
      </c>
      <c r="K6" s="177">
        <f>SUMIF('数据-汇总表'!C$19:C$33,'数据-取费表'!A6,'数据-汇总表'!E$19:E$33)</f>
        <v>143707.95000000001</v>
      </c>
      <c r="L6" s="2740">
        <v>2000</v>
      </c>
      <c r="M6" s="175">
        <f t="shared" ref="M6:M14" si="0">ROUND(K6*L6/10000,0)</f>
        <v>28742</v>
      </c>
      <c r="N6" s="2741">
        <v>0</v>
      </c>
      <c r="O6" s="175">
        <f>IF($N$5="成新度","——",ROUND(M6*N6,0))</f>
        <v>0</v>
      </c>
      <c r="P6" s="176">
        <f>IF($N$5="成新度","——",M6-O6)</f>
        <v>28742</v>
      </c>
      <c r="Q6" s="2742">
        <v>0</v>
      </c>
      <c r="R6" s="177">
        <f>SUMIF('数据-汇总表'!C$19:C$33,A6,'数据-汇总表'!R$19:R$33)</f>
        <v>39502.020000000004</v>
      </c>
      <c r="S6" s="132">
        <f>IF('数据-汇总表'!$I$17="按面积比例",SUMIF('数据-汇总表'!C$19:C$33,A6,'数据-汇总表'!K$19:K$33),SUMIF('数据-汇总表'!C$19:C$33,A6,'数据-汇总表'!N$19:N$33))</f>
        <v>10391.56</v>
      </c>
      <c r="T6" s="2114">
        <f>IF($T$4="按面积比例",IF(ISERROR(ROUND($M$14*S6/S$16,0)),"0",ROUND($M$14*S6/S$16,0)),"需自行计算录入")</f>
        <v>2078</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0.92400000000000004</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3012</v>
      </c>
      <c r="D7" s="2188">
        <f>SUMIF(项目基本情况!D$15:I$15,C7,项目基本情况!D$18:I$18)</f>
        <v>40</v>
      </c>
      <c r="E7" s="2189">
        <f>IF(B7="","",SUMIF(项目基本情况!D$15:I$15,C7,项目基本情况!D$17:I$17))</f>
        <v>57293</v>
      </c>
      <c r="F7" s="172">
        <f>SUMIF(项目基本情况!D$15:I$15,C7,项目基本情况!D$19:I$19)</f>
        <v>35.729999999999997</v>
      </c>
      <c r="G7" s="173">
        <f t="shared" ref="G7:G11" si="2">IF(ISERROR(ROUND(POWER(1+H7,D7-F7)*(POWER(1+H7,F7)-1)/(POWER(1+H7,D7)-1),3)),0,ROUND(POWER(1+H7,D7-F7)*(POWER(1+H7,F7)-1)/(POWER(1+H7,D7)-1),3))</f>
        <v>0.96199999999999997</v>
      </c>
      <c r="H7" s="2739">
        <v>0.05</v>
      </c>
      <c r="I7" s="2739">
        <v>5.5E-2</v>
      </c>
      <c r="J7" s="174">
        <v>8.5000000000000006E-2</v>
      </c>
      <c r="K7" s="177">
        <f>SUMIF('数据-汇总表'!C$19:C$33,'数据-取费表'!A7,'数据-汇总表'!E$19:E$33)</f>
        <v>1841.69</v>
      </c>
      <c r="L7" s="2740">
        <f>L6</f>
        <v>2000</v>
      </c>
      <c r="M7" s="175">
        <f t="shared" si="0"/>
        <v>368</v>
      </c>
      <c r="N7" s="2741">
        <f>N6</f>
        <v>0</v>
      </c>
      <c r="O7" s="175">
        <f t="shared" ref="O7:O14" si="3">IF($N$5="成新度","——",ROUND(M7*N7,0))</f>
        <v>0</v>
      </c>
      <c r="P7" s="176">
        <f t="shared" ref="P7:P14" si="4">IF($N$5="成新度","——",M7-O7)</f>
        <v>368</v>
      </c>
      <c r="Q7" s="2742">
        <v>0.15</v>
      </c>
      <c r="R7" s="177">
        <f>SUMIF('数据-汇总表'!C$19:C$33,A7,'数据-汇总表'!R$19:R$33)</f>
        <v>494.83</v>
      </c>
      <c r="S7" s="132">
        <f>IF('数据-汇总表'!$I$17="按面积比例",SUMIF('数据-汇总表'!C$19:C$33,A7,'数据-汇总表'!K$19:K$33),SUMIF('数据-汇总表'!C$19:C$33,A7,'数据-汇总表'!N$19:N$33))</f>
        <v>133.16999999999999</v>
      </c>
      <c r="T7" s="2114">
        <f t="shared" ref="T7:T13" si="5">IF($T$4="按面积比例",IF(ISERROR(ROUND($M$14*S7/S$16,0)),"0",ROUND($M$14*S7/S$16,0)),"需自行计算录入")</f>
        <v>27</v>
      </c>
      <c r="U7" s="178">
        <v>2</v>
      </c>
      <c r="V7" s="179">
        <v>0.03</v>
      </c>
      <c r="W7" s="179">
        <v>0.1</v>
      </c>
      <c r="X7" s="2201"/>
      <c r="Y7" s="180">
        <v>1</v>
      </c>
      <c r="Z7" s="181"/>
      <c r="AA7" s="174"/>
      <c r="AB7" s="174"/>
      <c r="AC7" s="2204"/>
      <c r="AD7" s="182"/>
      <c r="AE7" s="960">
        <f t="shared" ref="AE7:AE13" ca="1" si="6">IF(AN7="",0,SUMIF(INDIRECT("'"&amp;AN7&amp;"'"&amp;"!E:E"),$AE$5,INDIRECT("'"&amp;AN7&amp;"'"&amp;"!F:F")))</f>
        <v>33.729999999999997</v>
      </c>
      <c r="AF7" s="139"/>
      <c r="AG7" s="1196">
        <f t="shared" ref="AG7:AG13" si="7">IF(AF7="",0,AE7-AF7)</f>
        <v>0</v>
      </c>
      <c r="AH7" s="139"/>
      <c r="AI7" s="185">
        <v>365</v>
      </c>
      <c r="AJ7" s="186"/>
      <c r="AK7" s="187">
        <v>0.01</v>
      </c>
      <c r="AL7" s="188">
        <v>1.5E-3</v>
      </c>
      <c r="AM7" s="2245">
        <v>0.01</v>
      </c>
      <c r="AN7" s="2247" t="s">
        <v>3076</v>
      </c>
      <c r="AO7" s="3093"/>
      <c r="AP7" s="1187">
        <f t="shared" ref="AP7:AP13" si="8">ROUND(1-1/(1+H7)^F7,3)</f>
        <v>0.82499999999999996</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地下车库</v>
      </c>
      <c r="B8" s="2217" t="str">
        <f t="shared" si="1"/>
        <v>经营性</v>
      </c>
      <c r="C8" s="171" t="s">
        <v>3070</v>
      </c>
      <c r="D8" s="2188">
        <f>SUMIF(项目基本情况!D$15:I$15,C8,项目基本情况!D$18:I$18)</f>
        <v>50</v>
      </c>
      <c r="E8" s="2189">
        <f>IF(B8="","",SUMIF(项目基本情况!D$15:I$15,C8,项目基本情况!D$17:I$17))</f>
        <v>60945</v>
      </c>
      <c r="F8" s="172">
        <f>SUMIF(项目基本情况!D$15:I$15,C8,项目基本情况!D$19:I$19)</f>
        <v>45.73</v>
      </c>
      <c r="G8" s="173">
        <f t="shared" si="2"/>
        <v>0.97399999999999998</v>
      </c>
      <c r="H8" s="2739">
        <v>4.4999999999999998E-2</v>
      </c>
      <c r="I8" s="2739">
        <v>0.05</v>
      </c>
      <c r="J8" s="174">
        <v>8.5000000000000006E-2</v>
      </c>
      <c r="K8" s="177">
        <f>SUMIF('数据-汇总表'!C$19:C$33,'数据-取费表'!A8,'数据-汇总表'!E$19:E$33)</f>
        <v>56000</v>
      </c>
      <c r="L8" s="2740">
        <f>L6</f>
        <v>2000</v>
      </c>
      <c r="M8" s="175">
        <f>ROUND(K8*L8/10000,0)</f>
        <v>11200</v>
      </c>
      <c r="N8" s="2741">
        <f>N6</f>
        <v>0</v>
      </c>
      <c r="O8" s="175">
        <f t="shared" si="3"/>
        <v>0</v>
      </c>
      <c r="P8" s="176">
        <f t="shared" si="4"/>
        <v>11200</v>
      </c>
      <c r="Q8" s="2742">
        <v>0.02</v>
      </c>
      <c r="R8" s="177">
        <f>SUMIF('数据-汇总表'!C$19:C$33,A8,'数据-汇总表'!R$19:R$33)</f>
        <v>15046.21</v>
      </c>
      <c r="S8" s="132">
        <f>IF('数据-汇总表'!$I$17="按面积比例",SUMIF('数据-汇总表'!C$19:C$33,A8,'数据-汇总表'!K$19:K$33),SUMIF('数据-汇总表'!C$19:C$33,A8,'数据-汇总表'!N$19:N$33))</f>
        <v>4049.38</v>
      </c>
      <c r="T8" s="2114">
        <f t="shared" si="5"/>
        <v>810</v>
      </c>
      <c r="U8" s="178">
        <v>350</v>
      </c>
      <c r="V8" s="179">
        <v>2.5000000000000001E-2</v>
      </c>
      <c r="W8" s="179">
        <v>0.1</v>
      </c>
      <c r="X8" s="2201"/>
      <c r="Y8" s="180">
        <v>1</v>
      </c>
      <c r="Z8" s="181"/>
      <c r="AA8" s="174"/>
      <c r="AB8" s="174"/>
      <c r="AC8" s="2204"/>
      <c r="AD8" s="182"/>
      <c r="AE8" s="960">
        <f t="shared" ca="1" si="6"/>
        <v>43.73</v>
      </c>
      <c r="AF8" s="139"/>
      <c r="AG8" s="1196">
        <f t="shared" si="7"/>
        <v>0</v>
      </c>
      <c r="AH8" s="139">
        <f>面积清单!K27</f>
        <v>1600</v>
      </c>
      <c r="AI8" s="185">
        <v>12</v>
      </c>
      <c r="AJ8" s="186"/>
      <c r="AK8" s="187">
        <v>0.01</v>
      </c>
      <c r="AL8" s="188">
        <v>1.5E-3</v>
      </c>
      <c r="AM8" s="2245">
        <v>0.01</v>
      </c>
      <c r="AN8" s="2247" t="s">
        <v>3084</v>
      </c>
      <c r="AO8" s="3093"/>
      <c r="AP8" s="1187">
        <f t="shared" si="8"/>
        <v>0.86599999999999999</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14574.110000000002</v>
      </c>
      <c r="L14" s="191">
        <f>L6</f>
        <v>2000</v>
      </c>
      <c r="M14" s="175">
        <f t="shared" si="0"/>
        <v>2915</v>
      </c>
      <c r="N14" s="192">
        <f>N6</f>
        <v>0</v>
      </c>
      <c r="O14" s="175">
        <f t="shared" si="3"/>
        <v>0</v>
      </c>
      <c r="P14" s="176">
        <f t="shared" si="4"/>
        <v>2915</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3552.9</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0.98399999999999999</v>
      </c>
      <c r="H16" s="201">
        <f>ROUND(SUMPRODUCT(H6:H13,K6:K13)/SUMPRODUCT((H6:H13&gt;0)*(K6:K13)),3)</f>
        <v>4.1000000000000002E-2</v>
      </c>
      <c r="I16" s="202"/>
      <c r="J16" s="202"/>
      <c r="K16" s="203">
        <f>SUM(K6:K15)</f>
        <v>219676.65000000002</v>
      </c>
      <c r="L16" s="204">
        <f>ROUND(M16*10000/SUM(K6:K14),0)</f>
        <v>2000</v>
      </c>
      <c r="M16" s="204">
        <f>SUM(M6:M14)</f>
        <v>43225</v>
      </c>
      <c r="N16" s="205">
        <f>ROUND(SUMPRODUCT(M6:M14,N6:N14)/M16,3)</f>
        <v>0</v>
      </c>
      <c r="O16" s="204">
        <f>SUM(O6:O14)</f>
        <v>0</v>
      </c>
      <c r="P16" s="204">
        <f>SUM(P6:P14)</f>
        <v>43225</v>
      </c>
      <c r="Q16" s="206">
        <f>ROUND(SUMPRODUCT(Q6:Q13,K6:K13)/SUMPRODUCT((Q6:Q13&gt;0)*(K6:K13)),2)</f>
        <v>0.02</v>
      </c>
      <c r="R16" s="2191">
        <f>SUM(R6:R13)</f>
        <v>55043.060000000005</v>
      </c>
      <c r="S16" s="207">
        <f>SUM(S6:S13)</f>
        <v>14574.11</v>
      </c>
      <c r="T16" s="208">
        <f>IF(SUMIF(T6:T13,"&lt;9E307")=M14,SUMIF(T6:T13,"&lt;9E307"),"有误，请检查")</f>
        <v>2915</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0.90700000000000003</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2987</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v>21</v>
      </c>
      <c r="C27" s="3106" t="s">
        <v>2988</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21</v>
      </c>
      <c r="C28" s="3099" t="s">
        <v>3081</v>
      </c>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f ca="1">'剩余法-待开发'!H20</f>
        <v>462</v>
      </c>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2976</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0.02</v>
      </c>
      <c r="C34" s="3108" t="s">
        <v>2977</v>
      </c>
      <c r="D34" s="3109" t="s">
        <v>2984</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2978</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2979</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0.01</v>
      </c>
      <c r="C37" s="3108" t="s">
        <v>2980</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0.01</v>
      </c>
      <c r="C38" s="3108" t="s">
        <v>2980</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3280" t="s">
        <v>3004</v>
      </c>
      <c r="B40" s="2334">
        <f ca="1">IF(A40="利息：取LPR",存贷款利率!E2,存贷款利率!E2+C40)</f>
        <v>3.85E-2</v>
      </c>
      <c r="C40" s="3281">
        <v>5.0000000000000001E-3</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5.6000000000000001E-2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6.000000000000001E-3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7.0000000000000007E-2</v>
      </c>
      <c r="C44" s="3108" t="s">
        <v>2985</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2981</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2982</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0</v>
      </c>
      <c r="C47" s="3106" t="s">
        <v>2989</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2981</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2983</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3</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1402</v>
      </c>
      <c r="C53" s="3101" t="s">
        <v>2872</v>
      </c>
      <c r="D53" s="3112" t="s">
        <v>2986</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2873</v>
      </c>
      <c r="B54" s="184">
        <v>11</v>
      </c>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2874</v>
      </c>
      <c r="B55" s="184">
        <v>8.5</v>
      </c>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2875</v>
      </c>
      <c r="B56" s="184">
        <v>7.5</v>
      </c>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2876</v>
      </c>
      <c r="B57" s="184">
        <v>6.5</v>
      </c>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2877</v>
      </c>
      <c r="B58" s="184">
        <v>5.5</v>
      </c>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2878</v>
      </c>
      <c r="B59" s="184">
        <v>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2879</v>
      </c>
      <c r="B60" s="184">
        <v>3</v>
      </c>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2880</v>
      </c>
      <c r="B61" s="184">
        <v>2</v>
      </c>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2881</v>
      </c>
      <c r="B62" s="184">
        <v>1</v>
      </c>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2882</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89" t="s">
        <v>1654</v>
      </c>
      <c r="B1" s="3390"/>
      <c r="C1" s="3390"/>
      <c r="D1" s="3390"/>
      <c r="E1" s="3390"/>
      <c r="F1" s="3390"/>
      <c r="G1" s="3390"/>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2889</v>
      </c>
      <c r="D3" s="3128"/>
      <c r="E3" s="3129" t="s">
        <v>1657</v>
      </c>
      <c r="F3" s="3130" t="s">
        <v>1645</v>
      </c>
      <c r="G3" s="3131" t="s">
        <v>2888</v>
      </c>
      <c r="H3" s="3124"/>
      <c r="I3" s="3124"/>
      <c r="J3" s="3124"/>
      <c r="K3" s="3124"/>
      <c r="L3" s="3124"/>
      <c r="M3" s="3124"/>
      <c r="N3" s="3124"/>
      <c r="O3" s="3124"/>
      <c r="P3" s="3124"/>
      <c r="Q3" s="3124"/>
      <c r="R3" s="3124"/>
    </row>
    <row r="4" spans="1:18" ht="40.5">
      <c r="A4" s="3129"/>
      <c r="B4" s="3132" t="s">
        <v>1658</v>
      </c>
      <c r="C4" s="3133" t="s">
        <v>2890</v>
      </c>
      <c r="D4" s="3128"/>
      <c r="E4" s="3134"/>
      <c r="F4" s="3135" t="s">
        <v>1659</v>
      </c>
      <c r="G4" s="3136" t="s">
        <v>2885</v>
      </c>
      <c r="H4" s="3124"/>
      <c r="I4" s="3124"/>
      <c r="J4" s="3124"/>
      <c r="K4" s="3124"/>
      <c r="L4" s="3124"/>
      <c r="M4" s="3124"/>
      <c r="N4" s="3124"/>
      <c r="O4" s="3124"/>
      <c r="P4" s="3124"/>
      <c r="Q4" s="3124"/>
      <c r="R4" s="3124"/>
    </row>
    <row r="5" spans="1:18" ht="41.25">
      <c r="A5" s="3129"/>
      <c r="B5" s="3132" t="s">
        <v>1660</v>
      </c>
      <c r="C5" s="3133" t="s">
        <v>2891</v>
      </c>
      <c r="D5" s="3128"/>
      <c r="E5" s="3134"/>
      <c r="F5" s="3132" t="s">
        <v>2527</v>
      </c>
      <c r="G5" s="3136" t="s">
        <v>2886</v>
      </c>
      <c r="H5" s="3124"/>
      <c r="I5" s="3124"/>
      <c r="J5" s="3124"/>
      <c r="K5" s="3124"/>
      <c r="L5" s="3124"/>
      <c r="M5" s="3124"/>
      <c r="N5" s="3124"/>
      <c r="O5" s="3124"/>
      <c r="P5" s="3124"/>
      <c r="Q5" s="3124"/>
      <c r="R5" s="3124"/>
    </row>
    <row r="6" spans="1:18" ht="40.5">
      <c r="A6" s="3129"/>
      <c r="B6" s="3132" t="s">
        <v>1646</v>
      </c>
      <c r="C6" s="3136" t="s">
        <v>2885</v>
      </c>
      <c r="D6" s="3128"/>
      <c r="E6" s="3134"/>
      <c r="F6" s="3132" t="s">
        <v>2528</v>
      </c>
      <c r="G6" s="3136" t="s">
        <v>2883</v>
      </c>
      <c r="H6" s="3124"/>
      <c r="I6" s="3124"/>
      <c r="J6" s="3124"/>
      <c r="K6" s="3124"/>
      <c r="L6" s="3124"/>
      <c r="M6" s="3124"/>
      <c r="N6" s="3124"/>
      <c r="O6" s="3124"/>
      <c r="P6" s="3124"/>
      <c r="Q6" s="3124"/>
      <c r="R6" s="3124"/>
    </row>
    <row r="7" spans="1:18" ht="27.75" thickBot="1">
      <c r="A7" s="3129"/>
      <c r="B7" s="3132" t="s">
        <v>2527</v>
      </c>
      <c r="C7" s="3136" t="s">
        <v>2886</v>
      </c>
      <c r="D7" s="3137"/>
      <c r="E7" s="3138"/>
      <c r="F7" s="3139" t="s">
        <v>1661</v>
      </c>
      <c r="G7" s="3140" t="s">
        <v>2887</v>
      </c>
      <c r="H7" s="3124"/>
      <c r="I7" s="3124"/>
      <c r="J7" s="3124"/>
      <c r="K7" s="3124"/>
      <c r="L7" s="3124"/>
      <c r="M7" s="3124"/>
      <c r="N7" s="3124"/>
      <c r="O7" s="3124"/>
      <c r="P7" s="3124"/>
      <c r="Q7" s="3124"/>
      <c r="R7" s="3124"/>
    </row>
    <row r="8" spans="1:18">
      <c r="A8" s="3129"/>
      <c r="B8" s="3132" t="s">
        <v>2528</v>
      </c>
      <c r="C8" s="3136" t="s">
        <v>2883</v>
      </c>
      <c r="D8" s="3137"/>
      <c r="E8" s="3137"/>
      <c r="F8" s="3141"/>
      <c r="G8" s="3141"/>
      <c r="H8" s="3124"/>
      <c r="I8" s="3124"/>
      <c r="J8" s="3124"/>
      <c r="K8" s="3124"/>
      <c r="L8" s="3124"/>
      <c r="M8" s="3124"/>
      <c r="N8" s="3124"/>
      <c r="O8" s="3124"/>
      <c r="P8" s="3124"/>
      <c r="Q8" s="3124"/>
      <c r="R8" s="3124"/>
    </row>
    <row r="9" spans="1:18" ht="27">
      <c r="A9" s="3129"/>
      <c r="B9" s="3132" t="s">
        <v>1647</v>
      </c>
      <c r="C9" s="3133" t="s">
        <v>2884</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2527</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2528</v>
      </c>
      <c r="G20" s="3176" t="str">
        <f>G6</f>
        <v>估价对象所在区域基础设施水平</v>
      </c>
    </row>
    <row r="21" spans="1:7" ht="27">
      <c r="A21" s="3171"/>
      <c r="B21" s="3132" t="s">
        <v>2527</v>
      </c>
      <c r="C21" s="3176" t="str">
        <f>C7</f>
        <v>估价对象所在区域公共配套设施齐备情况</v>
      </c>
      <c r="D21" s="3128"/>
      <c r="E21" s="3174"/>
      <c r="F21" s="3175" t="s">
        <v>1652</v>
      </c>
      <c r="G21" s="3178"/>
    </row>
    <row r="22" spans="1:7" ht="14.25">
      <c r="A22" s="3171"/>
      <c r="B22" s="3132" t="s">
        <v>2528</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7" sqref="F7"/>
    </sheetView>
  </sheetViews>
  <sheetFormatPr defaultColWidth="14.625" defaultRowHeight="13.5"/>
  <cols>
    <col min="1" max="1" width="24.375" style="3187" customWidth="1"/>
    <col min="2" max="16384" width="14.625" style="3187"/>
  </cols>
  <sheetData>
    <row r="1" spans="1:10" ht="16.5">
      <c r="A1" s="3186" t="s">
        <v>2823</v>
      </c>
      <c r="B1" s="3186">
        <f>SUM(B14:B23)</f>
        <v>329756.04000000004</v>
      </c>
      <c r="C1" s="3195"/>
      <c r="D1" s="3195"/>
      <c r="E1" s="3195"/>
      <c r="F1" s="3195"/>
      <c r="G1" s="3196"/>
      <c r="H1" s="3196"/>
      <c r="I1" s="3196"/>
      <c r="J1" s="3196"/>
    </row>
    <row r="2" spans="1:10" ht="16.5">
      <c r="A2" s="3186" t="s">
        <v>2824</v>
      </c>
      <c r="B2" s="3186">
        <f>SUM(C14:C23)</f>
        <v>102745.84</v>
      </c>
      <c r="C2" s="3195"/>
      <c r="D2" s="3195"/>
      <c r="E2" s="3195"/>
      <c r="F2" s="3195"/>
      <c r="G2" s="3196"/>
      <c r="H2" s="3196"/>
      <c r="I2" s="3196"/>
      <c r="J2" s="3196"/>
    </row>
    <row r="3" spans="1:10" ht="16.5">
      <c r="A3" s="3186" t="s">
        <v>2825</v>
      </c>
      <c r="B3" s="3188">
        <f>项目基本情况!D3</f>
        <v>44250</v>
      </c>
      <c r="C3" s="3195"/>
      <c r="D3" s="3195"/>
      <c r="E3" s="3195"/>
      <c r="F3" s="3195"/>
      <c r="G3" s="3196"/>
      <c r="H3" s="3196"/>
      <c r="I3" s="3196"/>
      <c r="J3" s="3196"/>
    </row>
    <row r="4" spans="1:10" ht="33">
      <c r="A4" s="3186" t="s">
        <v>2826</v>
      </c>
      <c r="B4" s="3186" t="s">
        <v>2827</v>
      </c>
      <c r="C4" s="3186" t="s">
        <v>2828</v>
      </c>
      <c r="D4" s="3186" t="s">
        <v>2829</v>
      </c>
      <c r="E4" s="3195"/>
      <c r="F4" s="3195"/>
      <c r="G4" s="3196"/>
      <c r="H4" s="3196"/>
      <c r="I4" s="3196"/>
      <c r="J4" s="3196"/>
    </row>
    <row r="5" spans="1:10" ht="16.5">
      <c r="A5" s="3186" t="s">
        <v>2830</v>
      </c>
      <c r="B5" s="3186">
        <f ca="1">SUM(D14:D23)</f>
        <v>20736</v>
      </c>
      <c r="C5" s="3186">
        <f ca="1">ROUND(B5*10000/$B$1,0)</f>
        <v>629</v>
      </c>
      <c r="D5" s="3186">
        <f ca="1">ROUND(B5*10000/$B$2,0)</f>
        <v>2018</v>
      </c>
      <c r="E5" s="3195"/>
      <c r="F5" s="3195"/>
      <c r="G5" s="3196"/>
      <c r="H5" s="3196"/>
      <c r="I5" s="3196"/>
      <c r="J5" s="3196"/>
    </row>
    <row r="6" spans="1:10" ht="16.5">
      <c r="A6" s="3186" t="s">
        <v>2831</v>
      </c>
      <c r="B6" s="3186">
        <f ca="1">SUM(G14:G23)</f>
        <v>20736</v>
      </c>
      <c r="C6" s="3186">
        <f t="shared" ref="C6:C8" ca="1" si="0">ROUND(B6*10000/$B$1,0)</f>
        <v>629</v>
      </c>
      <c r="D6" s="3186">
        <f t="shared" ref="D6:D8" ca="1" si="1">ROUND(B6*10000/$B$2,0)</f>
        <v>2018</v>
      </c>
      <c r="E6" s="3195"/>
      <c r="F6" s="3195"/>
      <c r="G6" s="3196"/>
      <c r="H6" s="3196"/>
      <c r="I6" s="3196"/>
      <c r="J6" s="3196"/>
    </row>
    <row r="7" spans="1:10" ht="16.5">
      <c r="A7" s="3186" t="s">
        <v>2832</v>
      </c>
      <c r="B7" s="3186">
        <f>SUM(H14:H23)</f>
        <v>0</v>
      </c>
      <c r="C7" s="3186">
        <f t="shared" si="0"/>
        <v>0</v>
      </c>
      <c r="D7" s="3186">
        <f t="shared" si="1"/>
        <v>0</v>
      </c>
      <c r="E7" s="3195"/>
      <c r="F7" s="3195"/>
      <c r="G7" s="3196"/>
      <c r="H7" s="3196"/>
      <c r="I7" s="3196"/>
      <c r="J7" s="3196"/>
    </row>
    <row r="8" spans="1:10" ht="16.5">
      <c r="A8" s="3186" t="s">
        <v>2833</v>
      </c>
      <c r="B8" s="3186">
        <f>SUM(I14:I23)</f>
        <v>0</v>
      </c>
      <c r="C8" s="3186">
        <f t="shared" si="0"/>
        <v>0</v>
      </c>
      <c r="D8" s="3186">
        <f t="shared" si="1"/>
        <v>0</v>
      </c>
      <c r="E8" s="3195"/>
      <c r="F8" s="3195"/>
      <c r="G8" s="3196"/>
      <c r="H8" s="3196"/>
      <c r="I8" s="3196"/>
      <c r="J8" s="3196"/>
    </row>
    <row r="9" spans="1:10" ht="16.5">
      <c r="A9" s="3186" t="s">
        <v>2834</v>
      </c>
      <c r="B9" s="3194"/>
      <c r="C9" s="3195"/>
      <c r="D9" s="3195"/>
      <c r="E9" s="3195"/>
      <c r="F9" s="3195"/>
      <c r="G9" s="3196"/>
      <c r="H9" s="3196"/>
      <c r="I9" s="3196"/>
      <c r="J9" s="3196"/>
    </row>
    <row r="10" spans="1:10" ht="16.5">
      <c r="A10" s="3186" t="s">
        <v>2835</v>
      </c>
      <c r="B10" s="3194"/>
      <c r="C10" s="3195"/>
      <c r="D10" s="3195"/>
      <c r="E10" s="3195"/>
      <c r="F10" s="3195"/>
      <c r="G10" s="3196"/>
      <c r="H10" s="3196"/>
      <c r="I10" s="3196"/>
      <c r="J10" s="3196"/>
    </row>
    <row r="11" spans="1:10" ht="16.5">
      <c r="A11" s="3186" t="s">
        <v>2852</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2851</v>
      </c>
      <c r="B13" s="3190" t="s">
        <v>2823</v>
      </c>
      <c r="C13" s="3190" t="s">
        <v>2824</v>
      </c>
      <c r="D13" s="3190" t="s">
        <v>2836</v>
      </c>
      <c r="E13" s="3186" t="s">
        <v>2850</v>
      </c>
      <c r="F13" s="3186" t="s">
        <v>2829</v>
      </c>
      <c r="G13" s="3190" t="s">
        <v>2837</v>
      </c>
      <c r="H13" s="3190" t="s">
        <v>2838</v>
      </c>
      <c r="I13" s="3190" t="s">
        <v>2839</v>
      </c>
      <c r="J13" s="3196"/>
    </row>
    <row r="14" spans="1:10" ht="16.5">
      <c r="A14" s="3191" t="s">
        <v>2849</v>
      </c>
      <c r="B14" s="3192">
        <f>结果表!L38</f>
        <v>219676.65000000002</v>
      </c>
      <c r="C14" s="3192">
        <f>结果表!K38</f>
        <v>55043.06</v>
      </c>
      <c r="D14" s="3192">
        <f ca="1">结果表!C42</f>
        <v>8800</v>
      </c>
      <c r="E14" s="3192">
        <f ca="1">ROUND(D14*10000/B14,0)</f>
        <v>401</v>
      </c>
      <c r="F14" s="3192">
        <f ca="1">ROUND(D14*10000/C14,0)</f>
        <v>1599</v>
      </c>
      <c r="G14" s="3192">
        <f ca="1">结果表!C44</f>
        <v>8800</v>
      </c>
      <c r="H14" s="3192" t="str">
        <f>结果表!C45</f>
        <v>——</v>
      </c>
      <c r="I14" s="3192" t="str">
        <f>结果表!C46</f>
        <v>——</v>
      </c>
      <c r="J14" s="3196"/>
    </row>
    <row r="15" spans="1:10" ht="16.5">
      <c r="A15" s="3191" t="s">
        <v>2840</v>
      </c>
      <c r="B15" s="3193">
        <f>[1]系统读取表!$B$14</f>
        <v>62874.12000000001</v>
      </c>
      <c r="C15" s="3193">
        <f>[1]系统读取表!$C$14</f>
        <v>16232.6</v>
      </c>
      <c r="D15" s="3193">
        <f ca="1">[1]系统读取表!$D$14</f>
        <v>3301</v>
      </c>
      <c r="E15" s="3192">
        <f t="shared" ref="E15:E23" ca="1" si="2">ROUND(D15*10000/B15,0)</f>
        <v>525</v>
      </c>
      <c r="F15" s="3192">
        <f t="shared" ref="F15:F23" ca="1" si="3">ROUND(D15*10000/C15,0)</f>
        <v>2034</v>
      </c>
      <c r="G15" s="2758">
        <f ca="1">[1]系统读取表!$G$14</f>
        <v>3301</v>
      </c>
      <c r="H15" s="2758"/>
      <c r="I15" s="3193"/>
      <c r="J15" s="3196"/>
    </row>
    <row r="16" spans="1:10" ht="16.5">
      <c r="A16" s="3191" t="s">
        <v>2841</v>
      </c>
      <c r="B16" s="3193">
        <f>[2]系统读取表!$B$14</f>
        <v>47205.270000000004</v>
      </c>
      <c r="C16" s="3193">
        <f>[2]系统读取表!$C$14</f>
        <v>31470.18</v>
      </c>
      <c r="D16" s="3193">
        <f ca="1">[2]系统读取表!$D$14</f>
        <v>8635</v>
      </c>
      <c r="E16" s="3192">
        <f t="shared" ca="1" si="2"/>
        <v>1829</v>
      </c>
      <c r="F16" s="3192">
        <f t="shared" ca="1" si="3"/>
        <v>2744</v>
      </c>
      <c r="G16" s="2758">
        <f ca="1">[2]系统读取表!$G$14</f>
        <v>8635</v>
      </c>
      <c r="H16" s="2758"/>
      <c r="I16" s="3193"/>
      <c r="J16" s="3196"/>
    </row>
    <row r="17" spans="1:10" ht="16.5">
      <c r="A17" s="3191" t="s">
        <v>2842</v>
      </c>
      <c r="B17" s="3193"/>
      <c r="C17" s="3193"/>
      <c r="D17" s="3193"/>
      <c r="E17" s="3192" t="e">
        <f t="shared" si="2"/>
        <v>#DIV/0!</v>
      </c>
      <c r="F17" s="3192" t="e">
        <f t="shared" si="3"/>
        <v>#DIV/0!</v>
      </c>
      <c r="G17" s="2758"/>
      <c r="H17" s="2758"/>
      <c r="I17" s="3193"/>
      <c r="J17" s="3196"/>
    </row>
    <row r="18" spans="1:10" ht="16.5">
      <c r="A18" s="3191" t="s">
        <v>2843</v>
      </c>
      <c r="B18" s="3193"/>
      <c r="C18" s="3193"/>
      <c r="D18" s="3193"/>
      <c r="E18" s="3192" t="e">
        <f t="shared" si="2"/>
        <v>#DIV/0!</v>
      </c>
      <c r="F18" s="3192" t="e">
        <f t="shared" si="3"/>
        <v>#DIV/0!</v>
      </c>
      <c r="G18" s="3193"/>
      <c r="H18" s="3193"/>
      <c r="I18" s="3193"/>
      <c r="J18" s="3196"/>
    </row>
    <row r="19" spans="1:10" ht="16.5">
      <c r="A19" s="3191" t="s">
        <v>2844</v>
      </c>
      <c r="B19" s="3193"/>
      <c r="C19" s="3193"/>
      <c r="D19" s="3193"/>
      <c r="E19" s="3192" t="e">
        <f t="shared" si="2"/>
        <v>#DIV/0!</v>
      </c>
      <c r="F19" s="3192" t="e">
        <f t="shared" si="3"/>
        <v>#DIV/0!</v>
      </c>
      <c r="G19" s="3193"/>
      <c r="H19" s="3193"/>
      <c r="I19" s="3193"/>
      <c r="J19" s="3196"/>
    </row>
    <row r="20" spans="1:10" ht="16.5">
      <c r="A20" s="3191" t="s">
        <v>2845</v>
      </c>
      <c r="B20" s="3193"/>
      <c r="C20" s="3193"/>
      <c r="D20" s="3193"/>
      <c r="E20" s="3192" t="e">
        <f t="shared" si="2"/>
        <v>#DIV/0!</v>
      </c>
      <c r="F20" s="3192" t="e">
        <f t="shared" si="3"/>
        <v>#DIV/0!</v>
      </c>
      <c r="G20" s="3193"/>
      <c r="H20" s="3193"/>
      <c r="I20" s="3193"/>
      <c r="J20" s="3196"/>
    </row>
    <row r="21" spans="1:10" ht="16.5">
      <c r="A21" s="3191" t="s">
        <v>2846</v>
      </c>
      <c r="B21" s="3193"/>
      <c r="C21" s="3193"/>
      <c r="D21" s="3193"/>
      <c r="E21" s="3192" t="e">
        <f t="shared" si="2"/>
        <v>#DIV/0!</v>
      </c>
      <c r="F21" s="3192" t="e">
        <f t="shared" si="3"/>
        <v>#DIV/0!</v>
      </c>
      <c r="G21" s="3193"/>
      <c r="H21" s="3193"/>
      <c r="I21" s="3193"/>
      <c r="J21" s="3196"/>
    </row>
    <row r="22" spans="1:10" ht="16.5">
      <c r="A22" s="3191" t="s">
        <v>2847</v>
      </c>
      <c r="B22" s="3193"/>
      <c r="C22" s="3193"/>
      <c r="D22" s="3193"/>
      <c r="E22" s="3192" t="e">
        <f t="shared" si="2"/>
        <v>#DIV/0!</v>
      </c>
      <c r="F22" s="3192" t="e">
        <f t="shared" si="3"/>
        <v>#DIV/0!</v>
      </c>
      <c r="G22" s="3193"/>
      <c r="H22" s="3193"/>
      <c r="I22" s="3193"/>
      <c r="J22" s="3196"/>
    </row>
    <row r="23" spans="1:10" ht="16.5">
      <c r="A23" s="3191" t="s">
        <v>2848</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7" zoomScaleNormal="100" zoomScaleSheetLayoutView="100" zoomScalePageLayoutView="80" workbookViewId="0">
      <selection activeCell="L38" sqref="L3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t="s">
        <v>3075</v>
      </c>
      <c r="G1" s="309"/>
      <c r="H1" s="309"/>
      <c r="I1" s="309"/>
      <c r="J1" s="1912"/>
      <c r="K1" s="1912"/>
      <c r="L1" s="1912"/>
      <c r="M1" s="1912"/>
      <c r="N1" s="1912"/>
      <c r="O1" s="1912"/>
      <c r="P1" s="1912"/>
      <c r="Q1" s="1912"/>
      <c r="R1" s="1912"/>
      <c r="S1" s="1912"/>
      <c r="T1" s="1912"/>
      <c r="U1" s="1912"/>
      <c r="V1" s="1912"/>
    </row>
    <row r="2" spans="1:22" ht="21.75" customHeight="1" thickBot="1">
      <c r="A2" s="3435" t="str">
        <f>项目基本情况!K2</f>
        <v>广西省柳州市柳东新区智和路以北L-14-34地块A地块出让国有建设用地使用权</v>
      </c>
      <c r="B2" s="3436"/>
      <c r="C2" s="3437"/>
      <c r="D2" s="3437"/>
      <c r="E2" s="3437"/>
      <c r="F2" s="3437"/>
      <c r="G2" s="3436"/>
      <c r="H2" s="3436"/>
      <c r="I2" s="3438"/>
      <c r="J2" s="1913"/>
      <c r="K2" s="1912"/>
      <c r="L2" s="1912"/>
      <c r="M2" s="1912"/>
      <c r="N2" s="1912"/>
      <c r="O2" s="1912"/>
      <c r="P2" s="1912"/>
      <c r="Q2" s="1912"/>
      <c r="R2" s="1912"/>
      <c r="S2" s="1912"/>
      <c r="T2" s="1912"/>
      <c r="U2" s="1912"/>
      <c r="V2" s="1912"/>
    </row>
    <row r="3" spans="1:22" ht="14.25">
      <c r="A3" s="3428" t="s">
        <v>298</v>
      </c>
      <c r="B3" s="3429"/>
      <c r="C3" s="3429"/>
      <c r="D3" s="3429"/>
      <c r="E3" s="3429"/>
      <c r="F3" s="3429"/>
      <c r="G3" s="3429"/>
      <c r="H3" s="3429"/>
      <c r="I3" s="3429"/>
      <c r="J3" s="1913"/>
      <c r="K3" s="1912"/>
      <c r="L3" s="1912"/>
      <c r="M3" s="1912"/>
      <c r="N3" s="1912"/>
      <c r="O3" s="1912"/>
      <c r="P3" s="1912"/>
      <c r="Q3" s="1912"/>
      <c r="R3" s="1912"/>
      <c r="S3" s="1912"/>
      <c r="T3" s="1912"/>
      <c r="U3" s="1912"/>
      <c r="V3" s="1912"/>
    </row>
    <row r="4" spans="1:22" ht="14.25">
      <c r="A4" s="256" t="s">
        <v>299</v>
      </c>
      <c r="B4" s="257" t="s">
        <v>300</v>
      </c>
      <c r="C4" s="258" t="s">
        <v>3074</v>
      </c>
      <c r="D4" s="258" t="s">
        <v>3074</v>
      </c>
      <c r="E4" s="3394" t="s">
        <v>301</v>
      </c>
      <c r="F4" s="3395"/>
      <c r="G4" s="3395"/>
      <c r="H4" s="3395"/>
      <c r="I4" s="3430"/>
      <c r="J4" s="1913"/>
      <c r="K4" s="1912"/>
      <c r="L4" s="3197"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93" t="s">
        <v>302</v>
      </c>
      <c r="B5" s="3422">
        <v>25</v>
      </c>
      <c r="C5" s="3420"/>
      <c r="D5" s="3424"/>
      <c r="E5" s="259" t="s">
        <v>303</v>
      </c>
      <c r="F5" s="260"/>
      <c r="G5" s="260"/>
      <c r="H5" s="260"/>
      <c r="I5" s="261"/>
      <c r="J5" s="1913"/>
      <c r="K5" s="1912"/>
      <c r="L5" s="1912"/>
      <c r="M5" s="1912"/>
      <c r="N5" s="1912"/>
      <c r="O5" s="1912"/>
      <c r="P5" s="1912"/>
      <c r="Q5" s="1912"/>
      <c r="R5" s="1912"/>
      <c r="S5" s="1912"/>
      <c r="T5" s="1912"/>
      <c r="U5" s="1912"/>
      <c r="V5" s="1912"/>
    </row>
    <row r="6" spans="1:22" ht="14.25">
      <c r="A6" s="3393"/>
      <c r="B6" s="3422"/>
      <c r="C6" s="3423"/>
      <c r="D6" s="3424"/>
      <c r="E6" s="259" t="s">
        <v>304</v>
      </c>
      <c r="F6" s="260"/>
      <c r="G6" s="260"/>
      <c r="H6" s="260"/>
      <c r="I6" s="261"/>
      <c r="J6" s="1913"/>
      <c r="K6" s="1912"/>
      <c r="L6" s="1912"/>
      <c r="M6" s="1912"/>
      <c r="N6" s="1912"/>
      <c r="O6" s="1912"/>
      <c r="P6" s="1912"/>
      <c r="Q6" s="1912"/>
      <c r="R6" s="1912"/>
      <c r="S6" s="1912"/>
      <c r="T6" s="1912"/>
      <c r="U6" s="1912"/>
      <c r="V6" s="1912"/>
    </row>
    <row r="7" spans="1:22" ht="14.25">
      <c r="A7" s="3393"/>
      <c r="B7" s="3422"/>
      <c r="C7" s="3421"/>
      <c r="D7" s="3424"/>
      <c r="E7" s="259" t="s">
        <v>305</v>
      </c>
      <c r="F7" s="260"/>
      <c r="G7" s="260"/>
      <c r="H7" s="260"/>
      <c r="I7" s="261"/>
      <c r="J7" s="1913"/>
      <c r="K7" s="1912"/>
      <c r="L7" s="1912"/>
      <c r="M7" s="1912"/>
      <c r="N7" s="1912"/>
      <c r="O7" s="1912"/>
      <c r="P7" s="1912"/>
      <c r="Q7" s="1912"/>
      <c r="R7" s="1912"/>
      <c r="S7" s="1912"/>
      <c r="T7" s="1912"/>
      <c r="U7" s="1912"/>
      <c r="V7" s="1912"/>
    </row>
    <row r="8" spans="1:22" ht="14.25">
      <c r="A8" s="3393" t="s">
        <v>306</v>
      </c>
      <c r="B8" s="3422">
        <v>15</v>
      </c>
      <c r="C8" s="3420"/>
      <c r="D8" s="3424"/>
      <c r="E8" s="259" t="s">
        <v>307</v>
      </c>
      <c r="F8" s="260"/>
      <c r="G8" s="260"/>
      <c r="H8" s="260"/>
      <c r="I8" s="261"/>
      <c r="J8" s="1913"/>
      <c r="K8" s="1912"/>
      <c r="L8" s="1912"/>
      <c r="M8" s="1912"/>
      <c r="N8" s="1912"/>
      <c r="O8" s="1912"/>
      <c r="P8" s="1912"/>
      <c r="Q8" s="1912"/>
      <c r="R8" s="1912"/>
      <c r="S8" s="1912"/>
      <c r="T8" s="1912"/>
      <c r="U8" s="1912"/>
      <c r="V8" s="1912"/>
    </row>
    <row r="9" spans="1:22" ht="14.25">
      <c r="A9" s="3393"/>
      <c r="B9" s="3422"/>
      <c r="C9" s="3421"/>
      <c r="D9" s="3424"/>
      <c r="E9" s="259" t="s">
        <v>308</v>
      </c>
      <c r="F9" s="260"/>
      <c r="G9" s="260"/>
      <c r="H9" s="260"/>
      <c r="I9" s="261"/>
      <c r="J9" s="1913"/>
      <c r="K9" s="1912"/>
      <c r="L9" s="1912"/>
      <c r="M9" s="1912"/>
      <c r="N9" s="1912"/>
      <c r="O9" s="1912"/>
      <c r="P9" s="1912"/>
      <c r="Q9" s="1912"/>
      <c r="R9" s="1912"/>
      <c r="S9" s="1912"/>
      <c r="T9" s="1912"/>
      <c r="U9" s="1912"/>
      <c r="V9" s="1912"/>
    </row>
    <row r="10" spans="1:22" ht="14.25">
      <c r="A10" s="3393" t="s">
        <v>309</v>
      </c>
      <c r="B10" s="3422">
        <v>15</v>
      </c>
      <c r="C10" s="3420"/>
      <c r="D10" s="3424"/>
      <c r="E10" s="259" t="s">
        <v>310</v>
      </c>
      <c r="F10" s="260"/>
      <c r="G10" s="260"/>
      <c r="H10" s="260"/>
      <c r="I10" s="261"/>
      <c r="J10" s="1913"/>
      <c r="K10" s="1912"/>
      <c r="L10" s="1912"/>
      <c r="M10" s="1912"/>
      <c r="N10" s="1912"/>
      <c r="O10" s="1912"/>
      <c r="P10" s="1912"/>
      <c r="Q10" s="1912"/>
      <c r="R10" s="1912"/>
      <c r="S10" s="1912"/>
      <c r="T10" s="1912"/>
      <c r="U10" s="1912"/>
      <c r="V10" s="1912"/>
    </row>
    <row r="11" spans="1:22" ht="14.25">
      <c r="A11" s="3393"/>
      <c r="B11" s="3422"/>
      <c r="C11" s="3421"/>
      <c r="D11" s="3424"/>
      <c r="E11" s="259" t="s">
        <v>311</v>
      </c>
      <c r="F11" s="260"/>
      <c r="G11" s="260"/>
      <c r="H11" s="260"/>
      <c r="I11" s="261"/>
      <c r="J11" s="1913"/>
      <c r="K11" s="1912"/>
      <c r="L11" s="1912"/>
      <c r="M11" s="1912"/>
      <c r="N11" s="1912"/>
      <c r="O11" s="1912"/>
      <c r="P11" s="1912"/>
      <c r="Q11" s="1912"/>
      <c r="R11" s="1912"/>
      <c r="S11" s="1912"/>
      <c r="T11" s="1912"/>
      <c r="U11" s="1912"/>
      <c r="V11" s="1912"/>
    </row>
    <row r="12" spans="1:22" ht="14.25">
      <c r="A12" s="3393" t="s">
        <v>312</v>
      </c>
      <c r="B12" s="3422">
        <v>15</v>
      </c>
      <c r="C12" s="3420"/>
      <c r="D12" s="3424"/>
      <c r="E12" s="259" t="s">
        <v>313</v>
      </c>
      <c r="F12" s="260"/>
      <c r="G12" s="260"/>
      <c r="H12" s="260"/>
      <c r="I12" s="261"/>
      <c r="J12" s="1913"/>
      <c r="K12" s="1912"/>
      <c r="L12" s="1912"/>
      <c r="M12" s="1912"/>
      <c r="N12" s="1912"/>
      <c r="O12" s="1912"/>
      <c r="P12" s="1912"/>
      <c r="Q12" s="1912"/>
      <c r="R12" s="1912"/>
      <c r="S12" s="1912"/>
      <c r="T12" s="1912"/>
      <c r="U12" s="1912"/>
      <c r="V12" s="1912"/>
    </row>
    <row r="13" spans="1:22" ht="14.25">
      <c r="A13" s="3393"/>
      <c r="B13" s="3422"/>
      <c r="C13" s="3421"/>
      <c r="D13" s="3424"/>
      <c r="E13" s="259" t="s">
        <v>314</v>
      </c>
      <c r="F13" s="260"/>
      <c r="G13" s="260"/>
      <c r="H13" s="260"/>
      <c r="I13" s="261"/>
      <c r="J13" s="1913"/>
      <c r="K13" s="1912"/>
      <c r="L13" s="1912"/>
      <c r="M13" s="1912"/>
      <c r="N13" s="1912"/>
      <c r="O13" s="1912"/>
      <c r="P13" s="1912"/>
      <c r="Q13" s="1912"/>
      <c r="R13" s="1912"/>
      <c r="S13" s="1912"/>
      <c r="T13" s="1912"/>
      <c r="U13" s="1912"/>
      <c r="V13" s="1912"/>
    </row>
    <row r="14" spans="1:22" ht="14.25">
      <c r="A14" s="3393" t="s">
        <v>315</v>
      </c>
      <c r="B14" s="3422">
        <v>30</v>
      </c>
      <c r="C14" s="3420">
        <v>5</v>
      </c>
      <c r="D14" s="3424">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93"/>
      <c r="B15" s="3422"/>
      <c r="C15" s="3423"/>
      <c r="D15" s="3424"/>
      <c r="E15" s="259" t="s">
        <v>317</v>
      </c>
      <c r="F15" s="260"/>
      <c r="G15" s="260"/>
      <c r="H15" s="260"/>
      <c r="I15" s="261"/>
      <c r="J15" s="1913"/>
      <c r="K15" s="1912"/>
      <c r="L15" s="1912"/>
      <c r="M15" s="1912"/>
      <c r="N15" s="1912"/>
      <c r="O15" s="1912"/>
      <c r="P15" s="1912"/>
      <c r="Q15" s="1912"/>
      <c r="R15" s="1912"/>
      <c r="S15" s="1912"/>
      <c r="T15" s="1912"/>
      <c r="U15" s="1912"/>
      <c r="V15" s="1912"/>
    </row>
    <row r="16" spans="1:22" ht="14.25">
      <c r="A16" s="3393"/>
      <c r="B16" s="3422"/>
      <c r="C16" s="3421"/>
      <c r="D16" s="3424"/>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25" t="s">
        <v>2964</v>
      </c>
      <c r="F18" s="3426"/>
      <c r="G18" s="3426"/>
      <c r="H18" s="3426"/>
      <c r="I18" s="3426"/>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8800</v>
      </c>
      <c r="D19" s="269">
        <f ca="1">SUMIF(INDIRECT("'"&amp;D4&amp;"'"&amp;"!A:A"),结果表!B19,INDIRECT("'"&amp;D4&amp;"'"&amp;"!B:B"))</f>
        <v>8800</v>
      </c>
      <c r="E19" s="266" t="s">
        <v>323</v>
      </c>
      <c r="F19" s="267" t="s">
        <v>322</v>
      </c>
      <c r="G19" s="270">
        <f ca="1">ROUND(C19*$C$18+D19*$D$18,0)</f>
        <v>8800</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401</v>
      </c>
      <c r="D20" s="275">
        <f ca="1">SUMIF(INDIRECT("'"&amp;D4&amp;"'"&amp;"!A:A"),结果表!B20,INDIRECT("'"&amp;D4&amp;"'"&amp;"!B:B"))</f>
        <v>401</v>
      </c>
      <c r="E20" s="272"/>
      <c r="F20" s="273" t="s">
        <v>325</v>
      </c>
      <c r="G20" s="276">
        <f ca="1">ROUND(C20*$C$18+D20*$D$18,0)</f>
        <v>401</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1599</v>
      </c>
      <c r="D21" s="149">
        <f ca="1">SUMIF(INDIRECT("'"&amp;D4&amp;"'"&amp;"!A:A"),结果表!B21,INDIRECT("'"&amp;D4&amp;"'"&amp;"!B:B"))</f>
        <v>1599</v>
      </c>
      <c r="E21" s="272"/>
      <c r="F21" s="278" t="s">
        <v>327</v>
      </c>
      <c r="G21" s="280">
        <f ca="1">ROUND(C21*$C$18+D21*$D$18,0)</f>
        <v>1599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v>
      </c>
      <c r="E22" s="282"/>
      <c r="F22" s="283"/>
      <c r="G22" s="284">
        <f ca="1">ROUND(G19/('数据-汇总表'!D3/666.67),0)</f>
        <v>107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9"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00"/>
      <c r="B25" s="1275" t="s">
        <v>331</v>
      </c>
      <c r="C25" s="288">
        <f>IF(B30=0,0,C30)</f>
        <v>0</v>
      </c>
      <c r="D25" s="289"/>
      <c r="E25" s="309"/>
      <c r="F25" s="309"/>
      <c r="G25" s="309"/>
      <c r="H25" s="309"/>
      <c r="I25" s="309"/>
      <c r="J25" s="1912"/>
      <c r="K25" s="1209" t="str">
        <f ca="1">项目基本情况!B16&amp;"国有建设用地使用权价格："&amp;O38&amp;"万元"</f>
        <v>出让国有建设用地使用权价格：8800万元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大写金额：人民币捌仟捌佰万元整</v>
      </c>
      <c r="L26" s="1206"/>
      <c r="M26" s="1206"/>
      <c r="N26" s="1206"/>
      <c r="O26" s="1205"/>
      <c r="P26" s="1912"/>
      <c r="Q26" s="1912"/>
      <c r="R26" s="1912"/>
      <c r="S26" s="1912"/>
      <c r="T26" s="1912"/>
      <c r="U26" s="1912"/>
      <c r="V26" s="1912"/>
      <c r="W26" s="290"/>
      <c r="X26" s="290"/>
      <c r="Y26" s="290"/>
      <c r="Z26" s="290"/>
    </row>
    <row r="27" spans="1:26" ht="18">
      <c r="A27" s="291"/>
      <c r="B27" s="292"/>
      <c r="C27" s="292"/>
      <c r="D27" s="293">
        <f ca="1">D19/'数据-汇总表'!F31*10000</f>
        <v>586.83352299837259</v>
      </c>
      <c r="E27" s="309"/>
      <c r="F27" s="309"/>
      <c r="G27" s="309"/>
      <c r="H27" s="309"/>
      <c r="I27" s="309"/>
      <c r="J27" s="1912"/>
      <c r="K27" s="1212" t="str">
        <f ca="1">"单位面积地价："&amp;M38&amp;"元/平方米"</f>
        <v>单位面积地价：1599元/平方米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楼面地价：401元/平方米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抵押价格：8800万元</v>
      </c>
      <c r="L29" s="1206"/>
      <c r="M29" s="1206"/>
      <c r="N29" s="1206"/>
      <c r="O29" s="1205"/>
      <c r="P29" s="1912"/>
      <c r="V29" s="1912"/>
    </row>
    <row r="30" spans="1:26" ht="18.75" thickBot="1">
      <c r="A30" s="2801" t="s">
        <v>336</v>
      </c>
      <c r="B30" s="307"/>
      <c r="C30" s="307"/>
      <c r="D30" s="308"/>
      <c r="E30" s="3004" t="s">
        <v>2965</v>
      </c>
      <c r="F30" s="309"/>
      <c r="G30" s="309"/>
      <c r="H30" s="309"/>
      <c r="I30" s="309"/>
      <c r="J30" s="1912"/>
      <c r="K30" s="1212" t="str">
        <f ca="1">IF(K29="——","——","大写金额：人民币"&amp;NUMBERSTRING(INT(O39*10000),2)&amp;"元整")</f>
        <v>大写金额：人民币捌仟捌佰万元整</v>
      </c>
      <c r="L30" s="1206"/>
      <c r="M30" s="1206"/>
      <c r="N30" s="1206"/>
      <c r="O30" s="1205"/>
      <c r="P30" s="1912"/>
      <c r="V30" s="1912"/>
    </row>
    <row r="31" spans="1:26" ht="24" customHeight="1" thickBot="1">
      <c r="A31" s="3427" t="s">
        <v>2966</v>
      </c>
      <c r="B31" s="3427"/>
      <c r="C31" s="3427"/>
      <c r="D31" s="3427"/>
      <c r="E31" s="3427"/>
      <c r="F31" s="3427"/>
      <c r="G31" s="3427"/>
      <c r="H31" s="3427"/>
      <c r="I31" s="3427"/>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8800</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401</v>
      </c>
      <c r="D33" s="1334" t="s">
        <v>1682</v>
      </c>
      <c r="E33" s="3399"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1599</v>
      </c>
      <c r="D34" s="1336" t="s">
        <v>1682</v>
      </c>
      <c r="E34" s="3443"/>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107</v>
      </c>
      <c r="D35" s="1339" t="s">
        <v>1684</v>
      </c>
      <c r="E35" s="3444"/>
      <c r="F35" s="299" t="s">
        <v>342</v>
      </c>
      <c r="G35" s="970"/>
      <c r="H35" s="969" t="s">
        <v>343</v>
      </c>
      <c r="I35" s="309"/>
      <c r="J35" s="1912"/>
      <c r="K35" s="3417" t="s">
        <v>350</v>
      </c>
      <c r="L35" s="3417" t="s">
        <v>351</v>
      </c>
      <c r="M35" s="1218" t="s">
        <v>352</v>
      </c>
      <c r="N35" s="3417" t="s">
        <v>353</v>
      </c>
      <c r="O35" s="3417" t="s">
        <v>354</v>
      </c>
      <c r="P35" s="1912"/>
      <c r="V35" s="1912"/>
    </row>
    <row r="36" spans="1:26" ht="16.5" customHeight="1">
      <c r="A36" s="301" t="s">
        <v>344</v>
      </c>
      <c r="B36" s="302" t="s">
        <v>333</v>
      </c>
      <c r="C36" s="303" t="s">
        <v>345</v>
      </c>
      <c r="D36" s="303" t="s">
        <v>346</v>
      </c>
      <c r="E36" s="304" t="s">
        <v>347</v>
      </c>
      <c r="F36" s="309"/>
      <c r="G36" s="309"/>
      <c r="H36" s="309"/>
      <c r="I36" s="309"/>
      <c r="J36" s="1914"/>
      <c r="K36" s="3418"/>
      <c r="L36" s="3418"/>
      <c r="M36" s="1220" t="s">
        <v>355</v>
      </c>
      <c r="N36" s="3418"/>
      <c r="O36" s="3418"/>
      <c r="P36" s="1912"/>
      <c r="V36" s="1912"/>
    </row>
    <row r="37" spans="1:26" ht="16.5" customHeight="1" thickBot="1">
      <c r="A37" s="1214" t="s">
        <v>348</v>
      </c>
      <c r="B37" s="305"/>
      <c r="C37" s="292"/>
      <c r="D37" s="292"/>
      <c r="E37" s="293"/>
      <c r="F37" s="309"/>
      <c r="G37" s="309"/>
      <c r="H37" s="309"/>
      <c r="I37" s="309"/>
      <c r="J37" s="1914"/>
      <c r="K37" s="3419"/>
      <c r="L37" s="3419"/>
      <c r="M37" s="1221"/>
      <c r="N37" s="3419"/>
      <c r="O37" s="3419"/>
      <c r="P37" s="1912"/>
      <c r="V37" s="1912"/>
    </row>
    <row r="38" spans="1:26" ht="16.5" customHeight="1" thickBot="1">
      <c r="A38" s="1214" t="s">
        <v>349</v>
      </c>
      <c r="B38" s="305"/>
      <c r="C38" s="292"/>
      <c r="D38" s="292"/>
      <c r="E38" s="293"/>
      <c r="F38" s="309"/>
      <c r="G38" s="309"/>
      <c r="H38" s="309"/>
      <c r="I38" s="309"/>
      <c r="J38" s="1914"/>
      <c r="K38" s="1222">
        <f>'数据-汇总表'!D3</f>
        <v>55043.06</v>
      </c>
      <c r="L38" s="1223">
        <f>'数据-汇总表'!E3</f>
        <v>219676.65000000002</v>
      </c>
      <c r="M38" s="1223">
        <f ca="1">C34</f>
        <v>1599</v>
      </c>
      <c r="N38" s="1223">
        <f ca="1">C33</f>
        <v>401</v>
      </c>
      <c r="O38" s="1224">
        <f ca="1">C32</f>
        <v>8800</v>
      </c>
      <c r="P38" s="1912"/>
      <c r="V38" s="1912"/>
    </row>
    <row r="39" spans="1:26" ht="16.5" customHeight="1" thickBot="1">
      <c r="A39" s="1219"/>
      <c r="B39" s="306"/>
      <c r="C39" s="307"/>
      <c r="D39" s="307"/>
      <c r="E39" s="308"/>
      <c r="F39" s="309"/>
      <c r="G39" s="309"/>
      <c r="H39" s="309"/>
      <c r="I39" s="309"/>
      <c r="J39" s="1914"/>
      <c r="K39" s="3457" t="str">
        <f>MID(A44,3,LEN(A44)-2)</f>
        <v>抵押价格</v>
      </c>
      <c r="L39" s="3458"/>
      <c r="M39" s="3458"/>
      <c r="N39" s="3459"/>
      <c r="O39" s="1341">
        <f ca="1">C44</f>
        <v>8800</v>
      </c>
      <c r="P39" s="1912"/>
      <c r="V39" s="1912"/>
    </row>
    <row r="40" spans="1:26" ht="19.5" thickBot="1">
      <c r="A40" s="104" t="s">
        <v>864</v>
      </c>
      <c r="B40" s="309"/>
      <c r="C40" s="309"/>
      <c r="D40" s="309"/>
      <c r="E40" s="309"/>
      <c r="F40" s="309"/>
      <c r="G40" s="309"/>
      <c r="H40" s="309"/>
      <c r="I40" s="309"/>
      <c r="J40" s="1914"/>
      <c r="K40" s="3457" t="str">
        <f t="shared" ref="K40:K41" si="0">MID(A45,3,LEN(A45)-2)</f>
        <v/>
      </c>
      <c r="L40" s="3458"/>
      <c r="M40" s="3458"/>
      <c r="N40" s="3459"/>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7" t="str">
        <f t="shared" si="0"/>
        <v/>
      </c>
      <c r="L41" s="3458"/>
      <c r="M41" s="3458"/>
      <c r="N41" s="3459"/>
      <c r="O41" s="1341" t="str">
        <f>C46</f>
        <v>——</v>
      </c>
      <c r="P41" s="1912"/>
      <c r="V41" s="1912"/>
    </row>
    <row r="42" spans="1:26" ht="29.25">
      <c r="A42" s="3401" t="s">
        <v>2056</v>
      </c>
      <c r="B42" s="3402"/>
      <c r="C42" s="262">
        <f ca="1">C32</f>
        <v>8800</v>
      </c>
      <c r="D42" s="315">
        <f ca="1">C33</f>
        <v>401</v>
      </c>
      <c r="E42" s="315">
        <f ca="1">C34</f>
        <v>1599</v>
      </c>
      <c r="F42" s="316">
        <f ca="1">C35</f>
        <v>107</v>
      </c>
      <c r="G42" s="309"/>
      <c r="H42" s="309"/>
      <c r="I42" s="317"/>
      <c r="J42" s="1914"/>
      <c r="K42" s="1225" t="s">
        <v>361</v>
      </c>
      <c r="L42" s="1931" t="s">
        <v>362</v>
      </c>
      <c r="M42" s="1226" t="s">
        <v>363</v>
      </c>
      <c r="N42" s="1932" t="s">
        <v>364</v>
      </c>
      <c r="O42" s="1933" t="s">
        <v>365</v>
      </c>
      <c r="P42" s="1912"/>
      <c r="V42" s="1912"/>
    </row>
    <row r="43" spans="1:26" ht="30">
      <c r="A43" s="3412" t="s">
        <v>2710</v>
      </c>
      <c r="B43" s="3413"/>
      <c r="C43" s="262">
        <f>IF(H33="正常操作",G33+G34+G35,G34+G35)</f>
        <v>0</v>
      </c>
      <c r="D43" s="315" t="s">
        <v>43</v>
      </c>
      <c r="E43" s="315" t="s">
        <v>44</v>
      </c>
      <c r="F43" s="316" t="s">
        <v>44</v>
      </c>
      <c r="G43" s="2584" t="s">
        <v>943</v>
      </c>
      <c r="H43" s="309"/>
      <c r="I43" s="317"/>
      <c r="J43" s="1914"/>
      <c r="K43" s="1227" t="str">
        <f>C4</f>
        <v>剩余法-待开发</v>
      </c>
      <c r="L43" s="1228">
        <f ca="1">IF(L42="估价结果/万元",C19,C20)</f>
        <v>8800</v>
      </c>
      <c r="M43" s="1229">
        <f>C18</f>
        <v>0.5</v>
      </c>
      <c r="N43" s="1230">
        <f ca="1">IF(N42="测算结果/万元",G19,G20)</f>
        <v>8800</v>
      </c>
      <c r="O43" s="1231">
        <f ca="1">IF(O42="最终结果/万元",C32,C33)</f>
        <v>8800</v>
      </c>
      <c r="P43" s="1912"/>
      <c r="V43" s="1912"/>
    </row>
    <row r="44" spans="1:26" ht="30.75" thickBot="1">
      <c r="A44" s="3401" t="str">
        <f>IF(OR(项目基本情况!E8="抵押价格",项目基本情况!E8="已注销及未注销"),"3.抵押价格","——")</f>
        <v>3.抵押价格</v>
      </c>
      <c r="B44" s="3402"/>
      <c r="C44" s="262">
        <f ca="1">IF(A44="——","——",C42-C43)</f>
        <v>8800</v>
      </c>
      <c r="D44" s="315">
        <f ca="1">ROUND(C44*10000/'数据-汇总表'!E3,0)</f>
        <v>401</v>
      </c>
      <c r="E44" s="315">
        <f ca="1">ROUND(C44*10000/'数据-汇总表'!D3,0)</f>
        <v>1599</v>
      </c>
      <c r="F44" s="316">
        <f ca="1">ROUND(C44/('数据-汇总表'!D3/666.67),0)</f>
        <v>107</v>
      </c>
      <c r="G44" s="309"/>
      <c r="H44" s="309"/>
      <c r="I44" s="317"/>
      <c r="J44" s="1914"/>
      <c r="K44" s="1232" t="str">
        <f>D4</f>
        <v>剩余法-待开发</v>
      </c>
      <c r="L44" s="1233">
        <f ca="1">IF(L42="估价结果/万元",D19,D20)</f>
        <v>8800</v>
      </c>
      <c r="M44" s="1234">
        <f>D18</f>
        <v>0.5</v>
      </c>
      <c r="N44" s="1235"/>
      <c r="O44" s="1236"/>
      <c r="P44" s="1912"/>
      <c r="V44" s="1912"/>
    </row>
    <row r="45" spans="1:26" ht="15">
      <c r="A45" s="3407" t="str">
        <f>IF(项目基本情况!E8="已注销及未注销","4.抵押担保权已注销时的抵押价格",IF(项目基本情况!E8="已注销","3.抵押担保权已注销时的抵押价格","——"))</f>
        <v>——</v>
      </c>
      <c r="B45" s="3408"/>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03" t="str">
        <f>IF(项目基本情况!E9="抵押净值",IF(A45="——","4.抵押净值","5.抵押净值"),"——")</f>
        <v>——</v>
      </c>
      <c r="B46" s="3404"/>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51" t="s">
        <v>374</v>
      </c>
      <c r="B63" s="3452"/>
      <c r="C63" s="3453"/>
      <c r="D63" s="339">
        <f ca="1">ROUND(C42*F63,0)</f>
        <v>8800</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09" t="s">
        <v>378</v>
      </c>
      <c r="B64" s="3410"/>
      <c r="C64" s="3410"/>
      <c r="D64" s="3410"/>
      <c r="E64" s="3410"/>
      <c r="F64" s="3410"/>
      <c r="G64" s="3411"/>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05" t="s">
        <v>386</v>
      </c>
      <c r="B66" s="3406"/>
      <c r="C66" s="3406"/>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466" t="s">
        <v>385</v>
      </c>
      <c r="M66" s="3467"/>
      <c r="N66" s="2313"/>
      <c r="O66" s="2314"/>
      <c r="P66" s="2315"/>
      <c r="Q66" s="1912"/>
      <c r="R66" s="1912"/>
      <c r="S66" s="1912"/>
      <c r="T66" s="1912"/>
      <c r="U66" s="1912"/>
      <c r="V66" s="1912"/>
    </row>
    <row r="67" spans="1:22" ht="25.5" customHeight="1">
      <c r="A67" s="350" t="s">
        <v>389</v>
      </c>
      <c r="B67" s="3396" t="s">
        <v>390</v>
      </c>
      <c r="C67" s="3396"/>
      <c r="D67" s="351">
        <v>0</v>
      </c>
      <c r="E67" s="41" t="s">
        <v>391</v>
      </c>
      <c r="F67" s="62" t="s">
        <v>21</v>
      </c>
      <c r="G67" s="3454"/>
      <c r="H67" s="3007" t="s">
        <v>2967</v>
      </c>
      <c r="I67" s="3009"/>
      <c r="J67" s="1919"/>
      <c r="K67" s="1891">
        <v>2</v>
      </c>
      <c r="L67" s="3460" t="s">
        <v>388</v>
      </c>
      <c r="M67" s="3460"/>
      <c r="N67" s="1279">
        <f>'数据-取费表'!B2</f>
        <v>44250</v>
      </c>
      <c r="O67" s="1279"/>
      <c r="P67" s="1279"/>
      <c r="Q67" s="1912"/>
      <c r="R67" s="1912"/>
      <c r="S67" s="1912"/>
      <c r="T67" s="1912"/>
      <c r="U67" s="1912"/>
      <c r="V67" s="1912"/>
    </row>
    <row r="68" spans="1:22" ht="25.5" customHeight="1">
      <c r="A68" s="352"/>
      <c r="B68" s="3396" t="s">
        <v>393</v>
      </c>
      <c r="C68" s="3396"/>
      <c r="D68" s="353"/>
      <c r="E68" s="77"/>
      <c r="F68" s="354"/>
      <c r="G68" s="3455"/>
      <c r="H68" s="3008" t="s">
        <v>2968</v>
      </c>
      <c r="I68" s="3009"/>
      <c r="J68" s="1919"/>
      <c r="K68" s="1891">
        <v>3</v>
      </c>
      <c r="L68" s="3460" t="s">
        <v>392</v>
      </c>
      <c r="M68" s="3460"/>
      <c r="N68" s="1247">
        <f ca="1">C42</f>
        <v>8800</v>
      </c>
      <c r="O68" s="1247"/>
      <c r="P68" s="1247"/>
      <c r="Q68" s="1912"/>
      <c r="R68" s="1912"/>
      <c r="S68" s="1912"/>
      <c r="T68" s="1912"/>
      <c r="U68" s="1912"/>
      <c r="V68" s="1912"/>
    </row>
    <row r="69" spans="1:22" ht="23.45" customHeight="1">
      <c r="A69" s="355"/>
      <c r="B69" s="3396" t="s">
        <v>394</v>
      </c>
      <c r="C69" s="3396"/>
      <c r="D69" s="356"/>
      <c r="E69" s="73"/>
      <c r="F69" s="354"/>
      <c r="G69" s="3456"/>
      <c r="H69" s="3008" t="s">
        <v>2969</v>
      </c>
      <c r="I69" s="3009"/>
      <c r="J69" s="1919"/>
      <c r="K69" s="1248">
        <v>4</v>
      </c>
      <c r="L69" s="3470" t="s">
        <v>2862</v>
      </c>
      <c r="M69" s="3471"/>
      <c r="N69" s="1249">
        <f ca="1">C44</f>
        <v>8800</v>
      </c>
      <c r="O69" s="1249"/>
      <c r="P69" s="1249"/>
      <c r="Q69" s="1912"/>
      <c r="R69" s="1912"/>
      <c r="S69" s="1912"/>
      <c r="T69" s="1912"/>
      <c r="U69" s="1912"/>
      <c r="V69" s="1912"/>
    </row>
    <row r="70" spans="1:22" ht="24" customHeight="1">
      <c r="A70" s="357" t="s">
        <v>395</v>
      </c>
      <c r="B70" s="3396" t="s">
        <v>396</v>
      </c>
      <c r="C70" s="3396"/>
      <c r="D70" s="356">
        <f ca="1">ROUND(D63*'数据-取费表'!B41/(1+'数据-取费表'!C42),0)</f>
        <v>469</v>
      </c>
      <c r="E70" s="17" t="s">
        <v>397</v>
      </c>
      <c r="F70" s="358">
        <f>'数据-取费表'!B41</f>
        <v>5.6000000000000001E-2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397" t="s">
        <v>2998</v>
      </c>
      <c r="C71" s="3398"/>
      <c r="D71" s="356">
        <f ca="1">ROUND(D63*'数据-取费表'!B41/(1+'数据-取费表'!C42),0)</f>
        <v>469</v>
      </c>
      <c r="E71" s="17" t="s">
        <v>397</v>
      </c>
      <c r="F71" s="358">
        <f>'数据-取费表'!B41</f>
        <v>5.6000000000000001E-2</v>
      </c>
      <c r="G71" s="359"/>
      <c r="H71" s="309"/>
      <c r="I71" s="1246"/>
      <c r="J71" s="1919"/>
      <c r="K71" s="2765" t="s">
        <v>398</v>
      </c>
      <c r="L71" s="3472" t="s">
        <v>399</v>
      </c>
      <c r="M71" s="3472"/>
      <c r="N71" s="2765" t="s">
        <v>400</v>
      </c>
      <c r="O71" s="2765" t="s">
        <v>401</v>
      </c>
      <c r="P71" s="2765" t="s">
        <v>402</v>
      </c>
      <c r="Q71" s="1912"/>
      <c r="R71" s="1912"/>
      <c r="S71" s="1912"/>
      <c r="T71" s="1912"/>
      <c r="U71" s="1912"/>
      <c r="V71" s="1912"/>
    </row>
    <row r="72" spans="1:22" ht="12" customHeight="1">
      <c r="A72" s="357" t="s">
        <v>405</v>
      </c>
      <c r="B72" s="3397" t="s">
        <v>2999</v>
      </c>
      <c r="C72" s="3398"/>
      <c r="D72" s="356">
        <f ca="1">C86</f>
        <v>469</v>
      </c>
      <c r="E72" s="73" t="s">
        <v>406</v>
      </c>
      <c r="F72" s="358">
        <f>'数据-取费表'!B41</f>
        <v>5.6000000000000001E-2</v>
      </c>
      <c r="G72" s="359"/>
      <c r="H72" s="1252"/>
      <c r="I72" s="1246"/>
      <c r="J72" s="1919"/>
      <c r="K72" s="1891">
        <v>1</v>
      </c>
      <c r="L72" s="3447" t="s">
        <v>404</v>
      </c>
      <c r="M72" s="3447"/>
      <c r="N72" s="1250" t="b">
        <f>D66</f>
        <v>0</v>
      </c>
      <c r="O72" s="1774" t="str">
        <f>E66</f>
        <v>销售额×税（费）率</v>
      </c>
      <c r="P72" s="1251">
        <f>F66</f>
        <v>5.6000000000000001E-2</v>
      </c>
      <c r="Q72" s="1912"/>
      <c r="R72" s="1912"/>
      <c r="S72" s="1912"/>
      <c r="T72" s="1912"/>
      <c r="U72" s="1912"/>
      <c r="V72" s="1912"/>
    </row>
    <row r="73" spans="1:22" ht="24" customHeight="1">
      <c r="A73" s="3442" t="s">
        <v>408</v>
      </c>
      <c r="B73" s="3406"/>
      <c r="C73" s="3406"/>
      <c r="D73" s="360">
        <f ca="1">IF(H73="个人住宅",0,ROUND(D63*I73,0))</f>
        <v>4</v>
      </c>
      <c r="E73" s="17" t="s">
        <v>409</v>
      </c>
      <c r="F73" s="358" t="str">
        <f>IF(H73="正常",I73,"免征")</f>
        <v>免征</v>
      </c>
      <c r="G73" s="359"/>
      <c r="H73" s="189"/>
      <c r="I73" s="358">
        <f>'数据-取费表'!B49</f>
        <v>5.0000000000000001E-4</v>
      </c>
      <c r="J73" s="1919"/>
      <c r="K73" s="1891">
        <v>2</v>
      </c>
      <c r="L73" s="3447" t="s">
        <v>407</v>
      </c>
      <c r="M73" s="3447"/>
      <c r="N73" s="1250">
        <f t="shared" ref="N73:P74" ca="1" si="1">D73</f>
        <v>4</v>
      </c>
      <c r="O73" s="1774" t="str">
        <f t="shared" si="1"/>
        <v>销售额×税（费）率</v>
      </c>
      <c r="P73" s="1251" t="str">
        <f t="shared" si="1"/>
        <v>免征</v>
      </c>
      <c r="Q73" s="1912"/>
      <c r="R73" s="1912"/>
      <c r="S73" s="1912"/>
      <c r="T73" s="1912"/>
      <c r="U73" s="1912"/>
      <c r="V73" s="1912"/>
    </row>
    <row r="74" spans="1:22" ht="24.75">
      <c r="A74" s="3442" t="s">
        <v>411</v>
      </c>
      <c r="B74" s="3406"/>
      <c r="C74" s="3406"/>
      <c r="D74" s="360">
        <f ca="1">IF(H74="个人住宅",D75,D76)</f>
        <v>4981</v>
      </c>
      <c r="E74" s="17" t="s">
        <v>412</v>
      </c>
      <c r="F74" s="358" t="str">
        <f>IF(H74="正常",F76,"免征")</f>
        <v>免征</v>
      </c>
      <c r="G74" s="971" t="s">
        <v>413</v>
      </c>
      <c r="H74" s="361"/>
      <c r="I74" s="42"/>
      <c r="J74" s="1919"/>
      <c r="K74" s="1891">
        <v>3</v>
      </c>
      <c r="L74" s="3447" t="s">
        <v>410</v>
      </c>
      <c r="M74" s="3447"/>
      <c r="N74" s="1250">
        <f t="shared" ca="1" si="1"/>
        <v>4981</v>
      </c>
      <c r="O74" s="1774" t="str">
        <f t="shared" si="1"/>
        <v>增值额×税（费）率</v>
      </c>
      <c r="P74" s="1253" t="str">
        <f t="shared" si="1"/>
        <v>免征</v>
      </c>
      <c r="Q74" s="1912"/>
      <c r="R74" s="1912"/>
      <c r="S74" s="1912"/>
      <c r="T74" s="1912"/>
      <c r="U74" s="1912"/>
      <c r="V74" s="1912"/>
    </row>
    <row r="75" spans="1:22" ht="12.75">
      <c r="A75" s="357" t="s">
        <v>414</v>
      </c>
      <c r="B75" s="3394" t="s">
        <v>415</v>
      </c>
      <c r="C75" s="3430"/>
      <c r="D75" s="362">
        <v>0</v>
      </c>
      <c r="E75" s="41" t="s">
        <v>416</v>
      </c>
      <c r="F75" s="363"/>
      <c r="G75" s="359"/>
      <c r="H75" s="42"/>
      <c r="I75" s="42"/>
      <c r="J75" s="1919"/>
      <c r="K75" s="2759">
        <f>IF(H77="非个人房产","",4)</f>
        <v>4</v>
      </c>
      <c r="L75" s="3447" t="str">
        <f>IF(H77="非个人房产","——","个人所得税")</f>
        <v>个人所得税</v>
      </c>
      <c r="M75" s="3447"/>
      <c r="N75" s="1254">
        <f>D77</f>
        <v>0</v>
      </c>
      <c r="O75" s="1787" t="str">
        <f>E77</f>
        <v>差额计税</v>
      </c>
      <c r="P75" s="1255">
        <f>F77</f>
        <v>0.01</v>
      </c>
      <c r="Q75" s="1912"/>
      <c r="R75" s="1912"/>
      <c r="S75" s="1912"/>
      <c r="T75" s="1912"/>
      <c r="U75" s="1912"/>
      <c r="V75" s="1912"/>
    </row>
    <row r="76" spans="1:22" ht="24.75">
      <c r="A76" s="357" t="s">
        <v>395</v>
      </c>
      <c r="B76" s="3394" t="s">
        <v>418</v>
      </c>
      <c r="C76" s="3395"/>
      <c r="D76" s="360">
        <f ca="1">IF(H76="转让取得",C99,C115)</f>
        <v>4981</v>
      </c>
      <c r="E76" s="17" t="s">
        <v>419</v>
      </c>
      <c r="F76" s="53" t="s">
        <v>21</v>
      </c>
      <c r="G76" s="359"/>
      <c r="H76" s="361"/>
      <c r="I76" s="42"/>
      <c r="J76" s="1919"/>
      <c r="K76" s="2759" t="str">
        <f>IF(项目基本情况!K6="上海银行",IF(K75="",4,K75+1),"")</f>
        <v/>
      </c>
      <c r="L76" s="3462" t="str">
        <f>IF(项目基本情况!K6="上海银行","其他处置费用","")</f>
        <v/>
      </c>
      <c r="M76" s="3463"/>
      <c r="N76" s="1250" t="str">
        <f>IF(项目基本情况!K6="上海银行",N89,"")</f>
        <v/>
      </c>
      <c r="O76" s="3464" t="str">
        <f>IF(项目基本情况!K6="上海银行","包含处置中涉及的律师、诉讼、拍卖、评估等费用","")</f>
        <v/>
      </c>
      <c r="P76" s="3465"/>
      <c r="Q76" s="1912"/>
      <c r="R76" s="1912"/>
      <c r="S76" s="1912"/>
      <c r="T76" s="1912"/>
      <c r="U76" s="1912"/>
      <c r="V76" s="1912"/>
    </row>
    <row r="77" spans="1:22" ht="24.75" thickBot="1">
      <c r="A77" s="3449" t="s">
        <v>421</v>
      </c>
      <c r="B77" s="3450"/>
      <c r="C77" s="3450"/>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2970</v>
      </c>
      <c r="J77" s="1919"/>
      <c r="K77" s="3448">
        <f>IF(AND(K75="",K76=""),4,IF(项目基本情况!K6="上海银行",K76+1,K75+1))</f>
        <v>5</v>
      </c>
      <c r="L77" s="3447" t="s">
        <v>2863</v>
      </c>
      <c r="M77" s="2764" t="s">
        <v>417</v>
      </c>
      <c r="N77" s="1256"/>
      <c r="O77" s="1257">
        <f ca="1">SUMIF(N72:N76,"&lt;9e307")</f>
        <v>4985</v>
      </c>
      <c r="P77" s="1258"/>
      <c r="Q77" s="2762">
        <f ca="1">O77/N69</f>
        <v>0.56647727272727277</v>
      </c>
      <c r="R77" s="1912"/>
      <c r="S77" s="1912"/>
      <c r="T77" s="1912"/>
      <c r="U77" s="1912"/>
      <c r="V77" s="1912"/>
    </row>
    <row r="78" spans="1:22" ht="12" customHeight="1">
      <c r="A78" s="1259"/>
      <c r="B78" s="309"/>
      <c r="C78" s="309"/>
      <c r="D78" s="309"/>
      <c r="E78" s="42"/>
      <c r="F78" s="42"/>
      <c r="G78" s="42"/>
      <c r="H78" s="991"/>
      <c r="I78" s="309"/>
      <c r="J78" s="1919"/>
      <c r="K78" s="3448"/>
      <c r="L78" s="3447"/>
      <c r="M78" s="2764" t="s">
        <v>420</v>
      </c>
      <c r="N78" s="1256"/>
      <c r="O78" s="1257" t="str">
        <f ca="1">NUMBERSTRING(INT(O77*10000),2)&amp;"元整"</f>
        <v>肆仟玖佰捌拾伍万元整</v>
      </c>
      <c r="P78" s="1258"/>
      <c r="Q78" s="1912"/>
      <c r="R78" s="1912"/>
      <c r="S78" s="1912"/>
      <c r="T78" s="1912"/>
      <c r="U78" s="1912"/>
      <c r="V78" s="1912"/>
    </row>
    <row r="79" spans="1:22" ht="13.5" thickBot="1">
      <c r="A79" s="3414" t="s">
        <v>422</v>
      </c>
      <c r="B79" s="3414"/>
      <c r="C79" s="3414"/>
      <c r="D79" s="3414"/>
      <c r="E79" s="3414"/>
      <c r="F79" s="42"/>
      <c r="G79" s="42"/>
      <c r="H79" s="991"/>
      <c r="I79" s="309"/>
      <c r="J79" s="1919"/>
      <c r="K79" s="3468">
        <f>K77+1</f>
        <v>6</v>
      </c>
      <c r="L79" s="3447" t="s">
        <v>2864</v>
      </c>
      <c r="M79" s="2764" t="s">
        <v>417</v>
      </c>
      <c r="N79" s="1256"/>
      <c r="O79" s="1257">
        <f ca="1">N69-O77</f>
        <v>3815</v>
      </c>
      <c r="P79" s="1258"/>
      <c r="Q79" s="1912"/>
      <c r="R79" s="1912"/>
      <c r="S79" s="1912"/>
      <c r="T79" s="1912"/>
      <c r="U79" s="1912"/>
      <c r="V79" s="1912"/>
    </row>
    <row r="80" spans="1:22" ht="25.5">
      <c r="A80" s="3415" t="s">
        <v>423</v>
      </c>
      <c r="B80" s="3416"/>
      <c r="C80" s="982"/>
      <c r="D80" s="982" t="s">
        <v>424</v>
      </c>
      <c r="E80" s="364" t="s">
        <v>425</v>
      </c>
      <c r="F80" s="42"/>
      <c r="G80" s="42"/>
      <c r="H80" s="991"/>
      <c r="I80" s="309"/>
      <c r="J80" s="1912"/>
      <c r="K80" s="3469"/>
      <c r="L80" s="3447"/>
      <c r="M80" s="2764" t="s">
        <v>420</v>
      </c>
      <c r="N80" s="1256"/>
      <c r="O80" s="1257" t="str">
        <f ca="1">NUMBERSTRING(INT(O79*10000),2)&amp;"元整"</f>
        <v>叁仟捌佰壹拾伍万元整</v>
      </c>
      <c r="P80" s="1258"/>
      <c r="Q80" s="1912"/>
      <c r="R80" s="1912"/>
      <c r="S80" s="1912"/>
      <c r="T80" s="1912"/>
      <c r="U80" s="1912"/>
      <c r="V80" s="1912"/>
    </row>
    <row r="81" spans="1:26" ht="13.5" thickBot="1">
      <c r="A81" s="375" t="s">
        <v>1814</v>
      </c>
      <c r="B81" s="365" t="s">
        <v>426</v>
      </c>
      <c r="C81" s="366">
        <f ca="1">ROUND((C82+C83)/(1+'数据-取费表'!C42),0)</f>
        <v>8381</v>
      </c>
      <c r="D81" s="367"/>
      <c r="E81" s="368"/>
      <c r="F81" s="42"/>
      <c r="G81" s="42"/>
      <c r="H81" s="991"/>
      <c r="I81" s="309"/>
      <c r="J81" s="1912"/>
      <c r="K81" s="2759">
        <f>K79+1</f>
        <v>7</v>
      </c>
      <c r="L81" s="3445" t="s">
        <v>2865</v>
      </c>
      <c r="M81" s="3446"/>
      <c r="N81" s="1260"/>
      <c r="O81" s="1261">
        <f ca="1">ROUND(O79*10000/'数据-汇总表'!E3,0)</f>
        <v>174</v>
      </c>
      <c r="P81" s="1262"/>
      <c r="Q81" s="1912"/>
      <c r="R81" s="1912"/>
      <c r="S81" s="1912"/>
      <c r="T81" s="1912"/>
      <c r="U81" s="1912"/>
      <c r="V81" s="1912"/>
    </row>
    <row r="82" spans="1:26" ht="13.5" thickTop="1">
      <c r="A82" s="369" t="s">
        <v>1815</v>
      </c>
      <c r="B82" s="370" t="s">
        <v>427</v>
      </c>
      <c r="C82" s="371">
        <f ca="1">D63</f>
        <v>8800</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61" t="s">
        <v>2853</v>
      </c>
      <c r="L83" s="2770" t="s">
        <v>2854</v>
      </c>
      <c r="M83" s="2760">
        <f ca="1">IF(N69&gt;10000,N69*0.5%,IF(AND(N69&gt;1000,N69&lt;=10000),N69*1%,IF(AND(N69&gt;100,N69&lt;=1000),N69*3%,IF(AND(N69&gt;10,N69&lt;=100),N69*5%,N69*8%))))</f>
        <v>88</v>
      </c>
      <c r="N83" s="53">
        <f ca="1">ROUND(M83,1)</f>
        <v>88</v>
      </c>
      <c r="O83" s="2763"/>
      <c r="P83" s="1912"/>
      <c r="Q83" s="1912"/>
      <c r="R83" s="1912"/>
      <c r="S83" s="1912"/>
      <c r="T83" s="1912"/>
      <c r="U83" s="1912"/>
      <c r="V83" s="1912"/>
    </row>
    <row r="84" spans="1:26" ht="12.75">
      <c r="A84" s="375" t="s">
        <v>1817</v>
      </c>
      <c r="B84" s="376" t="s">
        <v>429</v>
      </c>
      <c r="C84" s="377"/>
      <c r="D84" s="378" t="s">
        <v>19</v>
      </c>
      <c r="E84" s="2788" t="s">
        <v>2908</v>
      </c>
      <c r="F84" s="42"/>
      <c r="G84" s="42"/>
      <c r="H84" s="991"/>
      <c r="I84" s="309"/>
      <c r="J84" s="1912"/>
      <c r="K84" s="3461"/>
      <c r="L84" s="2770" t="s">
        <v>2855</v>
      </c>
      <c r="M84" s="2760">
        <f ca="1">IF(N69&gt;2000,N69*0.5%,IF(AND(N69&gt;1000,N69&lt;=2000),N69*0.6%,IF(AND(N69&gt;500,N69&lt;=1000),N69*0.7%,IF(AND(N69&gt;200,N69&lt;=500),N69*0.8%,IF(AND(N69&gt;100,N69&lt;=200),N69*0.9%,IF(AND(N69&gt;50,N69&lt;=100),N69*1%,IF(AND(N69&gt;20,N69&lt;=50),N69*1.5%,IF(AND(N69&gt;10,N69&lt;=20),N69*2%,IF(AND(N69&gt;1,N69&lt;=10),N69*2.5%)))))))))</f>
        <v>44</v>
      </c>
      <c r="N84" s="53">
        <f t="shared" ref="N84:N85" ca="1" si="2">ROUND(M84,1)</f>
        <v>44</v>
      </c>
      <c r="O84" s="1912" t="s">
        <v>2856</v>
      </c>
      <c r="P84" s="1912"/>
      <c r="Q84" s="1912"/>
      <c r="R84" s="1912"/>
      <c r="S84" s="1912"/>
      <c r="T84" s="1912"/>
      <c r="U84" s="1912"/>
      <c r="V84" s="1912"/>
    </row>
    <row r="85" spans="1:26" ht="12.75">
      <c r="A85" s="375" t="s">
        <v>1818</v>
      </c>
      <c r="B85" s="376" t="s">
        <v>430</v>
      </c>
      <c r="C85" s="379">
        <f ca="1">C81-C84</f>
        <v>8381</v>
      </c>
      <c r="D85" s="372" t="s">
        <v>19</v>
      </c>
      <c r="E85" s="373"/>
      <c r="F85" s="42"/>
      <c r="G85" s="42"/>
      <c r="H85" s="991"/>
      <c r="I85" s="309"/>
      <c r="J85" s="1912"/>
      <c r="K85" s="3461"/>
      <c r="L85" s="2770" t="s">
        <v>2857</v>
      </c>
      <c r="M85" s="2760">
        <f ca="1">IF(N69&gt;1000,N69*0.1%,IF(AND(N69&gt;500,N69&lt;=1000),N69*0.5%,IF(AND(N69&gt;50,N69&lt;=500),N69*1%,IF(AND(N69&gt;1,N69&lt;=50),N69*1.5%))))</f>
        <v>8.8000000000000007</v>
      </c>
      <c r="N85" s="53">
        <f t="shared" ca="1" si="2"/>
        <v>8.8000000000000007</v>
      </c>
      <c r="O85" s="1912" t="s">
        <v>2856</v>
      </c>
      <c r="P85" s="1912"/>
      <c r="Q85" s="1912"/>
      <c r="R85" s="1912"/>
      <c r="S85" s="1912"/>
      <c r="T85" s="1912"/>
      <c r="U85" s="1912"/>
      <c r="V85" s="1912"/>
    </row>
    <row r="86" spans="1:26" ht="13.5" thickBot="1">
      <c r="A86" s="380" t="s">
        <v>1819</v>
      </c>
      <c r="B86" s="381" t="s">
        <v>431</v>
      </c>
      <c r="C86" s="382">
        <f ca="1">IF(C85&lt;=0,0,ROUND(C85*D86,0))</f>
        <v>469</v>
      </c>
      <c r="D86" s="383">
        <f>'数据-取费表'!B41</f>
        <v>5.6000000000000001E-2</v>
      </c>
      <c r="E86" s="384"/>
      <c r="F86" s="42"/>
      <c r="G86" s="42"/>
      <c r="H86" s="991"/>
      <c r="I86" s="309"/>
      <c r="J86" s="1912"/>
      <c r="K86" s="3461"/>
      <c r="L86" s="2770" t="s">
        <v>2858</v>
      </c>
      <c r="M86" s="2760">
        <f ca="1">N69*0.5%</f>
        <v>44</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61"/>
      <c r="L87" s="2770" t="s">
        <v>2860</v>
      </c>
      <c r="M87" s="2760">
        <f ca="1">IF(N69&gt;=10000,(8.25+(N69-10000)*0.01%),IF(AND(N69&gt;=8000,N69&lt;10000),(7.85+(N69-8000)*0.02%),IF(AND(N69&gt;=5000,N69&lt;8000),(6.65+(N69-5000)*0.04%),IF(AND(N69&gt;=2000,N69&lt;5000),(4.25+(PN69-2000)*0.08%),IF(AND(N69&gt;=1000,N69&lt;2000),(2.75+(N69-1000)*0.15%),IF(AND(N69&gt;=100,N69&lt;1000),(0.5+(N69-100)*0.25%),IF(AND(N69&gt;0,N69&lt;100),N69*0.5%)))))))</f>
        <v>8.01</v>
      </c>
      <c r="N87" s="53">
        <f ca="1">ROUND(M87*0.9,1)</f>
        <v>7.2</v>
      </c>
      <c r="O87" s="2763"/>
      <c r="P87" s="1912"/>
      <c r="Q87" s="1912"/>
      <c r="R87" s="1912"/>
      <c r="S87" s="1912"/>
      <c r="T87" s="1912"/>
      <c r="U87" s="1912"/>
      <c r="V87" s="1912"/>
      <c r="W87" s="290"/>
      <c r="X87" s="290"/>
      <c r="Y87" s="290"/>
      <c r="Z87" s="290"/>
    </row>
    <row r="88" spans="1:26" s="1268" customFormat="1" ht="15" thickBot="1">
      <c r="A88" s="3440" t="s">
        <v>432</v>
      </c>
      <c r="B88" s="3441"/>
      <c r="C88" s="3441"/>
      <c r="D88" s="3441"/>
      <c r="E88" s="3441"/>
      <c r="F88" s="3441"/>
      <c r="G88" s="3441"/>
      <c r="H88" s="3441"/>
      <c r="I88" s="1269"/>
      <c r="J88" s="1920"/>
      <c r="K88" s="3461"/>
      <c r="L88" s="2770" t="s">
        <v>2861</v>
      </c>
      <c r="M88" s="2760">
        <f ca="1">IF(N69&gt;10000,N69*0.5%,IF(AND(N69&gt;5000,N69&lt;=10000),N69*1%,IF(AND(N69&gt;1000,N69&lt;=5000),N69*2%,IF(AND(N69&gt;200,N69&lt;=1000),N69*3%,N69*5%))))</f>
        <v>88</v>
      </c>
      <c r="N88" s="53">
        <f ca="1">ROUND(M88,1)</f>
        <v>88</v>
      </c>
      <c r="O88" s="2763"/>
      <c r="P88" s="1917"/>
      <c r="Q88" s="1917"/>
      <c r="R88" s="1917"/>
      <c r="S88" s="1917"/>
      <c r="T88" s="1917"/>
      <c r="U88" s="1917"/>
      <c r="V88" s="1917"/>
      <c r="W88" s="1921"/>
      <c r="X88" s="1921"/>
      <c r="Y88" s="1921"/>
      <c r="Z88" s="1921"/>
    </row>
    <row r="89" spans="1:26" s="1268" customFormat="1" ht="14.25">
      <c r="A89" s="3415" t="s">
        <v>423</v>
      </c>
      <c r="B89" s="3416"/>
      <c r="C89" s="982"/>
      <c r="D89" s="982" t="s">
        <v>424</v>
      </c>
      <c r="E89" s="385" t="s">
        <v>433</v>
      </c>
      <c r="F89" s="386"/>
      <c r="G89" s="386"/>
      <c r="H89" s="387"/>
      <c r="I89" s="1270"/>
      <c r="J89" s="1922"/>
      <c r="K89" s="3461"/>
      <c r="L89" s="2770" t="s">
        <v>27</v>
      </c>
      <c r="M89" s="2761"/>
      <c r="N89" s="53">
        <f ca="1">ROUND(SUM(N83:N88),0)</f>
        <v>237</v>
      </c>
      <c r="O89" s="2771">
        <f ca="1">N89/N69</f>
        <v>2.6931818181818182E-2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8381</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50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97" t="s">
        <v>441</v>
      </c>
      <c r="F94" s="3396"/>
      <c r="G94" s="3396"/>
      <c r="H94" s="3439"/>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50</v>
      </c>
      <c r="D96" s="400">
        <f>'数据-取费表'!B43</f>
        <v>6.000000000000001E-3</v>
      </c>
      <c r="E96" s="3431" t="s">
        <v>2413</v>
      </c>
      <c r="F96" s="3432"/>
      <c r="G96" s="3432"/>
      <c r="H96" s="3433"/>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8331</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166.62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4981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0" t="s">
        <v>448</v>
      </c>
      <c r="B101" s="3441"/>
      <c r="C101" s="3441"/>
      <c r="D101" s="3441"/>
      <c r="E101" s="3441"/>
      <c r="F101" s="3441"/>
      <c r="G101" s="3441"/>
      <c r="H101" s="3441"/>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15" t="s">
        <v>423</v>
      </c>
      <c r="B102" s="3416"/>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8381</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50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2991</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91" t="s">
        <v>2962</v>
      </c>
      <c r="H108" s="3392"/>
      <c r="I108" s="2860"/>
      <c r="J108" s="1917"/>
      <c r="K108" s="3245" t="s">
        <v>2992</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4" t="s">
        <v>456</v>
      </c>
      <c r="F109" s="3432"/>
      <c r="G109" s="3432"/>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34" t="s">
        <v>458</v>
      </c>
      <c r="F110" s="3432"/>
      <c r="G110" s="3432"/>
      <c r="H110" s="3433"/>
      <c r="I110" s="11"/>
      <c r="J110" s="1917"/>
      <c r="K110" s="3246" t="s">
        <v>2993</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50</v>
      </c>
      <c r="D111" s="400">
        <f>'数据-取费表'!B43</f>
        <v>6.000000000000001E-3</v>
      </c>
      <c r="E111" s="3431" t="s">
        <v>2413</v>
      </c>
      <c r="F111" s="3432"/>
      <c r="G111" s="3432"/>
      <c r="H111" s="3433"/>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4" t="s">
        <v>2436</v>
      </c>
      <c r="F112" s="3432"/>
      <c r="G112" s="3432"/>
      <c r="H112" s="3433"/>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8331</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166.62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4981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Normal="80" zoomScaleSheetLayoutView="100" workbookViewId="0">
      <selection activeCell="B3" sqref="B3"/>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8800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401</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1599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107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67890.023385249995</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914</v>
      </c>
      <c r="D7" s="430" t="s">
        <v>3012</v>
      </c>
      <c r="E7" s="430" t="s">
        <v>35</v>
      </c>
      <c r="F7" s="430"/>
      <c r="G7" s="430"/>
      <c r="H7" s="430"/>
      <c r="I7" s="430"/>
      <c r="J7" s="430"/>
      <c r="K7" s="431"/>
      <c r="AA7" s="1995"/>
      <c r="AB7" s="1995"/>
      <c r="AC7" s="1995"/>
      <c r="AD7" s="1995"/>
      <c r="AE7" s="1995"/>
    </row>
    <row r="8" spans="1:31" s="1998" customFormat="1" ht="13.5" customHeight="1">
      <c r="A8" s="793" t="s">
        <v>1836</v>
      </c>
      <c r="B8" s="259" t="s">
        <v>466</v>
      </c>
      <c r="C8" s="2552">
        <v>4014.95</v>
      </c>
      <c r="D8" s="2552">
        <f ca="1">不动产收益法!B3</f>
        <v>11202</v>
      </c>
      <c r="E8" s="2552">
        <f ca="1">'不动产收益法(车库)'!B3</f>
        <v>1452</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143707.95000000001</v>
      </c>
      <c r="D9" s="435">
        <f>SUMIF('数据-汇总表'!$C19:$C33,'剩余法-待开发'!D7,'数据-汇总表'!$E19:$E33)</f>
        <v>1841.69</v>
      </c>
      <c r="E9" s="435">
        <f>SUMIF('数据-汇总表'!$C19:$C33,'剩余法-待开发'!E7,'数据-汇总表'!$E19:$E33)</f>
        <v>56000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C8*C9/10000</f>
        <v>57698.023385249995</v>
      </c>
      <c r="D10" s="2743">
        <f ca="1">不动产收益法!B2</f>
        <v>2063</v>
      </c>
      <c r="E10" s="2743">
        <f ca="1">'不动产收益法(车库)'!B2</f>
        <v>8129</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43225</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1297</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575</v>
      </c>
      <c r="D15" s="2562"/>
      <c r="E15" s="2563"/>
      <c r="F15" s="2565">
        <f>'数据-取费表'!B34</f>
        <v>0.02</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4394</v>
      </c>
      <c r="D16" s="2562">
        <f ca="1">IF(B1="",'数据-汇总表'!E3,INDIRECT("'数据-取费表'!K"&amp;$K$1)+INDIRECT("'数据-取费表'!S"&amp;$K$1))</f>
        <v>219676.65000000002</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648</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50139</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219676.65000000002</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7" t="s">
        <v>3085</v>
      </c>
      <c r="H20" s="2528">
        <f ca="1">C21+C22</f>
        <v>462</v>
      </c>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302</v>
      </c>
      <c r="D21" s="2562">
        <f ca="1">IF(B1="",'数据-汇总表'!E5,IF(INDIRECT("'数据-取费表'!c"&amp;$K$1)="住宅",INDIRECT("'数据-取费表'!k"&amp;$K$1),0))</f>
        <v>143707.95000000001</v>
      </c>
      <c r="E21" s="53">
        <f>'数据-取费表'!B27</f>
        <v>21</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160</v>
      </c>
      <c r="D22" s="2562">
        <f ca="1">IF(B1="",'数据-汇总表'!E6,IF(INDIRECT("'数据-取费表'!c"&amp;$K$1)="住宅",INDIRECT("'数据-取费表'!s"&amp;$K$1),INDIRECT("'数据-取费表'!k"&amp;$K$1)+INDIRECT("'数据-取费表'!s"&amp;$K$1)))</f>
        <v>75968.700000000012</v>
      </c>
      <c r="E22" s="53">
        <f>'数据-取费表'!B28</f>
        <v>21</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501</v>
      </c>
      <c r="D23" s="462"/>
      <c r="E23" s="462"/>
      <c r="F23" s="2574">
        <f>'数据-取费表'!B37</f>
        <v>0.01</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 ca="1">ROUND(C6*F24,0)</f>
        <v>679</v>
      </c>
      <c r="D24" s="469"/>
      <c r="E24" s="467"/>
      <c r="F24" s="2574">
        <f>'数据-取费表'!B38</f>
        <v>0.01</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2815</v>
      </c>
      <c r="C26" s="2575">
        <f ca="1">C28</f>
        <v>1976</v>
      </c>
      <c r="D26" s="461">
        <f ca="1">C27</f>
        <v>8.0799999999999997E-2</v>
      </c>
      <c r="E26" s="463" t="s">
        <v>489</v>
      </c>
      <c r="F26" s="465">
        <f ca="1">'数据-取费表'!B40</f>
        <v>3.85E-2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8.0799999999999997E-2</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2817</v>
      </c>
      <c r="C28" s="2578">
        <f ca="1">ROUND(IF('数据-取费表'!B22&lt;=1,(C18+C19+C20+C23+C24)*F26*'数据-取费表'!B24/2,(C18+C19+C20+C23+C24)*(POWER((1+F26),'数据-取费表'!B24/2)-1)),0)</f>
        <v>1976</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3621</v>
      </c>
      <c r="D29" s="462"/>
      <c r="E29" s="462"/>
      <c r="F29" s="2751">
        <f>'数据-取费表'!B41</f>
        <v>5.6000000000000001E-2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56916</v>
      </c>
      <c r="D30" s="471">
        <f ca="1">C32</f>
        <v>0.10979999999999999</v>
      </c>
      <c r="E30" s="463" t="s">
        <v>489</v>
      </c>
      <c r="F30" s="465"/>
      <c r="G30" s="2538" t="s">
        <v>2936</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56916</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0.10979999999999999</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2812</v>
      </c>
      <c r="B33" s="2746" t="s">
        <v>2810</v>
      </c>
      <c r="C33" s="472">
        <f ca="1">C35</f>
        <v>1026</v>
      </c>
      <c r="D33" s="461">
        <f ca="1">C34</f>
        <v>2.06E-2</v>
      </c>
      <c r="E33" s="463" t="s">
        <v>489</v>
      </c>
      <c r="F33" s="473">
        <f ca="1">IF(B1="",'数据-取费表'!Q16,INDIRECT("'数据-取费表'!q"&amp;$K$1))</f>
        <v>0.02</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2.06E-2</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2818</v>
      </c>
      <c r="C35" s="1557">
        <f ca="1">ROUND((C18+C19+C20+C23+C24)*F33,0)</f>
        <v>1026</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8800</v>
      </c>
      <c r="D36" s="2544"/>
      <c r="E36" s="2544"/>
      <c r="F36" s="2544"/>
      <c r="G36" s="2543" t="s">
        <v>2819</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6" t="str">
        <f>项目基本情况!B1</f>
        <v>广西省柳州市柳东新区智和路以北L-14-34地块A地块出让国有建设用地使用权抵押价格预评估</v>
      </c>
      <c r="C37" s="3296"/>
      <c r="D37" s="3296"/>
      <c r="E37" s="3296"/>
      <c r="F37" s="3296"/>
      <c r="G37" s="3296"/>
      <c r="H37" s="3296"/>
      <c r="I37" s="3296"/>
    </row>
    <row r="38" spans="1:9">
      <c r="A38" s="1585"/>
      <c r="B38" s="1585"/>
    </row>
    <row r="39" spans="1:9">
      <c r="A39" s="1583" t="s">
        <v>1892</v>
      </c>
      <c r="B39" s="1583" t="s">
        <v>2035</v>
      </c>
    </row>
    <row r="40" spans="1:9">
      <c r="A40" s="1583"/>
      <c r="B40" s="1583" t="str">
        <f>项目基本情况!B5</f>
        <v>五矿信托</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7" sqref="C7"/>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t="s">
        <v>914</v>
      </c>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143707.95000000001</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43225</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1297</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575</v>
      </c>
      <c r="D15" s="445"/>
      <c r="E15" s="363"/>
      <c r="F15" s="447">
        <f>'数据-取费表'!B34</f>
        <v>0.02</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4394</v>
      </c>
      <c r="D16" s="445">
        <f ca="1">IF(B1="",'数据-汇总表'!E3,INDIRECT("'数据-取费表'!K"&amp;$K$1)+INDIRECT("'数据-取费表'!S"&amp;$K$1))</f>
        <v>219676.65000000002</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648</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50139</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501</v>
      </c>
      <c r="D19" s="456"/>
      <c r="E19" s="456"/>
      <c r="F19" s="460">
        <f>'数据-取费表'!B37</f>
        <v>0.01</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0.01</v>
      </c>
      <c r="D20" s="463" t="s">
        <v>499</v>
      </c>
      <c r="E20" s="463"/>
      <c r="F20" s="480">
        <f>'数据-取费表'!B38</f>
        <v>0.01</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1950</v>
      </c>
      <c r="D21" s="461">
        <f ca="1">C23</f>
        <v>4.0000000000000002E-4</v>
      </c>
      <c r="E21" s="463" t="s">
        <v>501</v>
      </c>
      <c r="F21" s="465">
        <f ca="1">'数据-取费表'!B40</f>
        <v>3.85E-2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1950</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4.0000000000000002E-4</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2811</v>
      </c>
      <c r="C24" s="472">
        <f ca="1">C25</f>
        <v>1013</v>
      </c>
      <c r="D24" s="483">
        <f ca="1">C26</f>
        <v>2.0000000000000001E-4</v>
      </c>
      <c r="E24" s="463" t="s">
        <v>501</v>
      </c>
      <c r="F24" s="473">
        <f ca="1">IF(B1="",'数据-取费表'!Q16,INDIRECT("'数据-取费表'!q"&amp;$K$1))</f>
        <v>0.02</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1013</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2.0000000000000001E-4</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5.33E-2</v>
      </c>
      <c r="D27" s="456" t="s">
        <v>2809</v>
      </c>
      <c r="E27" s="456"/>
      <c r="F27" s="460">
        <f>'数据-取费表'!B41</f>
        <v>5.6000000000000001E-2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57262</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M47" sqref="M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t="e">
        <f>F68</f>
        <v>#DIV/0!</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t="e">
        <f>ROUND(B2*10000/'数据-汇总表'!E3,0)</f>
        <v>#DIV/0!</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t="e">
        <f>IF(B48="单位面积地价",C50,ROUND(B2*10000/'数据-汇总表'!D3,0))</f>
        <v>#DIV/0!</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2" t="s">
        <v>516</v>
      </c>
      <c r="D6" s="3483"/>
      <c r="E6" s="3482" t="s">
        <v>517</v>
      </c>
      <c r="F6" s="3483"/>
      <c r="G6" s="3482" t="s">
        <v>518</v>
      </c>
      <c r="H6" s="3483"/>
      <c r="I6" s="3482" t="s">
        <v>519</v>
      </c>
      <c r="J6" s="3483"/>
      <c r="K6" s="508" t="s">
        <v>520</v>
      </c>
      <c r="L6" s="2016"/>
      <c r="M6" s="2015"/>
      <c r="N6" s="2015"/>
      <c r="O6" s="2017"/>
      <c r="P6" s="3484" t="s">
        <v>521</v>
      </c>
      <c r="Q6" s="3485"/>
      <c r="R6" s="3490" t="s">
        <v>517</v>
      </c>
      <c r="S6" s="3491"/>
      <c r="T6" s="3490" t="s">
        <v>518</v>
      </c>
      <c r="U6" s="3491"/>
      <c r="V6" s="3477" t="s">
        <v>519</v>
      </c>
      <c r="W6" s="3477"/>
      <c r="X6" s="1502"/>
      <c r="Y6" s="3490" t="s">
        <v>521</v>
      </c>
      <c r="Z6" s="3491"/>
      <c r="AA6" s="3479" t="s">
        <v>517</v>
      </c>
      <c r="AB6" s="3480" t="s">
        <v>518</v>
      </c>
      <c r="AC6" s="3479" t="s">
        <v>519</v>
      </c>
    </row>
    <row r="7" spans="1:30" ht="20.25">
      <c r="A7" s="509"/>
      <c r="B7" s="510"/>
      <c r="C7" s="3498" t="s">
        <v>2897</v>
      </c>
      <c r="D7" s="3499"/>
      <c r="E7" s="3498" t="s">
        <v>2898</v>
      </c>
      <c r="F7" s="3499"/>
      <c r="G7" s="3498" t="s">
        <v>2899</v>
      </c>
      <c r="H7" s="3499"/>
      <c r="I7" s="3498" t="s">
        <v>2900</v>
      </c>
      <c r="J7" s="3499"/>
      <c r="K7" s="508"/>
      <c r="L7" s="2016"/>
      <c r="M7" s="2015"/>
      <c r="N7" s="2015"/>
      <c r="O7" s="2017"/>
      <c r="P7" s="3486"/>
      <c r="Q7" s="3487"/>
      <c r="R7" s="3492"/>
      <c r="S7" s="3493"/>
      <c r="T7" s="3492"/>
      <c r="U7" s="3493"/>
      <c r="V7" s="3477"/>
      <c r="W7" s="3477"/>
      <c r="X7" s="1502"/>
      <c r="Y7" s="3492"/>
      <c r="Z7" s="3493"/>
      <c r="AA7" s="3480"/>
      <c r="AB7" s="3480"/>
      <c r="AC7" s="3480"/>
    </row>
    <row r="8" spans="1:30" ht="21" thickBot="1">
      <c r="A8" s="509"/>
      <c r="B8" s="510"/>
      <c r="C8" s="3500" t="s">
        <v>2901</v>
      </c>
      <c r="D8" s="3501"/>
      <c r="E8" s="3500" t="s">
        <v>2901</v>
      </c>
      <c r="F8" s="3501"/>
      <c r="G8" s="3496" t="s">
        <v>2901</v>
      </c>
      <c r="H8" s="3497"/>
      <c r="I8" s="3496" t="s">
        <v>2901</v>
      </c>
      <c r="J8" s="3497"/>
      <c r="K8" s="508" t="s">
        <v>522</v>
      </c>
      <c r="L8" s="2016"/>
      <c r="M8" s="2015"/>
      <c r="N8" s="2015"/>
      <c r="O8" s="2017"/>
      <c r="P8" s="3488"/>
      <c r="Q8" s="3489"/>
      <c r="R8" s="3492"/>
      <c r="S8" s="3493"/>
      <c r="T8" s="3494"/>
      <c r="U8" s="3495"/>
      <c r="V8" s="3477"/>
      <c r="W8" s="3477"/>
      <c r="X8" s="1502"/>
      <c r="Y8" s="3494"/>
      <c r="Z8" s="3495"/>
      <c r="AA8" s="3481"/>
      <c r="AB8" s="3481"/>
      <c r="AC8" s="3481"/>
    </row>
    <row r="9" spans="1:30" s="1203" customFormat="1" ht="21" thickBot="1">
      <c r="A9" s="2630"/>
      <c r="B9" s="2637" t="s">
        <v>523</v>
      </c>
      <c r="C9" s="2629">
        <f>'数据-取费表'!B2</f>
        <v>44250</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507" t="s">
        <v>524</v>
      </c>
      <c r="Q9" s="3509"/>
      <c r="R9" s="1503" t="s">
        <v>8</v>
      </c>
      <c r="S9" s="1504">
        <f t="shared" ref="S9:S17" si="0">F9</f>
        <v>0</v>
      </c>
      <c r="T9" s="1503" t="s">
        <v>8</v>
      </c>
      <c r="U9" s="1504">
        <f t="shared" ref="U9:U17" si="1">H9</f>
        <v>0</v>
      </c>
      <c r="V9" s="1503" t="s">
        <v>8</v>
      </c>
      <c r="W9" s="1504">
        <f t="shared" ref="W9:W17" si="2">J9</f>
        <v>0</v>
      </c>
      <c r="X9" s="1505"/>
      <c r="Y9" s="3507" t="s">
        <v>524</v>
      </c>
      <c r="Z9" s="3508"/>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507" t="s">
        <v>527</v>
      </c>
      <c r="Q10" s="3508"/>
      <c r="R10" s="1503" t="s">
        <v>8</v>
      </c>
      <c r="S10" s="1504">
        <f t="shared" si="0"/>
        <v>0</v>
      </c>
      <c r="T10" s="1503" t="s">
        <v>8</v>
      </c>
      <c r="U10" s="1504">
        <f t="shared" si="1"/>
        <v>0</v>
      </c>
      <c r="V10" s="1503" t="s">
        <v>8</v>
      </c>
      <c r="W10" s="1504">
        <f t="shared" si="2"/>
        <v>0</v>
      </c>
      <c r="X10" s="1505"/>
      <c r="Y10" s="3507" t="s">
        <v>527</v>
      </c>
      <c r="Z10" s="3508"/>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2"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102</v>
      </c>
      <c r="G12" s="524"/>
      <c r="H12" s="253">
        <f>ROUND(100/'数据-取费表'!G16,0)</f>
        <v>102</v>
      </c>
      <c r="I12" s="524"/>
      <c r="J12" s="253">
        <f>ROUND(100/'数据-取费表'!G16,0)</f>
        <v>102</v>
      </c>
      <c r="K12" s="525"/>
      <c r="L12" s="2021"/>
      <c r="M12" s="2015"/>
      <c r="N12" s="2015"/>
      <c r="O12" s="2022"/>
      <c r="P12" s="3476"/>
      <c r="Q12" s="1134" t="str">
        <f t="shared" si="6"/>
        <v>土地使用年限（年）</v>
      </c>
      <c r="R12" s="1503" t="s">
        <v>8</v>
      </c>
      <c r="S12" s="1504">
        <f t="shared" si="0"/>
        <v>102</v>
      </c>
      <c r="T12" s="1503" t="s">
        <v>8</v>
      </c>
      <c r="U12" s="1504">
        <f t="shared" si="1"/>
        <v>102</v>
      </c>
      <c r="V12" s="1503" t="s">
        <v>8</v>
      </c>
      <c r="W12" s="1504">
        <f t="shared" si="2"/>
        <v>102</v>
      </c>
      <c r="X12" s="1505"/>
      <c r="Y12" s="3422"/>
      <c r="Z12" s="1133" t="str">
        <f t="shared" si="7"/>
        <v>土地使用年限（年）</v>
      </c>
      <c r="AA12" s="1506">
        <f t="shared" si="3"/>
        <v>0.98039215686274506</v>
      </c>
      <c r="AB12" s="1506">
        <f t="shared" si="4"/>
        <v>0.98039215686274506</v>
      </c>
      <c r="AC12" s="1506">
        <f t="shared" si="5"/>
        <v>0.98039215686274506</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76"/>
      <c r="Q13" s="1134" t="str">
        <f t="shared" si="6"/>
        <v>容积率</v>
      </c>
      <c r="R13" s="1503" t="s">
        <v>8</v>
      </c>
      <c r="S13" s="1504" t="e">
        <f t="shared" si="0"/>
        <v>#N/A</v>
      </c>
      <c r="T13" s="1503" t="s">
        <v>8</v>
      </c>
      <c r="U13" s="1504" t="e">
        <f t="shared" si="1"/>
        <v>#N/A</v>
      </c>
      <c r="V13" s="1503" t="s">
        <v>8</v>
      </c>
      <c r="W13" s="1504" t="e">
        <f t="shared" si="2"/>
        <v>#N/A</v>
      </c>
      <c r="X13" s="1505"/>
      <c r="Y13" s="3422"/>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6"/>
      <c r="Q14" s="1134" t="str">
        <f t="shared" si="6"/>
        <v>配建</v>
      </c>
      <c r="R14" s="1503" t="s">
        <v>8</v>
      </c>
      <c r="S14" s="1504">
        <f t="shared" si="0"/>
        <v>100</v>
      </c>
      <c r="T14" s="1503" t="s">
        <v>8</v>
      </c>
      <c r="U14" s="1504">
        <f t="shared" si="1"/>
        <v>100</v>
      </c>
      <c r="V14" s="1503" t="s">
        <v>8</v>
      </c>
      <c r="W14" s="1504">
        <f t="shared" si="2"/>
        <v>100</v>
      </c>
      <c r="X14" s="1505"/>
      <c r="Y14" s="3422"/>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6"/>
      <c r="Q15" s="1134">
        <f t="shared" si="6"/>
        <v>111</v>
      </c>
      <c r="R15" s="1503" t="s">
        <v>8</v>
      </c>
      <c r="S15" s="1504">
        <f t="shared" si="0"/>
        <v>100</v>
      </c>
      <c r="T15" s="1503" t="s">
        <v>8</v>
      </c>
      <c r="U15" s="1504">
        <f t="shared" si="1"/>
        <v>100</v>
      </c>
      <c r="V15" s="1503" t="s">
        <v>8</v>
      </c>
      <c r="W15" s="1504">
        <f t="shared" si="2"/>
        <v>100</v>
      </c>
      <c r="X15" s="1505"/>
      <c r="Y15" s="3422"/>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6"/>
      <c r="Q16" s="1134">
        <f t="shared" si="6"/>
        <v>111</v>
      </c>
      <c r="R16" s="1503" t="s">
        <v>8</v>
      </c>
      <c r="S16" s="1504">
        <f t="shared" si="0"/>
        <v>100</v>
      </c>
      <c r="T16" s="1503" t="s">
        <v>8</v>
      </c>
      <c r="U16" s="1504">
        <f t="shared" si="1"/>
        <v>100</v>
      </c>
      <c r="V16" s="1503" t="s">
        <v>8</v>
      </c>
      <c r="W16" s="1504">
        <f t="shared" si="2"/>
        <v>100</v>
      </c>
      <c r="X16" s="1505"/>
      <c r="Y16" s="3422"/>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10" t="s">
        <v>534</v>
      </c>
      <c r="Q17" s="1507" t="str">
        <f t="shared" si="6"/>
        <v>居住社区成熟度</v>
      </c>
      <c r="R17" s="1508" t="s">
        <v>8</v>
      </c>
      <c r="S17" s="1509">
        <f t="shared" si="0"/>
        <v>100</v>
      </c>
      <c r="T17" s="1508" t="s">
        <v>8</v>
      </c>
      <c r="U17" s="1509">
        <f t="shared" si="1"/>
        <v>100</v>
      </c>
      <c r="V17" s="1508" t="s">
        <v>8</v>
      </c>
      <c r="W17" s="1509">
        <f t="shared" si="2"/>
        <v>100</v>
      </c>
      <c r="X17" s="1502"/>
      <c r="Y17" s="3510"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11"/>
      <c r="Q18" s="1507"/>
      <c r="R18" s="1508"/>
      <c r="S18" s="1509"/>
      <c r="T18" s="1508"/>
      <c r="U18" s="1509"/>
      <c r="V18" s="1508"/>
      <c r="W18" s="1509"/>
      <c r="X18" s="1502"/>
      <c r="Y18" s="3511"/>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11"/>
      <c r="Q19" s="1507" t="str">
        <f>B19</f>
        <v>商业繁华度</v>
      </c>
      <c r="R19" s="1508" t="s">
        <v>8</v>
      </c>
      <c r="S19" s="1509">
        <f>F19</f>
        <v>100</v>
      </c>
      <c r="T19" s="1508" t="s">
        <v>8</v>
      </c>
      <c r="U19" s="1509">
        <f>H19</f>
        <v>100</v>
      </c>
      <c r="V19" s="1508" t="s">
        <v>8</v>
      </c>
      <c r="W19" s="1509">
        <f>J19</f>
        <v>100</v>
      </c>
      <c r="X19" s="1502"/>
      <c r="Y19" s="3511"/>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511"/>
      <c r="Q20" s="1507"/>
      <c r="R20" s="1508"/>
      <c r="S20" s="1509"/>
      <c r="T20" s="1508"/>
      <c r="U20" s="1509"/>
      <c r="V20" s="1508"/>
      <c r="W20" s="1509"/>
      <c r="X20" s="1502"/>
      <c r="Y20" s="3511"/>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11"/>
      <c r="Q21" s="1507" t="str">
        <f>B21</f>
        <v>办公集聚程度</v>
      </c>
      <c r="R21" s="1508" t="s">
        <v>8</v>
      </c>
      <c r="S21" s="1509">
        <f>F21</f>
        <v>100</v>
      </c>
      <c r="T21" s="1508" t="s">
        <v>8</v>
      </c>
      <c r="U21" s="1509">
        <f>H21</f>
        <v>100</v>
      </c>
      <c r="V21" s="1508" t="s">
        <v>8</v>
      </c>
      <c r="W21" s="1509">
        <f>J21</f>
        <v>100</v>
      </c>
      <c r="X21" s="1502"/>
      <c r="Y21" s="3511"/>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11"/>
      <c r="Q22" s="1507"/>
      <c r="R22" s="1508"/>
      <c r="S22" s="1509"/>
      <c r="T22" s="1508"/>
      <c r="U22" s="1509"/>
      <c r="V22" s="1508"/>
      <c r="W22" s="1509"/>
      <c r="X22" s="1502"/>
      <c r="Y22" s="3511"/>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511"/>
      <c r="Q23" s="1507" t="str">
        <f>B23</f>
        <v>交通便捷度</v>
      </c>
      <c r="R23" s="1508" t="s">
        <v>8</v>
      </c>
      <c r="S23" s="1509">
        <f>F23</f>
        <v>100</v>
      </c>
      <c r="T23" s="1508" t="s">
        <v>8</v>
      </c>
      <c r="U23" s="1509">
        <f>H23</f>
        <v>100</v>
      </c>
      <c r="V23" s="1508" t="s">
        <v>8</v>
      </c>
      <c r="W23" s="1509">
        <f>J23</f>
        <v>100</v>
      </c>
      <c r="X23" s="1502"/>
      <c r="Y23" s="3511"/>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511"/>
      <c r="Q24" s="1507"/>
      <c r="R24" s="1508"/>
      <c r="S24" s="1509"/>
      <c r="T24" s="1508"/>
      <c r="U24" s="1509"/>
      <c r="V24" s="1508"/>
      <c r="W24" s="1509"/>
      <c r="X24" s="1502"/>
      <c r="Y24" s="3511"/>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11"/>
      <c r="Q25" s="1507" t="str">
        <f t="shared" ref="Q25:Q39" si="8">B25</f>
        <v>区域土地利用方向</v>
      </c>
      <c r="R25" s="1508" t="s">
        <v>8</v>
      </c>
      <c r="S25" s="1509">
        <f>F25</f>
        <v>100</v>
      </c>
      <c r="T25" s="1508" t="s">
        <v>8</v>
      </c>
      <c r="U25" s="1509">
        <f>H25</f>
        <v>100</v>
      </c>
      <c r="V25" s="1508" t="s">
        <v>8</v>
      </c>
      <c r="W25" s="1509">
        <f>J25</f>
        <v>100</v>
      </c>
      <c r="X25" s="1502"/>
      <c r="Y25" s="3511"/>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11"/>
      <c r="Q26" s="1507"/>
      <c r="R26" s="1508"/>
      <c r="S26" s="1509"/>
      <c r="T26" s="1508"/>
      <c r="U26" s="1509"/>
      <c r="V26" s="1508"/>
      <c r="W26" s="1509"/>
      <c r="X26" s="1502"/>
      <c r="Y26" s="3511"/>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11"/>
      <c r="Q27" s="1507" t="str">
        <f t="shared" si="8"/>
        <v>自然及人文环境状况</v>
      </c>
      <c r="R27" s="1508" t="s">
        <v>8</v>
      </c>
      <c r="S27" s="1509">
        <f>F27</f>
        <v>100</v>
      </c>
      <c r="T27" s="1508" t="s">
        <v>8</v>
      </c>
      <c r="U27" s="1509">
        <f>H27</f>
        <v>100</v>
      </c>
      <c r="V27" s="1508" t="s">
        <v>8</v>
      </c>
      <c r="W27" s="1509">
        <f>J27</f>
        <v>100</v>
      </c>
      <c r="X27" s="1502"/>
      <c r="Y27" s="3511"/>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11"/>
      <c r="Q28" s="1507"/>
      <c r="R28" s="1508"/>
      <c r="S28" s="1509"/>
      <c r="T28" s="1508"/>
      <c r="U28" s="1509"/>
      <c r="V28" s="1508"/>
      <c r="W28" s="1509"/>
      <c r="X28" s="1502"/>
      <c r="Y28" s="3511"/>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11"/>
      <c r="Q29" s="1134" t="str">
        <f t="shared" si="8"/>
        <v>公共配套设施</v>
      </c>
      <c r="R29" s="1503" t="s">
        <v>8</v>
      </c>
      <c r="S29" s="1504">
        <f>F29</f>
        <v>100</v>
      </c>
      <c r="T29" s="1503" t="s">
        <v>8</v>
      </c>
      <c r="U29" s="1504">
        <f>H29</f>
        <v>100</v>
      </c>
      <c r="V29" s="1503" t="s">
        <v>8</v>
      </c>
      <c r="W29" s="1504">
        <f>J29</f>
        <v>100</v>
      </c>
      <c r="X29" s="1505"/>
      <c r="Y29" s="3511"/>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11"/>
      <c r="Q30" s="1134"/>
      <c r="R30" s="1503"/>
      <c r="S30" s="1504"/>
      <c r="T30" s="1503"/>
      <c r="U30" s="1504"/>
      <c r="V30" s="1503"/>
      <c r="W30" s="1504"/>
      <c r="X30" s="1505"/>
      <c r="Y30" s="3511"/>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11"/>
      <c r="Q31" s="2429" t="str">
        <f t="shared" ref="Q31" si="9">B31</f>
        <v>基础设施水平</v>
      </c>
      <c r="R31" s="1503" t="s">
        <v>8</v>
      </c>
      <c r="S31" s="1504">
        <f>F31</f>
        <v>100</v>
      </c>
      <c r="T31" s="1503" t="s">
        <v>8</v>
      </c>
      <c r="U31" s="1504">
        <f>H31</f>
        <v>100</v>
      </c>
      <c r="V31" s="1503" t="s">
        <v>8</v>
      </c>
      <c r="W31" s="1504">
        <f>J31</f>
        <v>100</v>
      </c>
      <c r="X31" s="1505"/>
      <c r="Y31" s="3511"/>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11"/>
      <c r="Q32" s="2429"/>
      <c r="R32" s="1503"/>
      <c r="S32" s="1504"/>
      <c r="T32" s="1503"/>
      <c r="U32" s="1504"/>
      <c r="V32" s="1503"/>
      <c r="W32" s="1504"/>
      <c r="X32" s="1505"/>
      <c r="Y32" s="3511"/>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1"/>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1"/>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1"/>
      <c r="Q34" s="1507" t="str">
        <f t="shared" si="8"/>
        <v>毗邻道路的类型与等级</v>
      </c>
      <c r="R34" s="1508" t="s">
        <v>8</v>
      </c>
      <c r="S34" s="1509">
        <f t="shared" si="10"/>
        <v>100</v>
      </c>
      <c r="T34" s="1508" t="s">
        <v>8</v>
      </c>
      <c r="U34" s="1509">
        <f t="shared" si="11"/>
        <v>100</v>
      </c>
      <c r="V34" s="1508" t="s">
        <v>8</v>
      </c>
      <c r="W34" s="1509">
        <f t="shared" si="12"/>
        <v>100</v>
      </c>
      <c r="X34" s="1502"/>
      <c r="Y34" s="3511"/>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11"/>
      <c r="Q35" s="1507"/>
      <c r="R35" s="1508"/>
      <c r="S35" s="1509"/>
      <c r="T35" s="1508"/>
      <c r="U35" s="1509"/>
      <c r="V35" s="1508"/>
      <c r="W35" s="1509"/>
      <c r="X35" s="1502"/>
      <c r="Y35" s="3511"/>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1"/>
      <c r="Q36" s="1507" t="str">
        <f t="shared" si="8"/>
        <v>土地级别</v>
      </c>
      <c r="R36" s="1508" t="s">
        <v>8</v>
      </c>
      <c r="S36" s="1509">
        <f t="shared" si="10"/>
        <v>100</v>
      </c>
      <c r="T36" s="1508" t="s">
        <v>8</v>
      </c>
      <c r="U36" s="1509">
        <f t="shared" si="11"/>
        <v>100</v>
      </c>
      <c r="V36" s="1508" t="s">
        <v>8</v>
      </c>
      <c r="W36" s="1509">
        <f t="shared" si="12"/>
        <v>100</v>
      </c>
      <c r="X36" s="1502"/>
      <c r="Y36" s="3511"/>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1"/>
      <c r="Q37" s="1507">
        <f t="shared" si="8"/>
        <v>111</v>
      </c>
      <c r="R37" s="1508" t="s">
        <v>8</v>
      </c>
      <c r="S37" s="1509">
        <f t="shared" si="10"/>
        <v>100</v>
      </c>
      <c r="T37" s="1508" t="s">
        <v>8</v>
      </c>
      <c r="U37" s="1509">
        <f t="shared" si="11"/>
        <v>100</v>
      </c>
      <c r="V37" s="1508" t="s">
        <v>8</v>
      </c>
      <c r="W37" s="1509">
        <f t="shared" si="12"/>
        <v>100</v>
      </c>
      <c r="X37" s="1502"/>
      <c r="Y37" s="3511"/>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2" t="s">
        <v>544</v>
      </c>
      <c r="Q38" s="1507">
        <f t="shared" si="8"/>
        <v>111</v>
      </c>
      <c r="R38" s="1508" t="s">
        <v>8</v>
      </c>
      <c r="S38" s="1509">
        <f t="shared" si="10"/>
        <v>100</v>
      </c>
      <c r="T38" s="1508" t="s">
        <v>8</v>
      </c>
      <c r="U38" s="1509">
        <f t="shared" si="11"/>
        <v>100</v>
      </c>
      <c r="V38" s="1508" t="s">
        <v>8</v>
      </c>
      <c r="W38" s="1509">
        <f t="shared" si="12"/>
        <v>100</v>
      </c>
      <c r="X38" s="1502"/>
      <c r="Y38" s="3513"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3"/>
      <c r="Q39" s="1507">
        <f t="shared" si="8"/>
        <v>111</v>
      </c>
      <c r="R39" s="1512" t="s">
        <v>8</v>
      </c>
      <c r="S39" s="1513">
        <f t="shared" si="10"/>
        <v>100</v>
      </c>
      <c r="T39" s="1512" t="s">
        <v>8</v>
      </c>
      <c r="U39" s="1513">
        <f t="shared" si="11"/>
        <v>100</v>
      </c>
      <c r="V39" s="1512" t="s">
        <v>8</v>
      </c>
      <c r="W39" s="1513">
        <f t="shared" si="12"/>
        <v>100</v>
      </c>
      <c r="X39" s="1514"/>
      <c r="Y39" s="3513"/>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13"/>
      <c r="Q40" s="1507" t="str">
        <f>B40</f>
        <v>宗地面积</v>
      </c>
      <c r="R40" s="1508" t="s">
        <v>8</v>
      </c>
      <c r="S40" s="1509" t="e">
        <f t="shared" si="10"/>
        <v>#N/A</v>
      </c>
      <c r="T40" s="1508" t="s">
        <v>8</v>
      </c>
      <c r="U40" s="1509" t="e">
        <f t="shared" si="11"/>
        <v>#N/A</v>
      </c>
      <c r="V40" s="1508" t="s">
        <v>8</v>
      </c>
      <c r="W40" s="1509" t="e">
        <f t="shared" si="12"/>
        <v>#N/A</v>
      </c>
      <c r="X40" s="1502"/>
      <c r="Y40" s="3513"/>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13"/>
      <c r="Q41" s="1507" t="str">
        <f t="shared" ref="Q41:Q47" si="14">B41</f>
        <v>宗地形状</v>
      </c>
      <c r="R41" s="1508" t="s">
        <v>8</v>
      </c>
      <c r="S41" s="1509">
        <f t="shared" si="10"/>
        <v>100</v>
      </c>
      <c r="T41" s="1508" t="s">
        <v>8</v>
      </c>
      <c r="U41" s="1509">
        <f t="shared" si="11"/>
        <v>100</v>
      </c>
      <c r="V41" s="1508" t="s">
        <v>8</v>
      </c>
      <c r="W41" s="1509">
        <f t="shared" si="12"/>
        <v>100</v>
      </c>
      <c r="X41" s="1502"/>
      <c r="Y41" s="3513"/>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13"/>
      <c r="Q42" s="1507" t="str">
        <f t="shared" si="14"/>
        <v>临街宽度及深度</v>
      </c>
      <c r="R42" s="1508" t="s">
        <v>8</v>
      </c>
      <c r="S42" s="1509">
        <f t="shared" si="10"/>
        <v>100</v>
      </c>
      <c r="T42" s="1508" t="s">
        <v>8</v>
      </c>
      <c r="U42" s="1509">
        <f t="shared" si="11"/>
        <v>100</v>
      </c>
      <c r="V42" s="1508" t="s">
        <v>8</v>
      </c>
      <c r="W42" s="1509">
        <f t="shared" si="12"/>
        <v>100</v>
      </c>
      <c r="X42" s="1502"/>
      <c r="Y42" s="3513"/>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13"/>
      <c r="Q43" s="1507" t="str">
        <f t="shared" si="14"/>
        <v>宗地开发程度</v>
      </c>
      <c r="R43" s="1503" t="s">
        <v>8</v>
      </c>
      <c r="S43" s="1504">
        <f t="shared" si="10"/>
        <v>100</v>
      </c>
      <c r="T43" s="1503" t="s">
        <v>8</v>
      </c>
      <c r="U43" s="1504">
        <f t="shared" si="11"/>
        <v>100</v>
      </c>
      <c r="V43" s="1503" t="s">
        <v>8</v>
      </c>
      <c r="W43" s="1504">
        <f t="shared" si="12"/>
        <v>100</v>
      </c>
      <c r="X43" s="1505"/>
      <c r="Y43" s="3513"/>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13" t="s">
        <v>544</v>
      </c>
      <c r="Q44" s="1507" t="str">
        <f t="shared" si="14"/>
        <v>工程地质条件</v>
      </c>
      <c r="R44" s="1508" t="s">
        <v>8</v>
      </c>
      <c r="S44" s="1509">
        <f t="shared" si="10"/>
        <v>100</v>
      </c>
      <c r="T44" s="1508" t="s">
        <v>8</v>
      </c>
      <c r="U44" s="1509">
        <f t="shared" si="11"/>
        <v>100</v>
      </c>
      <c r="V44" s="1508" t="s">
        <v>8</v>
      </c>
      <c r="W44" s="1509">
        <f t="shared" si="12"/>
        <v>100</v>
      </c>
      <c r="X44" s="1502"/>
      <c r="Y44" s="3513"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3"/>
      <c r="Q45" s="1507">
        <f t="shared" si="14"/>
        <v>111</v>
      </c>
      <c r="R45" s="1508" t="s">
        <v>8</v>
      </c>
      <c r="S45" s="1509">
        <f t="shared" si="10"/>
        <v>100</v>
      </c>
      <c r="T45" s="1508" t="s">
        <v>8</v>
      </c>
      <c r="U45" s="1509">
        <f t="shared" si="11"/>
        <v>100</v>
      </c>
      <c r="V45" s="1508" t="s">
        <v>8</v>
      </c>
      <c r="W45" s="1509">
        <f t="shared" si="12"/>
        <v>100</v>
      </c>
      <c r="X45" s="1502"/>
      <c r="Y45" s="3513"/>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3"/>
      <c r="Q46" s="1507">
        <f t="shared" si="14"/>
        <v>111</v>
      </c>
      <c r="R46" s="1508" t="s">
        <v>8</v>
      </c>
      <c r="S46" s="1509">
        <f t="shared" si="10"/>
        <v>100</v>
      </c>
      <c r="T46" s="1508" t="s">
        <v>8</v>
      </c>
      <c r="U46" s="1509">
        <f t="shared" si="11"/>
        <v>100</v>
      </c>
      <c r="V46" s="1508" t="s">
        <v>8</v>
      </c>
      <c r="W46" s="1509">
        <f t="shared" si="12"/>
        <v>100</v>
      </c>
      <c r="X46" s="1502"/>
      <c r="Y46" s="3513"/>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3"/>
      <c r="Q47" s="1507">
        <f t="shared" si="14"/>
        <v>111</v>
      </c>
      <c r="R47" s="1512" t="s">
        <v>8</v>
      </c>
      <c r="S47" s="1513">
        <f t="shared" si="10"/>
        <v>100</v>
      </c>
      <c r="T47" s="1512" t="s">
        <v>8</v>
      </c>
      <c r="U47" s="1513">
        <f t="shared" si="11"/>
        <v>100</v>
      </c>
      <c r="V47" s="1512" t="s">
        <v>8</v>
      </c>
      <c r="W47" s="1513">
        <f t="shared" si="12"/>
        <v>100</v>
      </c>
      <c r="X47" s="1514"/>
      <c r="Y47" s="3513"/>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7"/>
      <c r="M48" s="2015"/>
      <c r="N48" s="2015"/>
      <c r="O48" s="2028"/>
      <c r="P48" s="3476" t="str">
        <f>A48</f>
        <v>成交单价</v>
      </c>
      <c r="Q48" s="3476"/>
      <c r="R48" s="3477">
        <f>E48</f>
        <v>0</v>
      </c>
      <c r="S48" s="3477"/>
      <c r="T48" s="3477">
        <f>G48</f>
        <v>0</v>
      </c>
      <c r="U48" s="3477"/>
      <c r="V48" s="3477">
        <f>I48</f>
        <v>0</v>
      </c>
      <c r="W48" s="3477"/>
      <c r="X48" s="1497"/>
      <c r="Y48" s="1516"/>
      <c r="Z48" s="1497"/>
      <c r="AA48" s="1497"/>
      <c r="AB48" s="1497"/>
      <c r="AC48" s="1497"/>
    </row>
    <row r="49" spans="1:29" ht="21" thickBot="1">
      <c r="A49" s="609" t="s">
        <v>2673</v>
      </c>
      <c r="B49" s="610"/>
      <c r="C49" s="611" t="e">
        <f>R50</f>
        <v>#DIV/0!</v>
      </c>
      <c r="D49" s="3015" t="s">
        <v>2971</v>
      </c>
      <c r="E49" s="611" t="e">
        <f>R49</f>
        <v>#DIV/0!</v>
      </c>
      <c r="F49" s="3016"/>
      <c r="G49" s="612" t="e">
        <f>T49</f>
        <v>#DIV/0!</v>
      </c>
      <c r="H49" s="3016"/>
      <c r="I49" s="611" t="e">
        <f>V49</f>
        <v>#DIV/0!</v>
      </c>
      <c r="J49" s="3016"/>
      <c r="K49" s="3017">
        <f>F49+H49+J49</f>
        <v>0</v>
      </c>
      <c r="L49" s="2027"/>
      <c r="M49" s="2015"/>
      <c r="N49" s="2015"/>
      <c r="O49" s="2028"/>
      <c r="P49" s="3476" t="str">
        <f>A49</f>
        <v>比较价格（元/平方米）</v>
      </c>
      <c r="Q49" s="3476"/>
      <c r="R49" s="3478" t="e">
        <f>ROUND(PRODUCT(R48,AA9:AA47),0)</f>
        <v>#DIV/0!</v>
      </c>
      <c r="S49" s="3478"/>
      <c r="T49" s="3478" t="e">
        <f>ROUND(PRODUCT(T48,AB9:AB47),0)</f>
        <v>#DIV/0!</v>
      </c>
      <c r="U49" s="3478"/>
      <c r="V49" s="3478" t="e">
        <f>ROUND(PRODUCT(V48,AC9:AC47),0)</f>
        <v>#DIV/0!</v>
      </c>
      <c r="W49" s="3478"/>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7"/>
      <c r="M50" s="2015"/>
      <c r="N50" s="2015"/>
      <c r="O50" s="2028"/>
      <c r="P50" s="3473" t="str">
        <f>A50</f>
        <v>估价对象XX用房的比较价格（楼面单价，元/平方米）</v>
      </c>
      <c r="Q50" s="3474"/>
      <c r="R50" s="3475" t="e">
        <f>ROUND(IF(D49="简单平均",AVERAGE(R49:W49),R49*F49+T49*H49+V49*J49),0)</f>
        <v>#DIV/0!</v>
      </c>
      <c r="S50" s="3475"/>
      <c r="T50" s="3475"/>
      <c r="U50" s="3475"/>
      <c r="V50" s="3475"/>
      <c r="W50" s="3475"/>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02" t="s">
        <v>2269</v>
      </c>
      <c r="H57" s="3503"/>
      <c r="I57" s="1494" t="s">
        <v>1713</v>
      </c>
      <c r="J57" s="1494" t="str">
        <f>项目基本情况!F41</f>
        <v>广西省</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145549.64000000001</v>
      </c>
      <c r="F58" s="628" t="e">
        <f t="shared" ref="F58:F67" si="15">ROUND(B58*E58/10000,0)</f>
        <v>#DIV/0!</v>
      </c>
      <c r="G58" s="3504"/>
      <c r="H58" s="3505"/>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v>
      </c>
      <c r="D59" s="2110">
        <v>0.25</v>
      </c>
      <c r="E59" s="631">
        <v>0</v>
      </c>
      <c r="F59" s="628" t="e">
        <f t="shared" si="15"/>
        <v>#DIV/0!</v>
      </c>
      <c r="G59" s="3506" t="s">
        <v>2270</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v>
      </c>
      <c r="D60" s="2110">
        <v>0.25</v>
      </c>
      <c r="E60" s="631">
        <v>0</v>
      </c>
      <c r="F60" s="628" t="e">
        <f t="shared" si="15"/>
        <v>#DIV/0!</v>
      </c>
      <c r="G60" s="3506"/>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v>
      </c>
      <c r="D61" s="2110">
        <v>0.25</v>
      </c>
      <c r="E61" s="631">
        <v>0</v>
      </c>
      <c r="F61" s="628" t="e">
        <f t="shared" si="15"/>
        <v>#DIV/0!</v>
      </c>
      <c r="G61" s="3506"/>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v>
      </c>
      <c r="D62" s="2110">
        <v>0.25</v>
      </c>
      <c r="E62" s="631">
        <v>0</v>
      </c>
      <c r="F62" s="628" t="e">
        <f t="shared" si="15"/>
        <v>#DIV/0!</v>
      </c>
      <c r="G62" s="3506"/>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t="e">
        <f t="shared" si="17"/>
        <v>#DIV/0!</v>
      </c>
      <c r="C63" s="372">
        <f t="shared" si="16"/>
        <v>0</v>
      </c>
      <c r="D63" s="2110">
        <v>0.25</v>
      </c>
      <c r="E63" s="633">
        <f>'数据-汇总表'!E11</f>
        <v>0</v>
      </c>
      <c r="F63" s="628" t="e">
        <f t="shared" si="15"/>
        <v>#DIV/0!</v>
      </c>
      <c r="G63" s="1860" t="s">
        <v>2271</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56000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v>
      </c>
      <c r="D66" s="2110">
        <v>0.25</v>
      </c>
      <c r="E66" s="633">
        <f>'数据-汇总表'!E14</f>
        <v>0</v>
      </c>
      <c r="F66" s="628" t="e">
        <f t="shared" si="15"/>
        <v>#DIV/0!</v>
      </c>
      <c r="G66" s="1860" t="s">
        <v>2270</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2271</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55043.06</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2021-2-1</v>
      </c>
      <c r="D70" s="2517">
        <f>EDATE(C70,-3)</f>
        <v>44136</v>
      </c>
      <c r="E70" s="2517">
        <f t="shared" ref="E70:N70" si="18">EDATE(D70,-3)</f>
        <v>44044</v>
      </c>
      <c r="F70" s="2517">
        <f t="shared" si="18"/>
        <v>43952</v>
      </c>
      <c r="G70" s="2517">
        <f t="shared" si="18"/>
        <v>43862</v>
      </c>
      <c r="H70" s="2517">
        <f t="shared" si="18"/>
        <v>43770</v>
      </c>
      <c r="I70" s="2517">
        <f t="shared" si="18"/>
        <v>43678</v>
      </c>
      <c r="J70" s="2517">
        <f t="shared" si="18"/>
        <v>43586</v>
      </c>
      <c r="K70" s="2517">
        <f t="shared" si="18"/>
        <v>43497</v>
      </c>
      <c r="L70" s="2517">
        <f t="shared" si="18"/>
        <v>43405</v>
      </c>
      <c r="M70" s="2517">
        <f t="shared" si="18"/>
        <v>43313</v>
      </c>
      <c r="N70" s="2517">
        <f t="shared" si="18"/>
        <v>43221</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2021-1</v>
      </c>
      <c r="D72" s="2519" t="str">
        <f>YEAR(D70)&amp;"-"&amp;ROUNDUP(MONTH(D70)/3,0)</f>
        <v>2020-4</v>
      </c>
      <c r="E72" s="2519" t="str">
        <f t="shared" ref="E72:N72" si="19">YEAR(E70)&amp;"-"&amp;ROUNDUP(MONTH(E70)/3,0)</f>
        <v>2020-3</v>
      </c>
      <c r="F72" s="2519" t="str">
        <f t="shared" si="19"/>
        <v>2020-2</v>
      </c>
      <c r="G72" s="2519" t="str">
        <f t="shared" si="19"/>
        <v>2020-1</v>
      </c>
      <c r="H72" s="2519" t="str">
        <f t="shared" si="19"/>
        <v>2019-4</v>
      </c>
      <c r="I72" s="2519" t="str">
        <f t="shared" si="19"/>
        <v>2019-3</v>
      </c>
      <c r="J72" s="2519" t="str">
        <f t="shared" si="19"/>
        <v>2019-2</v>
      </c>
      <c r="K72" s="2519" t="str">
        <f t="shared" si="19"/>
        <v>2019-1</v>
      </c>
      <c r="L72" s="2519" t="str">
        <f t="shared" si="19"/>
        <v>2018-4</v>
      </c>
      <c r="M72" s="2519" t="str">
        <f t="shared" si="19"/>
        <v>2018-3</v>
      </c>
      <c r="N72" s="2519" t="str">
        <f t="shared" si="19"/>
        <v>2018-2</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北京市平均增长率1.68%</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G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82" t="s">
        <v>516</v>
      </c>
      <c r="D6" s="3483"/>
      <c r="E6" s="3516" t="s">
        <v>517</v>
      </c>
      <c r="F6" s="3517"/>
      <c r="G6" s="3482" t="s">
        <v>518</v>
      </c>
      <c r="H6" s="3483"/>
      <c r="I6" s="3482" t="s">
        <v>519</v>
      </c>
      <c r="J6" s="3483"/>
      <c r="K6" s="508" t="s">
        <v>520</v>
      </c>
      <c r="L6" s="2016"/>
      <c r="M6" s="2017"/>
      <c r="N6" s="2017"/>
      <c r="O6" s="2017"/>
      <c r="P6" s="3484" t="s">
        <v>521</v>
      </c>
      <c r="Q6" s="3485"/>
      <c r="R6" s="3490" t="s">
        <v>517</v>
      </c>
      <c r="S6" s="3491"/>
      <c r="T6" s="3490" t="s">
        <v>518</v>
      </c>
      <c r="U6" s="3491"/>
      <c r="V6" s="3477" t="s">
        <v>519</v>
      </c>
      <c r="W6" s="3477"/>
      <c r="X6" s="1502"/>
      <c r="Y6" s="3490" t="s">
        <v>521</v>
      </c>
      <c r="Z6" s="3491"/>
      <c r="AA6" s="3479" t="s">
        <v>517</v>
      </c>
      <c r="AB6" s="3480" t="s">
        <v>518</v>
      </c>
      <c r="AC6" s="3479" t="s">
        <v>519</v>
      </c>
    </row>
    <row r="7" spans="1:29" ht="15">
      <c r="A7" s="509"/>
      <c r="B7" s="510"/>
      <c r="C7" s="3498" t="s">
        <v>2897</v>
      </c>
      <c r="D7" s="3499"/>
      <c r="E7" s="3518" t="s">
        <v>2898</v>
      </c>
      <c r="F7" s="3519"/>
      <c r="G7" s="3498" t="s">
        <v>2899</v>
      </c>
      <c r="H7" s="3499"/>
      <c r="I7" s="3498" t="s">
        <v>2900</v>
      </c>
      <c r="J7" s="3499"/>
      <c r="K7" s="508"/>
      <c r="L7" s="2016"/>
      <c r="M7" s="2017"/>
      <c r="N7" s="2017"/>
      <c r="O7" s="2017"/>
      <c r="P7" s="3486"/>
      <c r="Q7" s="3487"/>
      <c r="R7" s="3492"/>
      <c r="S7" s="3493"/>
      <c r="T7" s="3492"/>
      <c r="U7" s="3493"/>
      <c r="V7" s="3477"/>
      <c r="W7" s="3477"/>
      <c r="X7" s="1502"/>
      <c r="Y7" s="3492"/>
      <c r="Z7" s="3493"/>
      <c r="AA7" s="3480"/>
      <c r="AB7" s="3480"/>
      <c r="AC7" s="3480"/>
    </row>
    <row r="8" spans="1:29" ht="15.75" thickBot="1">
      <c r="A8" s="511"/>
      <c r="B8" s="512"/>
      <c r="C8" s="3496" t="s">
        <v>2901</v>
      </c>
      <c r="D8" s="3497"/>
      <c r="E8" s="3514" t="s">
        <v>2901</v>
      </c>
      <c r="F8" s="3515"/>
      <c r="G8" s="3496" t="s">
        <v>2901</v>
      </c>
      <c r="H8" s="3497"/>
      <c r="I8" s="3496" t="s">
        <v>2901</v>
      </c>
      <c r="J8" s="3497"/>
      <c r="K8" s="508" t="s">
        <v>522</v>
      </c>
      <c r="L8" s="2016"/>
      <c r="M8" s="2017"/>
      <c r="N8" s="2017"/>
      <c r="O8" s="2017"/>
      <c r="P8" s="3488"/>
      <c r="Q8" s="3489"/>
      <c r="R8" s="3492"/>
      <c r="S8" s="3493"/>
      <c r="T8" s="3494"/>
      <c r="U8" s="3495"/>
      <c r="V8" s="3477"/>
      <c r="W8" s="3477"/>
      <c r="X8" s="1502"/>
      <c r="Y8" s="3494"/>
      <c r="Z8" s="3495"/>
      <c r="AA8" s="3481"/>
      <c r="AB8" s="3481"/>
      <c r="AC8" s="3481"/>
    </row>
    <row r="9" spans="1:29" s="1203" customFormat="1" ht="15.75" thickBot="1">
      <c r="A9" s="2630"/>
      <c r="B9" s="2637" t="s">
        <v>523</v>
      </c>
      <c r="C9" s="513">
        <f>'数据-取费表'!B2</f>
        <v>44250</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7" t="s">
        <v>524</v>
      </c>
      <c r="Q9" s="3509"/>
      <c r="R9" s="1503" t="s">
        <v>8</v>
      </c>
      <c r="S9" s="1504">
        <f t="shared" ref="S9:S17" si="0">F9</f>
        <v>0</v>
      </c>
      <c r="T9" s="1503" t="s">
        <v>8</v>
      </c>
      <c r="U9" s="1504">
        <f t="shared" ref="U9:U17" si="1">H9</f>
        <v>0</v>
      </c>
      <c r="V9" s="1503" t="s">
        <v>8</v>
      </c>
      <c r="W9" s="1504">
        <f t="shared" ref="W9:W17" si="2">J9</f>
        <v>0</v>
      </c>
      <c r="X9" s="1505"/>
      <c r="Y9" s="3507" t="s">
        <v>524</v>
      </c>
      <c r="Z9" s="3508"/>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7" t="s">
        <v>527</v>
      </c>
      <c r="Q10" s="3508"/>
      <c r="R10" s="1503" t="s">
        <v>8</v>
      </c>
      <c r="S10" s="1504">
        <f t="shared" si="0"/>
        <v>0</v>
      </c>
      <c r="T10" s="1503" t="s">
        <v>8</v>
      </c>
      <c r="U10" s="1504">
        <f t="shared" si="1"/>
        <v>0</v>
      </c>
      <c r="V10" s="1503" t="s">
        <v>8</v>
      </c>
      <c r="W10" s="1504">
        <f t="shared" si="2"/>
        <v>0</v>
      </c>
      <c r="X10" s="1505"/>
      <c r="Y10" s="3507" t="s">
        <v>527</v>
      </c>
      <c r="Z10" s="3508"/>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2"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102</v>
      </c>
      <c r="G12" s="522"/>
      <c r="H12" s="253">
        <f>ROUND(100/'数据-取费表'!G16,0)</f>
        <v>102</v>
      </c>
      <c r="I12" s="522"/>
      <c r="J12" s="253">
        <f>ROUND(100/'数据-取费表'!G16,0)</f>
        <v>102</v>
      </c>
      <c r="K12" s="525"/>
      <c r="L12" s="2021"/>
      <c r="M12" s="2060"/>
      <c r="N12" s="2060"/>
      <c r="O12" s="2022"/>
      <c r="P12" s="3476"/>
      <c r="Q12" s="1134" t="str">
        <f t="shared" si="6"/>
        <v>土地使用年限（年）</v>
      </c>
      <c r="R12" s="1503" t="s">
        <v>8</v>
      </c>
      <c r="S12" s="1504">
        <f t="shared" si="0"/>
        <v>102</v>
      </c>
      <c r="T12" s="1503" t="s">
        <v>8</v>
      </c>
      <c r="U12" s="1504">
        <f t="shared" si="1"/>
        <v>102</v>
      </c>
      <c r="V12" s="1503" t="s">
        <v>8</v>
      </c>
      <c r="W12" s="1504">
        <f t="shared" si="2"/>
        <v>102</v>
      </c>
      <c r="X12" s="1505"/>
      <c r="Y12" s="3422"/>
      <c r="Z12" s="1133" t="str">
        <f t="shared" si="7"/>
        <v>土地使用年限（年）</v>
      </c>
      <c r="AA12" s="1506">
        <f t="shared" si="3"/>
        <v>0.98039215686274506</v>
      </c>
      <c r="AB12" s="1506">
        <f t="shared" si="4"/>
        <v>0.98039215686274506</v>
      </c>
      <c r="AC12" s="1506">
        <f t="shared" si="5"/>
        <v>0.98039215686274506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6"/>
      <c r="Q13" s="1134" t="str">
        <f t="shared" si="6"/>
        <v>容积率</v>
      </c>
      <c r="R13" s="1503" t="s">
        <v>8</v>
      </c>
      <c r="S13" s="1504" t="e">
        <f t="shared" si="0"/>
        <v>#N/A</v>
      </c>
      <c r="T13" s="1503" t="s">
        <v>8</v>
      </c>
      <c r="U13" s="1504" t="e">
        <f t="shared" si="1"/>
        <v>#N/A</v>
      </c>
      <c r="V13" s="1503" t="s">
        <v>8</v>
      </c>
      <c r="W13" s="1504" t="e">
        <f t="shared" si="2"/>
        <v>#N/A</v>
      </c>
      <c r="X13" s="1505"/>
      <c r="Y13" s="3422"/>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6"/>
      <c r="Q14" s="1134">
        <f t="shared" si="6"/>
        <v>111</v>
      </c>
      <c r="R14" s="1503" t="s">
        <v>8</v>
      </c>
      <c r="S14" s="1504">
        <f t="shared" si="0"/>
        <v>100</v>
      </c>
      <c r="T14" s="1503" t="s">
        <v>8</v>
      </c>
      <c r="U14" s="1504">
        <f t="shared" si="1"/>
        <v>100</v>
      </c>
      <c r="V14" s="1503" t="s">
        <v>8</v>
      </c>
      <c r="W14" s="1504">
        <f t="shared" si="2"/>
        <v>100</v>
      </c>
      <c r="X14" s="1505"/>
      <c r="Y14" s="3422"/>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6"/>
      <c r="Q15" s="1134">
        <f t="shared" si="6"/>
        <v>111</v>
      </c>
      <c r="R15" s="1503" t="s">
        <v>8</v>
      </c>
      <c r="S15" s="1504">
        <f t="shared" si="0"/>
        <v>100</v>
      </c>
      <c r="T15" s="1503" t="s">
        <v>8</v>
      </c>
      <c r="U15" s="1504">
        <f t="shared" si="1"/>
        <v>100</v>
      </c>
      <c r="V15" s="1503" t="s">
        <v>8</v>
      </c>
      <c r="W15" s="1504">
        <f t="shared" si="2"/>
        <v>100</v>
      </c>
      <c r="X15" s="1505"/>
      <c r="Y15" s="3422"/>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6"/>
      <c r="Q16" s="1134">
        <f t="shared" si="6"/>
        <v>111</v>
      </c>
      <c r="R16" s="1503" t="s">
        <v>8</v>
      </c>
      <c r="S16" s="1504">
        <f t="shared" si="0"/>
        <v>100</v>
      </c>
      <c r="T16" s="1503" t="s">
        <v>8</v>
      </c>
      <c r="U16" s="1504">
        <f t="shared" si="1"/>
        <v>100</v>
      </c>
      <c r="V16" s="1503" t="s">
        <v>8</v>
      </c>
      <c r="W16" s="1504">
        <f t="shared" si="2"/>
        <v>100</v>
      </c>
      <c r="X16" s="1505"/>
      <c r="Y16" s="3422"/>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0" t="s">
        <v>534</v>
      </c>
      <c r="Q17" s="1507" t="str">
        <f t="shared" si="6"/>
        <v>产业集聚程度</v>
      </c>
      <c r="R17" s="1508" t="s">
        <v>8</v>
      </c>
      <c r="S17" s="1509">
        <f t="shared" si="0"/>
        <v>100</v>
      </c>
      <c r="T17" s="1508" t="s">
        <v>8</v>
      </c>
      <c r="U17" s="1509">
        <f t="shared" si="1"/>
        <v>100</v>
      </c>
      <c r="V17" s="1508" t="s">
        <v>8</v>
      </c>
      <c r="W17" s="1509">
        <f t="shared" si="2"/>
        <v>100</v>
      </c>
      <c r="X17" s="1502"/>
      <c r="Y17" s="3510"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1"/>
      <c r="Q18" s="1507"/>
      <c r="R18" s="1508"/>
      <c r="S18" s="1509"/>
      <c r="T18" s="1508"/>
      <c r="U18" s="1509"/>
      <c r="V18" s="1508"/>
      <c r="W18" s="1509"/>
      <c r="X18" s="1502"/>
      <c r="Y18" s="3511"/>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1"/>
      <c r="Q19" s="1507" t="str">
        <f>B19</f>
        <v>交通便捷度</v>
      </c>
      <c r="R19" s="1508" t="s">
        <v>8</v>
      </c>
      <c r="S19" s="1509">
        <f>F19</f>
        <v>100</v>
      </c>
      <c r="T19" s="1508" t="s">
        <v>8</v>
      </c>
      <c r="U19" s="1509">
        <f>H19</f>
        <v>100</v>
      </c>
      <c r="V19" s="1508" t="s">
        <v>8</v>
      </c>
      <c r="W19" s="1509">
        <f>J19</f>
        <v>100</v>
      </c>
      <c r="X19" s="1502"/>
      <c r="Y19" s="3511"/>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1"/>
      <c r="Q20" s="1507"/>
      <c r="R20" s="1508"/>
      <c r="S20" s="1509"/>
      <c r="T20" s="1508"/>
      <c r="U20" s="1509"/>
      <c r="V20" s="1508"/>
      <c r="W20" s="1509"/>
      <c r="X20" s="1502"/>
      <c r="Y20" s="3511"/>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1"/>
      <c r="Q21" s="1507" t="str">
        <f t="shared" ref="Q21:Q35" si="8">B21</f>
        <v>区域土地利用方向</v>
      </c>
      <c r="R21" s="1508" t="s">
        <v>8</v>
      </c>
      <c r="S21" s="1509">
        <f>F21</f>
        <v>100</v>
      </c>
      <c r="T21" s="1508" t="s">
        <v>8</v>
      </c>
      <c r="U21" s="1509">
        <f>H21</f>
        <v>100</v>
      </c>
      <c r="V21" s="1508" t="s">
        <v>8</v>
      </c>
      <c r="W21" s="1509">
        <f>J21</f>
        <v>100</v>
      </c>
      <c r="X21" s="1502"/>
      <c r="Y21" s="3511"/>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1"/>
      <c r="Q22" s="1507"/>
      <c r="R22" s="1508"/>
      <c r="S22" s="1509"/>
      <c r="T22" s="1508"/>
      <c r="U22" s="1509"/>
      <c r="V22" s="1508"/>
      <c r="W22" s="1509"/>
      <c r="X22" s="1502"/>
      <c r="Y22" s="3511"/>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1"/>
      <c r="Q23" s="1507" t="str">
        <f t="shared" si="8"/>
        <v>环境状况</v>
      </c>
      <c r="R23" s="1508" t="s">
        <v>8</v>
      </c>
      <c r="S23" s="1509">
        <f>F23</f>
        <v>100</v>
      </c>
      <c r="T23" s="1508" t="s">
        <v>8</v>
      </c>
      <c r="U23" s="1509">
        <f>H23</f>
        <v>100</v>
      </c>
      <c r="V23" s="1508" t="s">
        <v>8</v>
      </c>
      <c r="W23" s="1509">
        <f>J23</f>
        <v>100</v>
      </c>
      <c r="X23" s="1502"/>
      <c r="Y23" s="3511"/>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1"/>
      <c r="Q24" s="1507"/>
      <c r="R24" s="1508"/>
      <c r="S24" s="1509"/>
      <c r="T24" s="1508"/>
      <c r="U24" s="1509"/>
      <c r="V24" s="1508"/>
      <c r="W24" s="1509"/>
      <c r="X24" s="1502"/>
      <c r="Y24" s="3511"/>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1"/>
      <c r="Q25" s="1134" t="str">
        <f t="shared" si="8"/>
        <v>公共配套设施</v>
      </c>
      <c r="R25" s="1503" t="s">
        <v>8</v>
      </c>
      <c r="S25" s="1504">
        <f>F25</f>
        <v>100</v>
      </c>
      <c r="T25" s="1503" t="s">
        <v>8</v>
      </c>
      <c r="U25" s="1504">
        <f>H25</f>
        <v>100</v>
      </c>
      <c r="V25" s="1503" t="s">
        <v>8</v>
      </c>
      <c r="W25" s="1504">
        <f>J25</f>
        <v>100</v>
      </c>
      <c r="X25" s="1505"/>
      <c r="Y25" s="3511"/>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1"/>
      <c r="Q26" s="1134"/>
      <c r="R26" s="1503"/>
      <c r="S26" s="1504"/>
      <c r="T26" s="1503"/>
      <c r="U26" s="1504"/>
      <c r="V26" s="1503"/>
      <c r="W26" s="1504"/>
      <c r="X26" s="1505"/>
      <c r="Y26" s="3511"/>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1"/>
      <c r="Q27" s="2429" t="str">
        <f t="shared" ref="Q27" si="9">B27</f>
        <v>基础设施水平</v>
      </c>
      <c r="R27" s="1503" t="s">
        <v>8</v>
      </c>
      <c r="S27" s="1504">
        <f>F27</f>
        <v>100</v>
      </c>
      <c r="T27" s="1503" t="s">
        <v>8</v>
      </c>
      <c r="U27" s="1504">
        <f>H27</f>
        <v>100</v>
      </c>
      <c r="V27" s="1503" t="s">
        <v>8</v>
      </c>
      <c r="W27" s="1504">
        <f>J27</f>
        <v>100</v>
      </c>
      <c r="X27" s="1505"/>
      <c r="Y27" s="3511"/>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1"/>
      <c r="Q28" s="2429"/>
      <c r="R28" s="1503"/>
      <c r="S28" s="1504"/>
      <c r="T28" s="1503"/>
      <c r="U28" s="1504"/>
      <c r="V28" s="1503"/>
      <c r="W28" s="1504"/>
      <c r="X28" s="1505"/>
      <c r="Y28" s="3511"/>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1"/>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1"/>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1"/>
      <c r="Q30" s="1507" t="str">
        <f t="shared" si="8"/>
        <v>毗邻道路的类型与等级</v>
      </c>
      <c r="R30" s="1508" t="s">
        <v>8</v>
      </c>
      <c r="S30" s="1509">
        <f t="shared" si="10"/>
        <v>100</v>
      </c>
      <c r="T30" s="1508" t="s">
        <v>8</v>
      </c>
      <c r="U30" s="1509">
        <f t="shared" si="11"/>
        <v>100</v>
      </c>
      <c r="V30" s="1508" t="s">
        <v>8</v>
      </c>
      <c r="W30" s="1509">
        <f t="shared" si="12"/>
        <v>100</v>
      </c>
      <c r="X30" s="1502"/>
      <c r="Y30" s="3511"/>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1"/>
      <c r="Q31" s="1507"/>
      <c r="R31" s="1508"/>
      <c r="S31" s="1509"/>
      <c r="T31" s="1508"/>
      <c r="U31" s="1509"/>
      <c r="V31" s="1508"/>
      <c r="W31" s="1509"/>
      <c r="X31" s="1502"/>
      <c r="Y31" s="3511"/>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1"/>
      <c r="Q32" s="1507" t="str">
        <f t="shared" si="8"/>
        <v>土地级别</v>
      </c>
      <c r="R32" s="1508" t="s">
        <v>8</v>
      </c>
      <c r="S32" s="1509">
        <f t="shared" si="10"/>
        <v>100</v>
      </c>
      <c r="T32" s="1508" t="s">
        <v>8</v>
      </c>
      <c r="U32" s="1509">
        <f t="shared" si="11"/>
        <v>100</v>
      </c>
      <c r="V32" s="1508" t="s">
        <v>8</v>
      </c>
      <c r="W32" s="1509">
        <f t="shared" si="12"/>
        <v>100</v>
      </c>
      <c r="X32" s="1502"/>
      <c r="Y32" s="3511"/>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1"/>
      <c r="Q33" s="1507">
        <f t="shared" si="8"/>
        <v>111</v>
      </c>
      <c r="R33" s="1508" t="s">
        <v>8</v>
      </c>
      <c r="S33" s="1509">
        <f t="shared" si="10"/>
        <v>100</v>
      </c>
      <c r="T33" s="1508" t="s">
        <v>8</v>
      </c>
      <c r="U33" s="1509">
        <f t="shared" si="11"/>
        <v>100</v>
      </c>
      <c r="V33" s="1508" t="s">
        <v>8</v>
      </c>
      <c r="W33" s="1509">
        <f t="shared" si="12"/>
        <v>100</v>
      </c>
      <c r="X33" s="1502"/>
      <c r="Y33" s="3511"/>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2" t="s">
        <v>544</v>
      </c>
      <c r="Q34" s="1507">
        <f t="shared" si="8"/>
        <v>111</v>
      </c>
      <c r="R34" s="1508" t="s">
        <v>8</v>
      </c>
      <c r="S34" s="1509">
        <f t="shared" si="10"/>
        <v>100</v>
      </c>
      <c r="T34" s="1508" t="s">
        <v>8</v>
      </c>
      <c r="U34" s="1509">
        <f t="shared" si="11"/>
        <v>100</v>
      </c>
      <c r="V34" s="1508" t="s">
        <v>8</v>
      </c>
      <c r="W34" s="1509">
        <f t="shared" si="12"/>
        <v>100</v>
      </c>
      <c r="X34" s="1502"/>
      <c r="Y34" s="3513"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3"/>
      <c r="Q35" s="1507">
        <f t="shared" si="8"/>
        <v>111</v>
      </c>
      <c r="R35" s="1512" t="s">
        <v>8</v>
      </c>
      <c r="S35" s="1513">
        <f t="shared" si="10"/>
        <v>100</v>
      </c>
      <c r="T35" s="1512" t="s">
        <v>8</v>
      </c>
      <c r="U35" s="1513">
        <f t="shared" si="11"/>
        <v>100</v>
      </c>
      <c r="V35" s="1512" t="s">
        <v>8</v>
      </c>
      <c r="W35" s="1513">
        <f t="shared" si="12"/>
        <v>100</v>
      </c>
      <c r="X35" s="1514"/>
      <c r="Y35" s="3513"/>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3"/>
      <c r="Q36" s="1507" t="str">
        <f>B36</f>
        <v>宗地面积</v>
      </c>
      <c r="R36" s="1508" t="s">
        <v>8</v>
      </c>
      <c r="S36" s="1509" t="e">
        <f t="shared" si="10"/>
        <v>#N/A</v>
      </c>
      <c r="T36" s="1508" t="s">
        <v>8</v>
      </c>
      <c r="U36" s="1509" t="e">
        <f t="shared" si="11"/>
        <v>#N/A</v>
      </c>
      <c r="V36" s="1508" t="s">
        <v>8</v>
      </c>
      <c r="W36" s="1509" t="e">
        <f t="shared" si="12"/>
        <v>#N/A</v>
      </c>
      <c r="X36" s="1502"/>
      <c r="Y36" s="3513"/>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3"/>
      <c r="Q37" s="1507" t="str">
        <f t="shared" ref="Q37:Q42" si="14">B37</f>
        <v>宗地形状</v>
      </c>
      <c r="R37" s="1508" t="s">
        <v>8</v>
      </c>
      <c r="S37" s="1509">
        <f t="shared" si="10"/>
        <v>100</v>
      </c>
      <c r="T37" s="1508" t="s">
        <v>8</v>
      </c>
      <c r="U37" s="1509">
        <f t="shared" si="11"/>
        <v>100</v>
      </c>
      <c r="V37" s="1508" t="s">
        <v>8</v>
      </c>
      <c r="W37" s="1509">
        <f t="shared" si="12"/>
        <v>100</v>
      </c>
      <c r="X37" s="1502"/>
      <c r="Y37" s="3513"/>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3"/>
      <c r="Q38" s="1507" t="str">
        <f t="shared" si="14"/>
        <v>宗地开发程度</v>
      </c>
      <c r="R38" s="1503" t="s">
        <v>8</v>
      </c>
      <c r="S38" s="1504">
        <f t="shared" si="10"/>
        <v>100</v>
      </c>
      <c r="T38" s="1503" t="s">
        <v>8</v>
      </c>
      <c r="U38" s="1504">
        <f t="shared" si="11"/>
        <v>100</v>
      </c>
      <c r="V38" s="1503" t="s">
        <v>8</v>
      </c>
      <c r="W38" s="1504">
        <f t="shared" si="12"/>
        <v>100</v>
      </c>
      <c r="X38" s="1505"/>
      <c r="Y38" s="3513"/>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3" t="s">
        <v>595</v>
      </c>
      <c r="Q39" s="1507" t="str">
        <f t="shared" si="14"/>
        <v>工程地质条件</v>
      </c>
      <c r="R39" s="1508" t="s">
        <v>8</v>
      </c>
      <c r="S39" s="1509">
        <f t="shared" si="10"/>
        <v>100</v>
      </c>
      <c r="T39" s="1508" t="s">
        <v>8</v>
      </c>
      <c r="U39" s="1509">
        <f t="shared" si="11"/>
        <v>100</v>
      </c>
      <c r="V39" s="1508" t="s">
        <v>8</v>
      </c>
      <c r="W39" s="1509">
        <f t="shared" si="12"/>
        <v>100</v>
      </c>
      <c r="X39" s="1502"/>
      <c r="Y39" s="3513"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3"/>
      <c r="Q40" s="1507">
        <f t="shared" si="14"/>
        <v>111</v>
      </c>
      <c r="R40" s="1508" t="s">
        <v>8</v>
      </c>
      <c r="S40" s="1509">
        <f t="shared" si="10"/>
        <v>100</v>
      </c>
      <c r="T40" s="1508" t="s">
        <v>8</v>
      </c>
      <c r="U40" s="1509">
        <f t="shared" si="11"/>
        <v>100</v>
      </c>
      <c r="V40" s="1508" t="s">
        <v>8</v>
      </c>
      <c r="W40" s="1509">
        <f t="shared" si="12"/>
        <v>100</v>
      </c>
      <c r="X40" s="1502"/>
      <c r="Y40" s="3513"/>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3"/>
      <c r="Q41" s="1507">
        <f t="shared" si="14"/>
        <v>111</v>
      </c>
      <c r="R41" s="1508" t="s">
        <v>8</v>
      </c>
      <c r="S41" s="1509">
        <f t="shared" si="10"/>
        <v>100</v>
      </c>
      <c r="T41" s="1508" t="s">
        <v>8</v>
      </c>
      <c r="U41" s="1509">
        <f t="shared" si="11"/>
        <v>100</v>
      </c>
      <c r="V41" s="1508" t="s">
        <v>8</v>
      </c>
      <c r="W41" s="1509">
        <f t="shared" si="12"/>
        <v>100</v>
      </c>
      <c r="X41" s="1502"/>
      <c r="Y41" s="3513"/>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3"/>
      <c r="Q42" s="1507">
        <f t="shared" si="14"/>
        <v>111</v>
      </c>
      <c r="R42" s="1512" t="s">
        <v>8</v>
      </c>
      <c r="S42" s="1513">
        <f t="shared" si="10"/>
        <v>100</v>
      </c>
      <c r="T42" s="1512" t="s">
        <v>8</v>
      </c>
      <c r="U42" s="1513">
        <f t="shared" si="11"/>
        <v>100</v>
      </c>
      <c r="V42" s="1512" t="s">
        <v>8</v>
      </c>
      <c r="W42" s="1513">
        <f t="shared" si="12"/>
        <v>100</v>
      </c>
      <c r="X42" s="1514"/>
      <c r="Y42" s="3513"/>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476" t="str">
        <f>A43</f>
        <v>成交单价</v>
      </c>
      <c r="Q43" s="3476"/>
      <c r="R43" s="3477">
        <f>E43</f>
        <v>0</v>
      </c>
      <c r="S43" s="3477"/>
      <c r="T43" s="3477">
        <f>G43</f>
        <v>0</v>
      </c>
      <c r="U43" s="3477"/>
      <c r="V43" s="3477">
        <f>I43</f>
        <v>0</v>
      </c>
      <c r="W43" s="3477"/>
      <c r="X43" s="1497"/>
      <c r="Y43" s="1516"/>
      <c r="Z43" s="1497"/>
      <c r="AA43" s="1497"/>
      <c r="AB43" s="1497"/>
      <c r="AC43" s="1497"/>
    </row>
    <row r="44" spans="1:29" ht="15.75" thickBot="1">
      <c r="A44" s="609" t="s">
        <v>2673</v>
      </c>
      <c r="B44" s="610"/>
      <c r="C44" s="611" t="e">
        <f>R45</f>
        <v>#DIV/0!</v>
      </c>
      <c r="D44" s="3015" t="s">
        <v>2971</v>
      </c>
      <c r="E44" s="611" t="e">
        <f>R44</f>
        <v>#DIV/0!</v>
      </c>
      <c r="F44" s="3016"/>
      <c r="G44" s="612" t="e">
        <f>T44</f>
        <v>#DIV/0!</v>
      </c>
      <c r="H44" s="3016"/>
      <c r="I44" s="611" t="e">
        <f>V44</f>
        <v>#DIV/0!</v>
      </c>
      <c r="J44" s="3016"/>
      <c r="K44" s="3017">
        <f>F44+H44+J44</f>
        <v>0</v>
      </c>
      <c r="L44" s="2027"/>
      <c r="M44" s="2017"/>
      <c r="N44" s="2017"/>
      <c r="O44" s="2028"/>
      <c r="P44" s="3476" t="str">
        <f>A44</f>
        <v>比较价格（元/平方米）</v>
      </c>
      <c r="Q44" s="3476"/>
      <c r="R44" s="3478" t="e">
        <f>ROUND(PRODUCT(R43,AA9:AA42),0)</f>
        <v>#DIV/0!</v>
      </c>
      <c r="S44" s="3478"/>
      <c r="T44" s="3478" t="e">
        <f>ROUND(PRODUCT(T43,AB9:AB42),0)</f>
        <v>#DIV/0!</v>
      </c>
      <c r="U44" s="3478"/>
      <c r="V44" s="3478" t="e">
        <f>ROUND(PRODUCT(V43,AC9:AC42),0)</f>
        <v>#DIV/0!</v>
      </c>
      <c r="W44" s="3478"/>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473" t="str">
        <f>A45</f>
        <v>估价对象XX用房的比较价格（楼面单价，元/平方米）</v>
      </c>
      <c r="Q45" s="3474"/>
      <c r="R45" s="3525" t="e">
        <f>ROUND(IF(D44="简单平均",AVERAGE(R44:W44),R44*F44+T44*H44+V44*J44),0)</f>
        <v>#DIV/0!</v>
      </c>
      <c r="S45" s="3525"/>
      <c r="T45" s="3525"/>
      <c r="U45" s="3525"/>
      <c r="V45" s="3525"/>
      <c r="W45" s="3525"/>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0" t="s">
        <v>2272</v>
      </c>
      <c r="H52" s="3521"/>
      <c r="I52" s="1867" t="s">
        <v>1934</v>
      </c>
      <c r="J52" s="1494" t="str">
        <f>项目基本情况!F41</f>
        <v>广西省</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145549.64000000001</v>
      </c>
      <c r="F53" s="1865" t="e">
        <f t="shared" ref="F53:F62" si="15">ROUND(B53*E53/10000,0)</f>
        <v>#DIV/0!</v>
      </c>
      <c r="G53" s="3522"/>
      <c r="H53" s="3523"/>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24" t="s">
        <v>2273</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24"/>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24"/>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24"/>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56000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55043.06</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2021-2-1</v>
      </c>
      <c r="D65" s="2517">
        <f>EDATE(C65,-3)</f>
        <v>44136</v>
      </c>
      <c r="E65" s="2517">
        <f t="shared" ref="E65:N65" si="18">EDATE(D65,-3)</f>
        <v>44044</v>
      </c>
      <c r="F65" s="2517">
        <f t="shared" si="18"/>
        <v>43952</v>
      </c>
      <c r="G65" s="2517">
        <f t="shared" si="18"/>
        <v>43862</v>
      </c>
      <c r="H65" s="2517">
        <f t="shared" si="18"/>
        <v>43770</v>
      </c>
      <c r="I65" s="2517">
        <f t="shared" si="18"/>
        <v>43678</v>
      </c>
      <c r="J65" s="2517">
        <f t="shared" si="18"/>
        <v>43586</v>
      </c>
      <c r="K65" s="2517">
        <f t="shared" si="18"/>
        <v>43497</v>
      </c>
      <c r="L65" s="2517">
        <f t="shared" si="18"/>
        <v>43405</v>
      </c>
      <c r="M65" s="2517">
        <f t="shared" si="18"/>
        <v>43313</v>
      </c>
      <c r="N65" s="2517">
        <f t="shared" si="18"/>
        <v>43221</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2021-1</v>
      </c>
      <c r="D67" s="2519" t="str">
        <f t="shared" ref="D67:N67" si="19">YEAR(D65)&amp;"-"&amp;ROUNDUP(MONTH(D65)/3,0)</f>
        <v>2020-4</v>
      </c>
      <c r="E67" s="2519" t="str">
        <f t="shared" si="19"/>
        <v>2020-3</v>
      </c>
      <c r="F67" s="2519" t="str">
        <f t="shared" si="19"/>
        <v>2020-2</v>
      </c>
      <c r="G67" s="2519" t="str">
        <f t="shared" si="19"/>
        <v>2020-1</v>
      </c>
      <c r="H67" s="2519" t="str">
        <f t="shared" si="19"/>
        <v>2019-4</v>
      </c>
      <c r="I67" s="2519" t="str">
        <f t="shared" si="19"/>
        <v>2019-3</v>
      </c>
      <c r="J67" s="2519" t="str">
        <f t="shared" si="19"/>
        <v>2019-2</v>
      </c>
      <c r="K67" s="2519" t="str">
        <f t="shared" si="19"/>
        <v>2019-1</v>
      </c>
      <c r="L67" s="2519" t="str">
        <f t="shared" si="19"/>
        <v>2018-4</v>
      </c>
      <c r="M67" s="2519" t="str">
        <f t="shared" si="19"/>
        <v>2018-3</v>
      </c>
      <c r="N67" s="2519" t="str">
        <f t="shared" si="19"/>
        <v>2018-2</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北京市平均增长率1.19%</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G42"/>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40"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2744</v>
      </c>
      <c r="X7" s="2645">
        <f>G2</f>
        <v>0</v>
      </c>
      <c r="Y7" s="2645" t="s">
        <v>2745</v>
      </c>
      <c r="Z7" s="2646">
        <f>G3</f>
        <v>0</v>
      </c>
      <c r="AA7" s="2074"/>
      <c r="AB7" s="2074"/>
      <c r="AC7" s="2075"/>
      <c r="AD7" s="2647"/>
      <c r="AE7" s="2647"/>
      <c r="AF7" s="2647"/>
      <c r="AG7" s="2647"/>
      <c r="AH7" s="2647"/>
      <c r="AI7" s="2647"/>
      <c r="AJ7" s="2648"/>
    </row>
    <row r="8" spans="1:39" ht="15">
      <c r="A8" s="3541"/>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27" t="s">
        <v>2762</v>
      </c>
      <c r="X8" s="3528"/>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41"/>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26"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41"/>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26"/>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41"/>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26" t="s">
        <v>2760</v>
      </c>
      <c r="X11" s="1035" t="s">
        <v>2745</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40"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26"/>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42"/>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26"/>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42"/>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43"/>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40" t="s">
        <v>1829</v>
      </c>
      <c r="B16" s="1376" t="s">
        <v>941</v>
      </c>
      <c r="C16" s="1039" t="e">
        <f>ROUND(IF(F17="与级别开发程度一致",0,(G17-E17)/C17),0)</f>
        <v>#DIV/0!</v>
      </c>
      <c r="D16" s="3534" t="s">
        <v>945</v>
      </c>
      <c r="E16" s="3535"/>
      <c r="F16" s="3534" t="s">
        <v>942</v>
      </c>
      <c r="G16" s="3535"/>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44"/>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44250</v>
      </c>
      <c r="H19" s="1416" t="s">
        <v>2955</v>
      </c>
      <c r="I19" s="2504" t="str">
        <f>IF(H19="季度增幅（自定义）",SUMIF(N21:N24,E2,O21:O24),"")</f>
        <v/>
      </c>
      <c r="J19" s="1412"/>
      <c r="K19" s="3235"/>
      <c r="L19" s="2754" t="s">
        <v>2820</v>
      </c>
      <c r="M19" s="2755">
        <f>ROUND(SUMIF(地价!B2:F2,E2,地价!B33:F33),0)</f>
        <v>0</v>
      </c>
      <c r="N19" s="2506" t="s">
        <v>1667</v>
      </c>
      <c r="O19" s="2505">
        <f>ROUNDDOWN(DATEDIF(E19,G19,"M")/3,0)</f>
        <v>28</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3.85E-2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2821</v>
      </c>
      <c r="M20" s="2838">
        <f>ROUND(SUMPRODUCT((地价!A4:A33=YEAR(G19)&amp;"-"&amp;ROUNDUP(MONTH(G19)/3,0))*(地价!B2:F2=E2)*(地价!B4:F33)),0)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2990</v>
      </c>
      <c r="C21" s="1141" t="b">
        <f>IF(B21="容积率修正",IF(G3&lt;=10,D22,J22),C23)</f>
        <v>0</v>
      </c>
      <c r="D21" s="1422"/>
      <c r="E21" s="1422"/>
      <c r="F21" s="1422"/>
      <c r="G21" s="1422"/>
      <c r="H21" s="1422"/>
      <c r="I21" s="1422"/>
      <c r="J21" s="1423"/>
      <c r="K21" s="3235"/>
      <c r="L21" s="1422"/>
      <c r="M21" s="1422"/>
      <c r="N21" s="1419" t="s">
        <v>966</v>
      </c>
      <c r="O21" s="1482"/>
      <c r="P21" s="2496">
        <f>SUMPRODUCT((地价!A3:A33=YEAR(G19)&amp;"-"&amp;ROUNDUP(MONTH(G19)/3,0))*(地价!AD2:AH2=N21)*(地价!AD3:AH33))</f>
        <v>1.0999999999999999E-2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SUMPRODUCT((地价!A3:A33=YEAR(G19)&amp;"-"&amp;ROUNDUP(MONTH(G19)/3,0))*(地价!AD2:AH2=N22)*(地价!AD3:AH33))</f>
        <v>1.0999999999999999E-2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SUMPRODUCT((地价!A3:A33=YEAR(G19)&amp;"-"&amp;ROUNDUP(MONTH(G19)/3,0))*(地价!AD2:AH2=N23)*(地价!AD3:AH33))</f>
        <v>1.8499999999999999E-2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SUMPRODUCT((地价!A3:A33=YEAR(G19)&amp;"-"&amp;ROUNDUP(MONTH(G19)/3,0))*(地价!AD2:AH2=N24)*(地价!AD3:AH33))</f>
        <v>1.1900000000000001E-2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2628</v>
      </c>
      <c r="O25" s="2840"/>
      <c r="P25" s="2303">
        <f>SUMPRODUCT((地价!A3:A33=YEAR(G19)&amp;"-"&amp;ROUNDUP(MONTH(G19)/3,0))*(地价!AD2:AH2=N25)*(地价!AD3:AH33))</f>
        <v>1.6799999999999999E-2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4.8000000000000001E-2</v>
      </c>
      <c r="N28" s="1480">
        <f ca="1">ROUND($E$20*(1+N27),3)</f>
        <v>4.5999999999999999E-2</v>
      </c>
      <c r="O28" s="1480">
        <f ca="1">ROUND($E$20*(1+O27),3)</f>
        <v>4.3999999999999997E-2</v>
      </c>
      <c r="P28" s="1481">
        <f ca="1">ROUND($E$20*(1+P27),3)</f>
        <v>4.2000000000000003E-2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6"/>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6" t="s">
        <v>2994</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7"/>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7"/>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7"/>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7"/>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38"/>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38"/>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2949</v>
      </c>
      <c r="C41" s="828" t="e">
        <f>ROUND(POWER(1+E41,H41-G41)*(POWER(1+E41,G41)-1)/(POWER(1+E41,H41)-1),4)</f>
        <v>#DIV/0!</v>
      </c>
      <c r="D41" s="372" t="s">
        <v>2947</v>
      </c>
      <c r="E41" s="2833">
        <f>G20</f>
        <v>0</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45" t="s">
        <v>1624</v>
      </c>
      <c r="B90" s="3545"/>
      <c r="C90" s="3545"/>
      <c r="D90" s="3545"/>
      <c r="E90" s="3545"/>
      <c r="F90" s="3545"/>
      <c r="G90" s="3545"/>
      <c r="H90" s="3545"/>
      <c r="I90" s="3545"/>
      <c r="J90" s="3545"/>
      <c r="K90" s="2306"/>
      <c r="L90" s="2306"/>
      <c r="M90" s="2306"/>
      <c r="N90" s="2306"/>
    </row>
    <row r="91" spans="1:40">
      <c r="A91" s="3546" t="s">
        <v>1434</v>
      </c>
      <c r="B91" s="3546" t="s">
        <v>1625</v>
      </c>
      <c r="C91" s="1123" t="s">
        <v>1626</v>
      </c>
      <c r="D91" s="1124"/>
      <c r="E91" s="1124"/>
      <c r="F91" s="1124"/>
      <c r="G91" s="1124"/>
      <c r="H91" s="1124"/>
      <c r="I91" s="1124"/>
      <c r="J91" s="1125"/>
      <c r="K91" s="1117"/>
      <c r="L91" s="1117"/>
      <c r="M91" s="1117"/>
      <c r="N91" s="1117"/>
    </row>
    <row r="92" spans="1:40">
      <c r="A92" s="3546"/>
      <c r="B92" s="3546"/>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9"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0"/>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1"/>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9"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30"/>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30"/>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30"/>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30"/>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30"/>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30"/>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30"/>
      <c r="B108" s="3532"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1"/>
      <c r="B109" s="3533"/>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39" t="s">
        <v>1630</v>
      </c>
      <c r="B110" s="3539"/>
      <c r="C110" s="3539"/>
      <c r="D110" s="3539"/>
      <c r="E110" s="3539"/>
      <c r="F110" s="3539"/>
      <c r="G110" s="3539"/>
      <c r="H110" s="3539"/>
      <c r="I110" s="3539"/>
      <c r="J110" s="3539"/>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2952</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6" t="s">
        <v>998</v>
      </c>
      <c r="B18" s="1137" t="s">
        <v>1437</v>
      </c>
      <c r="C18" s="1114" t="s">
        <v>1438</v>
      </c>
      <c r="D18" s="1115"/>
      <c r="E18" s="1137">
        <v>1</v>
      </c>
      <c r="F18" s="1116" t="s">
        <v>1439</v>
      </c>
      <c r="G18" s="1117"/>
      <c r="H18" s="1088"/>
      <c r="I18" s="1088"/>
    </row>
    <row r="19" spans="1:9" s="1530" customFormat="1" ht="19.5" customHeight="1">
      <c r="A19" s="3546"/>
      <c r="B19" s="3546" t="s">
        <v>1440</v>
      </c>
      <c r="C19" s="1114" t="s">
        <v>1441</v>
      </c>
      <c r="D19" s="1115"/>
      <c r="E19" s="1137">
        <v>0.9</v>
      </c>
      <c r="F19" s="1116" t="s">
        <v>1442</v>
      </c>
      <c r="G19" s="1117"/>
      <c r="H19" s="1088"/>
      <c r="I19" s="1088"/>
    </row>
    <row r="20" spans="1:9" s="1530" customFormat="1" ht="19.5" customHeight="1">
      <c r="A20" s="3546"/>
      <c r="B20" s="3546"/>
      <c r="C20" s="1114" t="s">
        <v>1443</v>
      </c>
      <c r="D20" s="1115"/>
      <c r="E20" s="1137">
        <v>1.1000000000000001</v>
      </c>
      <c r="F20" s="1116" t="s">
        <v>1444</v>
      </c>
      <c r="G20" s="1117"/>
      <c r="H20" s="1088"/>
      <c r="I20" s="1088"/>
    </row>
    <row r="21" spans="1:9" s="1530" customFormat="1" ht="19.5" customHeight="1">
      <c r="A21" s="3546"/>
      <c r="B21" s="3546"/>
      <c r="C21" s="1114" t="s">
        <v>1445</v>
      </c>
      <c r="D21" s="1115"/>
      <c r="E21" s="1137">
        <v>0.8</v>
      </c>
      <c r="F21" s="1116" t="s">
        <v>1446</v>
      </c>
      <c r="G21" s="1117"/>
      <c r="H21" s="1088"/>
      <c r="I21" s="1088"/>
    </row>
    <row r="22" spans="1:9" s="1530" customFormat="1" ht="19.5" customHeight="1">
      <c r="A22" s="3546"/>
      <c r="B22" s="3546"/>
      <c r="C22" s="1114" t="s">
        <v>1447</v>
      </c>
      <c r="D22" s="1115"/>
      <c r="E22" s="1137">
        <v>0.5</v>
      </c>
      <c r="F22" s="1116"/>
      <c r="G22" s="1117"/>
      <c r="H22" s="1088"/>
      <c r="I22" s="1088"/>
    </row>
    <row r="23" spans="1:9" s="1530" customFormat="1" ht="19.5" customHeight="1">
      <c r="A23" s="3546" t="s">
        <v>1020</v>
      </c>
      <c r="B23" s="1137" t="s">
        <v>1437</v>
      </c>
      <c r="C23" s="1114" t="s">
        <v>1448</v>
      </c>
      <c r="D23" s="1115"/>
      <c r="E23" s="1137">
        <v>1</v>
      </c>
      <c r="F23" s="1116" t="s">
        <v>1449</v>
      </c>
      <c r="G23" s="1117"/>
      <c r="H23" s="1088"/>
      <c r="I23" s="1088"/>
    </row>
    <row r="24" spans="1:9" s="1530" customFormat="1" ht="19.5" customHeight="1">
      <c r="A24" s="3546"/>
      <c r="B24" s="3546" t="s">
        <v>1440</v>
      </c>
      <c r="C24" s="1114" t="s">
        <v>1450</v>
      </c>
      <c r="D24" s="1115"/>
      <c r="E24" s="1137">
        <v>0.5</v>
      </c>
      <c r="F24" s="1116"/>
      <c r="G24" s="1117"/>
      <c r="H24" s="1088"/>
      <c r="I24" s="1088"/>
    </row>
    <row r="25" spans="1:9" s="1530" customFormat="1" ht="19.5" customHeight="1">
      <c r="A25" s="3546"/>
      <c r="B25" s="3546"/>
      <c r="C25" s="1114" t="s">
        <v>1451</v>
      </c>
      <c r="D25" s="1115"/>
      <c r="E25" s="1137">
        <v>1.1000000000000001</v>
      </c>
      <c r="F25" s="1116"/>
      <c r="G25" s="1117"/>
      <c r="H25" s="1088"/>
      <c r="I25" s="1088"/>
    </row>
    <row r="26" spans="1:9" s="1530" customFormat="1" ht="19.5" customHeight="1">
      <c r="A26" s="3546"/>
      <c r="B26" s="3546"/>
      <c r="C26" s="1114" t="s">
        <v>1452</v>
      </c>
      <c r="D26" s="1115"/>
      <c r="E26" s="1137">
        <v>1.1000000000000001</v>
      </c>
      <c r="F26" s="1116"/>
      <c r="G26" s="1117"/>
      <c r="H26" s="1088"/>
      <c r="I26" s="1088"/>
    </row>
    <row r="27" spans="1:9" s="1530" customFormat="1" ht="19.5" customHeight="1">
      <c r="A27" s="3546"/>
      <c r="B27" s="3546"/>
      <c r="C27" s="1114" t="s">
        <v>1453</v>
      </c>
      <c r="D27" s="1115"/>
      <c r="E27" s="1137">
        <v>0.9</v>
      </c>
      <c r="F27" s="1116" t="s">
        <v>1454</v>
      </c>
      <c r="G27" s="1117"/>
      <c r="H27" s="1088"/>
      <c r="I27" s="1088"/>
    </row>
    <row r="28" spans="1:9" s="1530" customFormat="1" ht="19.5" customHeight="1">
      <c r="A28" s="3546"/>
      <c r="B28" s="3546"/>
      <c r="C28" s="1114" t="s">
        <v>1455</v>
      </c>
      <c r="D28" s="1115"/>
      <c r="E28" s="1137">
        <v>0.9</v>
      </c>
      <c r="F28" s="1116" t="s">
        <v>1456</v>
      </c>
      <c r="G28" s="1117"/>
      <c r="H28" s="1088"/>
      <c r="I28" s="1088"/>
    </row>
    <row r="29" spans="1:9" s="1530" customFormat="1" ht="19.5" customHeight="1">
      <c r="A29" s="3546"/>
      <c r="B29" s="3546"/>
      <c r="C29" s="1114" t="s">
        <v>1457</v>
      </c>
      <c r="D29" s="1115"/>
      <c r="E29" s="1137">
        <v>0.9</v>
      </c>
      <c r="F29" s="1116" t="s">
        <v>1458</v>
      </c>
      <c r="G29" s="1117"/>
      <c r="H29" s="1088"/>
      <c r="I29" s="1088"/>
    </row>
    <row r="30" spans="1:9" s="1530" customFormat="1" ht="19.5" customHeight="1">
      <c r="A30" s="3546"/>
      <c r="B30" s="3546"/>
      <c r="C30" s="1114" t="s">
        <v>1459</v>
      </c>
      <c r="D30" s="1115"/>
      <c r="E30" s="1137">
        <v>0.9</v>
      </c>
      <c r="F30" s="1116" t="s">
        <v>1460</v>
      </c>
      <c r="G30" s="1117"/>
      <c r="H30" s="1088"/>
      <c r="I30" s="1088"/>
    </row>
    <row r="31" spans="1:9" s="1530" customFormat="1" ht="19.5" customHeight="1">
      <c r="A31" s="3546"/>
      <c r="B31" s="3546"/>
      <c r="C31" s="1114" t="s">
        <v>1461</v>
      </c>
      <c r="D31" s="1115"/>
      <c r="E31" s="1137">
        <v>0.8</v>
      </c>
      <c r="F31" s="1116" t="s">
        <v>1462</v>
      </c>
      <c r="G31" s="1117"/>
      <c r="H31" s="1088"/>
      <c r="I31" s="1088"/>
    </row>
    <row r="32" spans="1:9" s="1530" customFormat="1" ht="19.5" customHeight="1">
      <c r="A32" s="3546"/>
      <c r="B32" s="3546"/>
      <c r="C32" s="1114" t="s">
        <v>1463</v>
      </c>
      <c r="D32" s="1115"/>
      <c r="E32" s="1137">
        <v>0.8</v>
      </c>
      <c r="F32" s="1116" t="s">
        <v>1464</v>
      </c>
      <c r="G32" s="1117"/>
      <c r="H32" s="1088"/>
      <c r="I32" s="1088"/>
    </row>
    <row r="33" spans="1:9" s="1530" customFormat="1" ht="19.5" customHeight="1">
      <c r="A33" s="3546" t="s">
        <v>1465</v>
      </c>
      <c r="B33" s="1137" t="s">
        <v>1437</v>
      </c>
      <c r="C33" s="1114" t="s">
        <v>1466</v>
      </c>
      <c r="D33" s="1115"/>
      <c r="E33" s="1137">
        <v>1</v>
      </c>
      <c r="F33" s="1116" t="s">
        <v>1467</v>
      </c>
      <c r="G33" s="1117"/>
      <c r="H33" s="1088"/>
      <c r="I33" s="1088"/>
    </row>
    <row r="34" spans="1:9" s="1530" customFormat="1" ht="19.5" customHeight="1">
      <c r="A34" s="3546"/>
      <c r="B34" s="1137" t="s">
        <v>1440</v>
      </c>
      <c r="C34" s="1114" t="s">
        <v>1468</v>
      </c>
      <c r="D34" s="1115"/>
      <c r="E34" s="1137">
        <v>1.5</v>
      </c>
      <c r="F34" s="1116" t="s">
        <v>1469</v>
      </c>
      <c r="G34" s="1117"/>
      <c r="H34" s="1088"/>
      <c r="I34" s="1088"/>
    </row>
    <row r="35" spans="1:9" s="1530" customFormat="1" ht="19.5" customHeight="1">
      <c r="A35" s="3546" t="s">
        <v>1423</v>
      </c>
      <c r="B35" s="1137" t="s">
        <v>1437</v>
      </c>
      <c r="C35" s="1114" t="s">
        <v>1470</v>
      </c>
      <c r="D35" s="1115"/>
      <c r="E35" s="1137">
        <v>1</v>
      </c>
      <c r="F35" s="1116" t="s">
        <v>1471</v>
      </c>
      <c r="G35" s="1117"/>
      <c r="H35" s="1088"/>
      <c r="I35" s="1088"/>
    </row>
    <row r="36" spans="1:9" s="1530" customFormat="1" ht="19.5" customHeight="1">
      <c r="A36" s="3546"/>
      <c r="B36" s="3546" t="s">
        <v>1440</v>
      </c>
      <c r="C36" s="1114" t="s">
        <v>1472</v>
      </c>
      <c r="D36" s="1115"/>
      <c r="E36" s="1137">
        <v>1</v>
      </c>
      <c r="F36" s="1116" t="s">
        <v>1473</v>
      </c>
      <c r="G36" s="1117"/>
      <c r="H36" s="1088"/>
      <c r="I36" s="1088"/>
    </row>
    <row r="37" spans="1:9" s="1530" customFormat="1" ht="19.5" customHeight="1">
      <c r="A37" s="3546"/>
      <c r="B37" s="3546"/>
      <c r="C37" s="1114" t="s">
        <v>1474</v>
      </c>
      <c r="D37" s="1115"/>
      <c r="E37" s="1137">
        <v>1.5</v>
      </c>
      <c r="F37" s="1116" t="s">
        <v>1475</v>
      </c>
      <c r="G37" s="1117"/>
      <c r="H37" s="1088"/>
      <c r="I37" s="1088"/>
    </row>
    <row r="38" spans="1:9" s="1530" customFormat="1" ht="19.5" customHeight="1">
      <c r="A38" s="3546"/>
      <c r="B38" s="3546"/>
      <c r="C38" s="1114" t="s">
        <v>1476</v>
      </c>
      <c r="D38" s="1115"/>
      <c r="E38" s="1137">
        <v>1</v>
      </c>
      <c r="F38" s="1116" t="s">
        <v>1477</v>
      </c>
      <c r="G38" s="1117"/>
      <c r="H38" s="1088"/>
      <c r="I38" s="1088"/>
    </row>
    <row r="39" spans="1:9" s="1530" customFormat="1" ht="19.5" customHeight="1">
      <c r="A39" s="3546"/>
      <c r="B39" s="354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6" t="s">
        <v>1492</v>
      </c>
      <c r="C61" s="1051" t="s">
        <v>1493</v>
      </c>
      <c r="D61" s="1051" t="s">
        <v>1494</v>
      </c>
      <c r="E61" s="1122">
        <v>0.5</v>
      </c>
      <c r="F61" s="1137">
        <v>80</v>
      </c>
      <c r="H61" s="1088">
        <f>SUMIF(C59:C119,基准地价!C8,E59:E119)</f>
        <v>0</v>
      </c>
    </row>
    <row r="62" spans="1:8" s="1088" customFormat="1" ht="24">
      <c r="A62" s="1137">
        <v>2</v>
      </c>
      <c r="B62" s="3546"/>
      <c r="C62" s="1051" t="s">
        <v>1495</v>
      </c>
      <c r="D62" s="1051" t="s">
        <v>1496</v>
      </c>
      <c r="E62" s="1122">
        <v>0.5</v>
      </c>
      <c r="F62" s="1137">
        <v>80</v>
      </c>
    </row>
    <row r="63" spans="1:8" s="1088" customFormat="1" ht="36">
      <c r="A63" s="1137">
        <v>3</v>
      </c>
      <c r="B63" s="3546"/>
      <c r="C63" s="1051" t="s">
        <v>1497</v>
      </c>
      <c r="D63" s="1051" t="s">
        <v>1498</v>
      </c>
      <c r="E63" s="1122">
        <v>0.5</v>
      </c>
      <c r="F63" s="1137">
        <v>80</v>
      </c>
    </row>
    <row r="64" spans="1:8" s="1088" customFormat="1" ht="36">
      <c r="A64" s="1137">
        <v>4</v>
      </c>
      <c r="B64" s="3546"/>
      <c r="C64" s="1051" t="s">
        <v>1499</v>
      </c>
      <c r="D64" s="1051" t="s">
        <v>1500</v>
      </c>
      <c r="E64" s="1122">
        <v>0.4</v>
      </c>
      <c r="F64" s="1137">
        <v>60</v>
      </c>
    </row>
    <row r="65" spans="1:6" s="1088" customFormat="1" ht="36">
      <c r="A65" s="1137">
        <v>5</v>
      </c>
      <c r="B65" s="3546"/>
      <c r="C65" s="1051" t="s">
        <v>1501</v>
      </c>
      <c r="D65" s="1051" t="s">
        <v>1502</v>
      </c>
      <c r="E65" s="1122">
        <v>0.2</v>
      </c>
      <c r="F65" s="1137">
        <v>30</v>
      </c>
    </row>
    <row r="66" spans="1:6" s="1088" customFormat="1" ht="36">
      <c r="A66" s="1137">
        <v>6</v>
      </c>
      <c r="B66" s="3546"/>
      <c r="C66" s="1051" t="s">
        <v>1503</v>
      </c>
      <c r="D66" s="1051" t="s">
        <v>1504</v>
      </c>
      <c r="E66" s="1122">
        <v>0.3</v>
      </c>
      <c r="F66" s="1137">
        <v>50</v>
      </c>
    </row>
    <row r="67" spans="1:6" s="1088" customFormat="1" ht="36">
      <c r="A67" s="1137">
        <v>7</v>
      </c>
      <c r="B67" s="3546"/>
      <c r="C67" s="1051" t="s">
        <v>1505</v>
      </c>
      <c r="D67" s="1051" t="s">
        <v>1506</v>
      </c>
      <c r="E67" s="1122">
        <v>0.2</v>
      </c>
      <c r="F67" s="1137">
        <v>30</v>
      </c>
    </row>
    <row r="68" spans="1:6" s="1088" customFormat="1" ht="36">
      <c r="A68" s="1137">
        <v>8</v>
      </c>
      <c r="B68" s="3546"/>
      <c r="C68" s="1051" t="s">
        <v>1507</v>
      </c>
      <c r="D68" s="1051" t="s">
        <v>1508</v>
      </c>
      <c r="E68" s="1122">
        <v>0.2</v>
      </c>
      <c r="F68" s="1137">
        <v>30</v>
      </c>
    </row>
    <row r="69" spans="1:6" s="1088" customFormat="1" ht="36">
      <c r="A69" s="1137">
        <v>9</v>
      </c>
      <c r="B69" s="3546"/>
      <c r="C69" s="1051" t="s">
        <v>1509</v>
      </c>
      <c r="D69" s="1051" t="s">
        <v>1510</v>
      </c>
      <c r="E69" s="1122">
        <v>0.2</v>
      </c>
      <c r="F69" s="1137">
        <v>30</v>
      </c>
    </row>
    <row r="70" spans="1:6" s="1088" customFormat="1" ht="48">
      <c r="A70" s="1137">
        <v>10</v>
      </c>
      <c r="B70" s="3546"/>
      <c r="C70" s="1051" t="s">
        <v>1511</v>
      </c>
      <c r="D70" s="1051" t="s">
        <v>1512</v>
      </c>
      <c r="E70" s="1122">
        <v>0.2</v>
      </c>
      <c r="F70" s="1137">
        <v>30</v>
      </c>
    </row>
    <row r="71" spans="1:6" s="1088" customFormat="1" ht="48">
      <c r="A71" s="1137">
        <v>11</v>
      </c>
      <c r="B71" s="3546"/>
      <c r="C71" s="1051" t="s">
        <v>1513</v>
      </c>
      <c r="D71" s="1051" t="s">
        <v>1514</v>
      </c>
      <c r="E71" s="1122">
        <v>0.2</v>
      </c>
      <c r="F71" s="1137">
        <v>30</v>
      </c>
    </row>
    <row r="72" spans="1:6" s="1088" customFormat="1" ht="36">
      <c r="A72" s="1137">
        <v>12</v>
      </c>
      <c r="B72" s="3546"/>
      <c r="C72" s="1051" t="s">
        <v>1515</v>
      </c>
      <c r="D72" s="1051" t="s">
        <v>1516</v>
      </c>
      <c r="E72" s="1122">
        <v>0.5</v>
      </c>
      <c r="F72" s="1137">
        <v>80</v>
      </c>
    </row>
    <row r="73" spans="1:6" s="1088" customFormat="1" ht="24">
      <c r="A73" s="1137">
        <v>13</v>
      </c>
      <c r="B73" s="3546"/>
      <c r="C73" s="1051" t="s">
        <v>1517</v>
      </c>
      <c r="D73" s="1051" t="s">
        <v>1518</v>
      </c>
      <c r="E73" s="1122">
        <v>0.4</v>
      </c>
      <c r="F73" s="1137">
        <v>60</v>
      </c>
    </row>
    <row r="74" spans="1:6" s="1088" customFormat="1" ht="24">
      <c r="A74" s="1137">
        <v>14</v>
      </c>
      <c r="B74" s="3546"/>
      <c r="C74" s="1051" t="s">
        <v>1519</v>
      </c>
      <c r="D74" s="1051" t="s">
        <v>1520</v>
      </c>
      <c r="E74" s="1122">
        <v>0.2</v>
      </c>
      <c r="F74" s="1137">
        <v>30</v>
      </c>
    </row>
    <row r="75" spans="1:6" s="1088" customFormat="1" ht="24">
      <c r="A75" s="1137">
        <v>15</v>
      </c>
      <c r="B75" s="3546"/>
      <c r="C75" s="1051" t="s">
        <v>1521</v>
      </c>
      <c r="D75" s="1051" t="s">
        <v>1522</v>
      </c>
      <c r="E75" s="1122">
        <v>0.2</v>
      </c>
      <c r="F75" s="1137">
        <v>30</v>
      </c>
    </row>
    <row r="76" spans="1:6" s="1088" customFormat="1" ht="24">
      <c r="A76" s="1137">
        <v>16</v>
      </c>
      <c r="B76" s="3546" t="s">
        <v>1523</v>
      </c>
      <c r="C76" s="1051" t="s">
        <v>1524</v>
      </c>
      <c r="D76" s="1051" t="s">
        <v>1525</v>
      </c>
      <c r="E76" s="1122">
        <v>0.5</v>
      </c>
      <c r="F76" s="1137">
        <v>80</v>
      </c>
    </row>
    <row r="77" spans="1:6" s="1088" customFormat="1" ht="24">
      <c r="A77" s="1137">
        <v>17</v>
      </c>
      <c r="B77" s="3546"/>
      <c r="C77" s="1051" t="s">
        <v>1526</v>
      </c>
      <c r="D77" s="1051" t="s">
        <v>1527</v>
      </c>
      <c r="E77" s="1122">
        <v>0.5</v>
      </c>
      <c r="F77" s="1137">
        <v>80</v>
      </c>
    </row>
    <row r="78" spans="1:6" s="1088" customFormat="1" ht="24">
      <c r="A78" s="1137">
        <v>18</v>
      </c>
      <c r="B78" s="3546"/>
      <c r="C78" s="1051" t="s">
        <v>1528</v>
      </c>
      <c r="D78" s="1051" t="s">
        <v>1529</v>
      </c>
      <c r="E78" s="1122">
        <v>0.2</v>
      </c>
      <c r="F78" s="1137">
        <v>30</v>
      </c>
    </row>
    <row r="79" spans="1:6" s="1088" customFormat="1" ht="24">
      <c r="A79" s="1137">
        <v>19</v>
      </c>
      <c r="B79" s="3546"/>
      <c r="C79" s="1051" t="s">
        <v>1530</v>
      </c>
      <c r="D79" s="1051" t="s">
        <v>1531</v>
      </c>
      <c r="E79" s="1122">
        <v>0.5</v>
      </c>
      <c r="F79" s="1137">
        <v>80</v>
      </c>
    </row>
    <row r="80" spans="1:6" s="1088" customFormat="1" ht="36">
      <c r="A80" s="1137">
        <v>20</v>
      </c>
      <c r="B80" s="3546"/>
      <c r="C80" s="1051" t="s">
        <v>1532</v>
      </c>
      <c r="D80" s="1051" t="s">
        <v>1533</v>
      </c>
      <c r="E80" s="1122">
        <v>0.2</v>
      </c>
      <c r="F80" s="1137">
        <v>30</v>
      </c>
    </row>
    <row r="81" spans="1:6" s="1088" customFormat="1" ht="36">
      <c r="A81" s="1137">
        <v>21</v>
      </c>
      <c r="B81" s="3546"/>
      <c r="C81" s="1051" t="s">
        <v>1534</v>
      </c>
      <c r="D81" s="1051" t="s">
        <v>1535</v>
      </c>
      <c r="E81" s="1122">
        <v>0.2</v>
      </c>
      <c r="F81" s="1137">
        <v>30</v>
      </c>
    </row>
    <row r="82" spans="1:6" s="1088" customFormat="1" ht="48">
      <c r="A82" s="1137">
        <v>22</v>
      </c>
      <c r="B82" s="3546"/>
      <c r="C82" s="1051" t="s">
        <v>1536</v>
      </c>
      <c r="D82" s="1051" t="s">
        <v>1537</v>
      </c>
      <c r="E82" s="1122">
        <v>0.2</v>
      </c>
      <c r="F82" s="1137">
        <v>30</v>
      </c>
    </row>
    <row r="83" spans="1:6" s="1088" customFormat="1" ht="48">
      <c r="A83" s="1137">
        <v>23</v>
      </c>
      <c r="B83" s="3546"/>
      <c r="C83" s="1051" t="s">
        <v>1538</v>
      </c>
      <c r="D83" s="1051" t="s">
        <v>1539</v>
      </c>
      <c r="E83" s="1122">
        <v>0.2</v>
      </c>
      <c r="F83" s="1137">
        <v>30</v>
      </c>
    </row>
    <row r="84" spans="1:6" s="1088" customFormat="1" ht="36">
      <c r="A84" s="1137">
        <v>24</v>
      </c>
      <c r="B84" s="3546"/>
      <c r="C84" s="1051" t="s">
        <v>1540</v>
      </c>
      <c r="D84" s="1051" t="s">
        <v>1541</v>
      </c>
      <c r="E84" s="1122">
        <v>0.2</v>
      </c>
      <c r="F84" s="1137">
        <v>30</v>
      </c>
    </row>
    <row r="85" spans="1:6" s="1088" customFormat="1" ht="36">
      <c r="A85" s="1137">
        <v>25</v>
      </c>
      <c r="B85" s="3546"/>
      <c r="C85" s="1051" t="s">
        <v>1542</v>
      </c>
      <c r="D85" s="1051" t="s">
        <v>1543</v>
      </c>
      <c r="E85" s="1122">
        <v>0.5</v>
      </c>
      <c r="F85" s="1137">
        <v>80</v>
      </c>
    </row>
    <row r="86" spans="1:6" s="1088" customFormat="1" ht="36">
      <c r="A86" s="1137">
        <v>26</v>
      </c>
      <c r="B86" s="3546"/>
      <c r="C86" s="1051" t="s">
        <v>1544</v>
      </c>
      <c r="D86" s="1051" t="s">
        <v>1545</v>
      </c>
      <c r="E86" s="1122">
        <v>0.2</v>
      </c>
      <c r="F86" s="1137">
        <v>30</v>
      </c>
    </row>
    <row r="87" spans="1:6" s="1088" customFormat="1" ht="36">
      <c r="A87" s="1137">
        <v>27</v>
      </c>
      <c r="B87" s="3546"/>
      <c r="C87" s="1051" t="s">
        <v>1546</v>
      </c>
      <c r="D87" s="1051" t="s">
        <v>1547</v>
      </c>
      <c r="E87" s="1122">
        <v>0.2</v>
      </c>
      <c r="F87" s="1137">
        <v>30</v>
      </c>
    </row>
    <row r="88" spans="1:6" s="1088" customFormat="1" ht="36">
      <c r="A88" s="1137">
        <v>28</v>
      </c>
      <c r="B88" s="3546"/>
      <c r="C88" s="1051" t="s">
        <v>1548</v>
      </c>
      <c r="D88" s="1051" t="s">
        <v>1549</v>
      </c>
      <c r="E88" s="1122">
        <v>0.2</v>
      </c>
      <c r="F88" s="1137">
        <v>30</v>
      </c>
    </row>
    <row r="89" spans="1:6" s="1088" customFormat="1" ht="24">
      <c r="A89" s="1137">
        <v>29</v>
      </c>
      <c r="B89" s="3546"/>
      <c r="C89" s="1051" t="s">
        <v>1550</v>
      </c>
      <c r="D89" s="1051" t="s">
        <v>1551</v>
      </c>
      <c r="E89" s="1122">
        <v>0.2</v>
      </c>
      <c r="F89" s="1137">
        <v>30</v>
      </c>
    </row>
    <row r="90" spans="1:6" s="1088" customFormat="1" ht="24">
      <c r="A90" s="1137">
        <v>30</v>
      </c>
      <c r="B90" s="3546"/>
      <c r="C90" s="1051" t="s">
        <v>1552</v>
      </c>
      <c r="D90" s="1051" t="s">
        <v>1553</v>
      </c>
      <c r="E90" s="1122">
        <v>0.2</v>
      </c>
      <c r="F90" s="1137">
        <v>30</v>
      </c>
    </row>
    <row r="91" spans="1:6" s="1088" customFormat="1" ht="36">
      <c r="A91" s="1137">
        <v>31</v>
      </c>
      <c r="B91" s="3546"/>
      <c r="C91" s="1051" t="s">
        <v>1554</v>
      </c>
      <c r="D91" s="1051" t="s">
        <v>1555</v>
      </c>
      <c r="E91" s="1122">
        <v>0.2</v>
      </c>
      <c r="F91" s="1137">
        <v>30</v>
      </c>
    </row>
    <row r="92" spans="1:6" s="1088" customFormat="1" ht="24">
      <c r="A92" s="1137">
        <v>32</v>
      </c>
      <c r="B92" s="3546" t="s">
        <v>1556</v>
      </c>
      <c r="C92" s="1137" t="s">
        <v>1557</v>
      </c>
      <c r="D92" s="1051" t="s">
        <v>1558</v>
      </c>
      <c r="E92" s="1122">
        <v>0.2</v>
      </c>
      <c r="F92" s="1137">
        <v>30</v>
      </c>
    </row>
    <row r="93" spans="1:6" s="1088" customFormat="1" ht="36">
      <c r="A93" s="1137">
        <v>33</v>
      </c>
      <c r="B93" s="3546"/>
      <c r="C93" s="1137" t="s">
        <v>1559</v>
      </c>
      <c r="D93" s="1051" t="s">
        <v>1560</v>
      </c>
      <c r="E93" s="1122">
        <v>0.2</v>
      </c>
      <c r="F93" s="1137">
        <v>30</v>
      </c>
    </row>
    <row r="94" spans="1:6" s="1088" customFormat="1" ht="48">
      <c r="A94" s="1137">
        <v>34</v>
      </c>
      <c r="B94" s="3546"/>
      <c r="C94" s="1137" t="s">
        <v>1561</v>
      </c>
      <c r="D94" s="1051" t="s">
        <v>1562</v>
      </c>
      <c r="E94" s="1122">
        <v>0.2</v>
      </c>
      <c r="F94" s="1137">
        <v>30</v>
      </c>
    </row>
    <row r="95" spans="1:6" s="1088" customFormat="1" ht="36">
      <c r="A95" s="1137">
        <v>35</v>
      </c>
      <c r="B95" s="3546"/>
      <c r="C95" s="1137" t="s">
        <v>1563</v>
      </c>
      <c r="D95" s="1051" t="s">
        <v>1564</v>
      </c>
      <c r="E95" s="1122">
        <v>0.2</v>
      </c>
      <c r="F95" s="1137">
        <v>30</v>
      </c>
    </row>
    <row r="96" spans="1:6" s="1088" customFormat="1" ht="48">
      <c r="A96" s="1137">
        <v>36</v>
      </c>
      <c r="B96" s="3546"/>
      <c r="C96" s="1051" t="s">
        <v>1565</v>
      </c>
      <c r="D96" s="1051" t="s">
        <v>1566</v>
      </c>
      <c r="E96" s="1122">
        <v>0.2</v>
      </c>
      <c r="F96" s="1137">
        <v>30</v>
      </c>
    </row>
    <row r="97" spans="1:6" s="1088" customFormat="1" ht="36">
      <c r="A97" s="1137">
        <v>37</v>
      </c>
      <c r="B97" s="3546"/>
      <c r="C97" s="1137" t="s">
        <v>1567</v>
      </c>
      <c r="D97" s="1051" t="s">
        <v>1568</v>
      </c>
      <c r="E97" s="1122">
        <v>0.2</v>
      </c>
      <c r="F97" s="1137">
        <v>30</v>
      </c>
    </row>
    <row r="98" spans="1:6" s="1088" customFormat="1" ht="36">
      <c r="A98" s="1137">
        <v>38</v>
      </c>
      <c r="B98" s="3546"/>
      <c r="C98" s="1137" t="s">
        <v>1569</v>
      </c>
      <c r="D98" s="1051" t="s">
        <v>1570</v>
      </c>
      <c r="E98" s="1122">
        <v>0.2</v>
      </c>
      <c r="F98" s="1137">
        <v>30</v>
      </c>
    </row>
    <row r="99" spans="1:6" s="1088" customFormat="1" ht="36">
      <c r="A99" s="1137">
        <v>39</v>
      </c>
      <c r="B99" s="3546" t="s">
        <v>1571</v>
      </c>
      <c r="C99" s="1137" t="s">
        <v>1572</v>
      </c>
      <c r="D99" s="1051" t="s">
        <v>1573</v>
      </c>
      <c r="E99" s="1122">
        <v>0.3</v>
      </c>
      <c r="F99" s="1137">
        <v>50</v>
      </c>
    </row>
    <row r="100" spans="1:6" s="1088" customFormat="1" ht="24">
      <c r="A100" s="1137">
        <v>40</v>
      </c>
      <c r="B100" s="3546"/>
      <c r="C100" s="1137" t="s">
        <v>1574</v>
      </c>
      <c r="D100" s="1051" t="s">
        <v>1575</v>
      </c>
      <c r="E100" s="1122">
        <v>0.2</v>
      </c>
      <c r="F100" s="1137">
        <v>30</v>
      </c>
    </row>
    <row r="101" spans="1:6" s="1088" customFormat="1" ht="36">
      <c r="A101" s="1137">
        <v>41</v>
      </c>
      <c r="B101" s="354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6" t="s">
        <v>1586</v>
      </c>
      <c r="C105" s="1137" t="s">
        <v>1587</v>
      </c>
      <c r="D105" s="1051" t="s">
        <v>1588</v>
      </c>
      <c r="E105" s="1122">
        <v>0.2</v>
      </c>
      <c r="F105" s="1137">
        <v>30</v>
      </c>
    </row>
    <row r="106" spans="1:6" s="1088" customFormat="1" ht="36">
      <c r="A106" s="1137">
        <v>46</v>
      </c>
      <c r="B106" s="3546"/>
      <c r="C106" s="1137" t="s">
        <v>1589</v>
      </c>
      <c r="D106" s="1051" t="s">
        <v>1590</v>
      </c>
      <c r="E106" s="1122">
        <v>0.2</v>
      </c>
      <c r="F106" s="1137">
        <v>30</v>
      </c>
    </row>
    <row r="107" spans="1:6" s="1088" customFormat="1" ht="36">
      <c r="A107" s="1137">
        <v>47</v>
      </c>
      <c r="B107" s="3546" t="s">
        <v>1591</v>
      </c>
      <c r="C107" s="1137" t="s">
        <v>1592</v>
      </c>
      <c r="D107" s="1051" t="s">
        <v>1593</v>
      </c>
      <c r="E107" s="1122">
        <v>0.3</v>
      </c>
      <c r="F107" s="1137">
        <v>50</v>
      </c>
    </row>
    <row r="108" spans="1:6" s="1088" customFormat="1" ht="36">
      <c r="A108" s="1137">
        <v>48</v>
      </c>
      <c r="B108" s="354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6" t="s">
        <v>1602</v>
      </c>
      <c r="C111" s="1137" t="s">
        <v>1603</v>
      </c>
      <c r="D111" s="1051" t="s">
        <v>1604</v>
      </c>
      <c r="E111" s="1122">
        <v>0.2</v>
      </c>
      <c r="F111" s="1137">
        <v>30</v>
      </c>
    </row>
    <row r="112" spans="1:6" s="1088" customFormat="1" ht="24">
      <c r="A112" s="1137">
        <v>52</v>
      </c>
      <c r="B112" s="3546"/>
      <c r="C112" s="1137" t="s">
        <v>1605</v>
      </c>
      <c r="D112" s="1051" t="s">
        <v>1606</v>
      </c>
      <c r="E112" s="1122">
        <v>0.2</v>
      </c>
      <c r="F112" s="1137">
        <v>30</v>
      </c>
    </row>
    <row r="113" spans="1:14" s="1088" customFormat="1" ht="24">
      <c r="A113" s="1137">
        <v>53</v>
      </c>
      <c r="B113" s="354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6" t="s">
        <v>1615</v>
      </c>
      <c r="C116" s="1137" t="s">
        <v>1616</v>
      </c>
      <c r="D116" s="1051" t="s">
        <v>1617</v>
      </c>
      <c r="E116" s="1122">
        <v>0.2</v>
      </c>
      <c r="F116" s="1137">
        <v>30</v>
      </c>
    </row>
    <row r="117" spans="1:14" ht="36">
      <c r="A117" s="1137">
        <v>57</v>
      </c>
      <c r="B117" s="354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5" t="s">
        <v>1624</v>
      </c>
      <c r="B121" s="3545"/>
      <c r="C121" s="3545"/>
      <c r="D121" s="3545"/>
      <c r="E121" s="3545"/>
      <c r="F121" s="3545"/>
      <c r="G121" s="3545"/>
      <c r="H121" s="3545"/>
      <c r="I121" s="3545"/>
      <c r="J121" s="354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7" t="s">
        <v>1030</v>
      </c>
      <c r="B1" s="3547"/>
      <c r="C1" s="3547"/>
      <c r="D1" s="3547"/>
      <c r="E1" s="3547"/>
      <c r="F1" s="354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8" t="s">
        <v>1043</v>
      </c>
      <c r="B2" s="3548"/>
      <c r="C2" s="3548"/>
      <c r="D2" s="3548"/>
      <c r="E2" s="3548"/>
      <c r="F2" s="354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1" t="s">
        <v>2068</v>
      </c>
      <c r="B1" s="3551"/>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59" t="s">
        <v>2556</v>
      </c>
      <c r="C1" s="3559"/>
      <c r="D1" s="3559"/>
      <c r="E1" s="3559"/>
      <c r="F1" s="3559"/>
      <c r="G1" s="3558" t="s">
        <v>2557</v>
      </c>
      <c r="H1" s="3558"/>
      <c r="I1" s="3558"/>
      <c r="J1" s="3558"/>
      <c r="K1" s="3558"/>
      <c r="L1" s="3558"/>
      <c r="N1" s="3558" t="s">
        <v>2558</v>
      </c>
      <c r="O1" s="3558"/>
      <c r="P1" s="3558"/>
      <c r="Q1" s="3558"/>
      <c r="S1" s="3558" t="s">
        <v>2559</v>
      </c>
      <c r="T1" s="3558"/>
      <c r="U1" s="3558"/>
      <c r="V1" s="3558"/>
      <c r="X1" s="3557" t="s">
        <v>2619</v>
      </c>
      <c r="Y1" s="3558"/>
      <c r="Z1" s="3558"/>
      <c r="AA1" s="3558"/>
      <c r="AB1" s="3558"/>
      <c r="AD1" s="3557" t="s">
        <v>2623</v>
      </c>
      <c r="AE1" s="3558"/>
      <c r="AF1" s="3558"/>
      <c r="AG1" s="3558"/>
      <c r="AH1" s="3558"/>
    </row>
    <row r="2" spans="1:34" s="2866" customFormat="1" ht="14.25" thickBot="1">
      <c r="B2" s="2867" t="s">
        <v>2560</v>
      </c>
      <c r="C2" s="2867" t="s">
        <v>2621</v>
      </c>
      <c r="D2" s="2868" t="s">
        <v>1635</v>
      </c>
      <c r="E2" s="2868" t="s">
        <v>1938</v>
      </c>
      <c r="F2" s="2867" t="s">
        <v>2622</v>
      </c>
      <c r="G2" s="2869"/>
      <c r="I2" s="2867" t="s">
        <v>2922</v>
      </c>
      <c r="J2" s="2868" t="s">
        <v>2924</v>
      </c>
      <c r="K2" s="2868" t="s">
        <v>2925</v>
      </c>
      <c r="L2" s="2867" t="s">
        <v>2926</v>
      </c>
      <c r="N2" s="2867" t="s">
        <v>2560</v>
      </c>
      <c r="O2" s="2868" t="s">
        <v>2923</v>
      </c>
      <c r="P2" s="2868" t="s">
        <v>1938</v>
      </c>
      <c r="Q2" s="2867" t="s">
        <v>2622</v>
      </c>
      <c r="S2" s="2867" t="s">
        <v>2560</v>
      </c>
      <c r="T2" s="2868" t="s">
        <v>2923</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2933</v>
      </c>
      <c r="B3" s="2871"/>
      <c r="C3" s="2871"/>
      <c r="D3" s="2872"/>
      <c r="E3" s="2872"/>
      <c r="F3" s="2871"/>
      <c r="G3" s="2873"/>
      <c r="H3" s="2874"/>
      <c r="I3" s="2875">
        <f>ROUND(AVERAGE($I4:$I33),2)</f>
        <v>1.68</v>
      </c>
      <c r="J3" s="2875">
        <f>ROUND(AVERAGE($J4:$J33),2)</f>
        <v>1.1000000000000001</v>
      </c>
      <c r="K3" s="2875">
        <f>ROUND(AVERAGE($K4:$K33),2)</f>
        <v>1.85</v>
      </c>
      <c r="L3" s="2875">
        <f>ROUND(AVERAGE($L4:$L33),2)</f>
        <v>1.19</v>
      </c>
      <c r="N3" s="2873"/>
      <c r="S3" s="2873"/>
      <c r="W3" s="2877"/>
      <c r="X3" s="2878">
        <f>ROUND(SUMPRODUCT(PRODUCT(1+N3:N$32)),4)</f>
        <v>1.571</v>
      </c>
      <c r="Y3" s="2878">
        <f>ROUND(SUMPRODUCT(PRODUCT(1+O3:O$32)),4)</f>
        <v>1.3420000000000001</v>
      </c>
      <c r="Z3" s="2878">
        <f t="shared" ref="Z3:Z30" si="0">Y3</f>
        <v>1.3420000000000001</v>
      </c>
      <c r="AA3" s="2878">
        <f>ROUND(SUMPRODUCT(PRODUCT(1+P3:P$32)),4)</f>
        <v>1.6415999999999999</v>
      </c>
      <c r="AB3" s="2878">
        <f>ROUND(SUMPRODUCT(PRODUCT(1+Q3:Q$32)),4)</f>
        <v>1.389</v>
      </c>
      <c r="AD3" s="2879">
        <f>ROUND(AVERAGE(I3:I$33)/100,4)</f>
        <v>1.6799999999999999E-2</v>
      </c>
      <c r="AE3" s="2879">
        <f>ROUND(AVERAGE(J3:J$33)/100,4)</f>
        <v>1.0999999999999999E-2</v>
      </c>
      <c r="AF3" s="2879">
        <f t="shared" ref="AF3:AF31" si="1">AE3</f>
        <v>1.0999999999999999E-2</v>
      </c>
      <c r="AG3" s="2879">
        <f>ROUND(AVERAGE(K3:K$33)/100,4)</f>
        <v>1.8499999999999999E-2</v>
      </c>
      <c r="AH3" s="2879">
        <f>ROUND(AVERAGE(L3:L$33)/100,4)</f>
        <v>1.1900000000000001E-2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3001</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2934</v>
      </c>
      <c r="X5" s="2897">
        <f>ROUND(IF(项目基本情况!B5="出让",SUMPRODUCT(PRODUCT(1+N5:N$33)),SUMPRODUCT(PRODUCT(1+N5:N$32))),4)</f>
        <v>1.571</v>
      </c>
      <c r="Y5" s="2897">
        <f>ROUND(IF(项目基本情况!B5="出让",SUMPRODUCT(PRODUCT(1+O5:O$33)),SUMPRODUCT(PRODUCT(1+O5:O$32))),4)</f>
        <v>1.3420000000000001</v>
      </c>
      <c r="Z5" s="2897">
        <f t="shared" ref="Z5" si="11">Y5</f>
        <v>1.3420000000000001</v>
      </c>
      <c r="AA5" s="2897">
        <f>ROUND(IF(项目基本情况!B5="出让",SUMPRODUCT(PRODUCT(1+P5:P$33)),SUMPRODUCT(PRODUCT(1+P5:P$32))),4)</f>
        <v>1.6415999999999999</v>
      </c>
      <c r="AB5" s="2897">
        <f>ROUND(IF(项目基本情况!B5="出让",SUMPRODUCT(PRODUCT(1+Q5:Q$33)),SUMPRODUCT(PRODUCT(1+Q5:Q$32))),4)</f>
        <v>1.389</v>
      </c>
      <c r="AD5" s="2898">
        <f>ROUND(AVERAGE(I5:I$33)/100,4)</f>
        <v>1.6799999999999999E-2</v>
      </c>
      <c r="AE5" s="2898">
        <f>ROUND(AVERAGE(J5:J$33)/100,4)</f>
        <v>1.0999999999999999E-2</v>
      </c>
      <c r="AF5" s="2898">
        <f t="shared" ref="AF5" si="12">AE5</f>
        <v>1.0999999999999999E-2</v>
      </c>
      <c r="AG5" s="2898">
        <f>ROUND(AVERAGE(K5:K$33)/100,4)</f>
        <v>1.8499999999999999E-2</v>
      </c>
      <c r="AH5" s="2898">
        <f>ROUND(AVERAGE(L5:L$33)/100,4)</f>
        <v>1.1900000000000001E-2</v>
      </c>
    </row>
    <row r="6" spans="1:34" s="2906" customFormat="1">
      <c r="A6" s="2899" t="s">
        <v>3002</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4</v>
      </c>
      <c r="I6" s="2863">
        <v>0</v>
      </c>
      <c r="J6" s="2863">
        <v>0</v>
      </c>
      <c r="K6" s="2863">
        <v>0</v>
      </c>
      <c r="L6" s="2864">
        <v>0</v>
      </c>
      <c r="M6" s="2887"/>
      <c r="N6" s="2902">
        <f t="shared" ref="N6" si="18">I6/100</f>
        <v>0</v>
      </c>
      <c r="O6" s="2888">
        <f t="shared" ref="O6" si="19">J6/100</f>
        <v>0</v>
      </c>
      <c r="P6" s="2888">
        <f t="shared" ref="P6" si="20">K6/100</f>
        <v>0</v>
      </c>
      <c r="Q6" s="2888">
        <f t="shared" ref="Q6" si="21">L6/100</f>
        <v>0</v>
      </c>
      <c r="R6" s="2903"/>
      <c r="S6" s="2904"/>
      <c r="T6" s="2905"/>
      <c r="U6" s="2905"/>
      <c r="V6" s="2905"/>
      <c r="W6" s="2887"/>
      <c r="X6" s="2887">
        <f>ROUND(IF(项目基本情况!B6="出让",SUMPRODUCT(PRODUCT(1+N6:N$33)),SUMPRODUCT(PRODUCT(1+N6:N$32))),4)</f>
        <v>1.571</v>
      </c>
      <c r="Y6" s="2887">
        <f>ROUND(IF(项目基本情况!B6="出让",SUMPRODUCT(PRODUCT(1+O6:O$33)),SUMPRODUCT(PRODUCT(1+O6:O$32))),4)</f>
        <v>1.3420000000000001</v>
      </c>
      <c r="Z6" s="2887">
        <f t="shared" ref="Z6" si="22">Y6</f>
        <v>1.3420000000000001</v>
      </c>
      <c r="AA6" s="2887">
        <f>ROUND(IF(项目基本情况!B6="出让",SUMPRODUCT(PRODUCT(1+P6:P$33)),SUMPRODUCT(PRODUCT(1+P6:P$32))),4)</f>
        <v>1.6415999999999999</v>
      </c>
      <c r="AB6" s="2887">
        <f>ROUND(IF(项目基本情况!B6="出让",SUMPRODUCT(PRODUCT(1+Q6:Q$33)),SUMPRODUCT(PRODUCT(1+Q6:Q$32))),4)</f>
        <v>1.389</v>
      </c>
      <c r="AC6" s="2887"/>
      <c r="AD6" s="2888">
        <f>ROUND(AVERAGE(I6:I$33)/100,4)</f>
        <v>1.7399999999999999E-2</v>
      </c>
      <c r="AE6" s="2888">
        <f>ROUND(AVERAGE(J6:J$33)/100,4)</f>
        <v>1.14E-2</v>
      </c>
      <c r="AF6" s="2888">
        <f t="shared" ref="AF6" si="23">AE6</f>
        <v>1.14E-2</v>
      </c>
      <c r="AG6" s="2888">
        <f>ROUND(AVERAGE(K6:K$33)/100,4)</f>
        <v>1.9199999999999998E-2</v>
      </c>
      <c r="AH6" s="2888">
        <f>ROUND(AVERAGE(L6:L$33)/100,4)</f>
        <v>1.23E-2</v>
      </c>
    </row>
    <row r="7" spans="1:34" s="2906" customFormat="1">
      <c r="A7" s="2899" t="s">
        <v>3000</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2963</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2961</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2958</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2957</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2954</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2953</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2950</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53">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2943</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53"/>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2944</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53"/>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2940</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54"/>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2932</v>
      </c>
      <c r="B18" s="2916">
        <v>439</v>
      </c>
      <c r="C18" s="2916">
        <v>327</v>
      </c>
      <c r="D18" s="2916">
        <f t="shared" si="131"/>
        <v>327</v>
      </c>
      <c r="E18" s="2916">
        <v>627</v>
      </c>
      <c r="F18" s="2917">
        <v>283</v>
      </c>
      <c r="G18" s="3552">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2935</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53"/>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2561</v>
      </c>
      <c r="B20" s="2900">
        <f t="shared" si="143"/>
        <v>419.31181600000002</v>
      </c>
      <c r="C20" s="2900">
        <f t="shared" si="143"/>
        <v>313.95436800000004</v>
      </c>
      <c r="D20" s="2900">
        <f t="shared" si="131"/>
        <v>313.95436800000004</v>
      </c>
      <c r="E20" s="2900">
        <f t="shared" si="144"/>
        <v>596.63028431999999</v>
      </c>
      <c r="F20" s="2900">
        <f t="shared" si="144"/>
        <v>274.74220703999998</v>
      </c>
      <c r="G20" s="3553"/>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2562</v>
      </c>
      <c r="B21" s="2900">
        <f t="shared" si="143"/>
        <v>405.524</v>
      </c>
      <c r="C21" s="2900">
        <f t="shared" si="143"/>
        <v>307.79840000000002</v>
      </c>
      <c r="D21" s="2900">
        <f t="shared" si="131"/>
        <v>307.79840000000002</v>
      </c>
      <c r="E21" s="2900">
        <f t="shared" si="144"/>
        <v>574.67759999999998</v>
      </c>
      <c r="F21" s="2900">
        <f t="shared" si="144"/>
        <v>270.20280000000002</v>
      </c>
      <c r="G21" s="3554"/>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52">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53"/>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53"/>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56"/>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55">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53"/>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53"/>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56"/>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55">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53"/>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53"/>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56"/>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2620</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2563</v>
      </c>
      <c r="B34" s="2921">
        <v>299</v>
      </c>
      <c r="C34" s="2921">
        <v>252</v>
      </c>
      <c r="D34" s="2921">
        <f t="shared" si="153"/>
        <v>252</v>
      </c>
      <c r="E34" s="2921">
        <v>409</v>
      </c>
      <c r="F34" s="2922">
        <v>227</v>
      </c>
      <c r="G34" s="3560">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2564</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61"/>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2565</v>
      </c>
      <c r="B36" s="2900">
        <f t="shared" si="162"/>
        <v>288.2649053828776</v>
      </c>
      <c r="C36" s="2900">
        <f t="shared" si="162"/>
        <v>243.64564425013293</v>
      </c>
      <c r="D36" s="2900">
        <f t="shared" si="153"/>
        <v>243.64564425013293</v>
      </c>
      <c r="E36" s="2900">
        <f t="shared" si="163"/>
        <v>393.31080825986544</v>
      </c>
      <c r="F36" s="2900">
        <f t="shared" si="163"/>
        <v>223.07903790551154</v>
      </c>
      <c r="G36" s="3561"/>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2566</v>
      </c>
      <c r="B37" s="2900">
        <f t="shared" si="162"/>
        <v>282.50186729015837</v>
      </c>
      <c r="C37" s="2900">
        <f t="shared" si="162"/>
        <v>238.09796174155468</v>
      </c>
      <c r="D37" s="2900">
        <f t="shared" si="153"/>
        <v>238.09796174155468</v>
      </c>
      <c r="E37" s="2900">
        <f t="shared" si="163"/>
        <v>385.33438646014054</v>
      </c>
      <c r="F37" s="2900">
        <f t="shared" si="163"/>
        <v>221.55034055567739</v>
      </c>
      <c r="G37" s="3562"/>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2567</v>
      </c>
      <c r="B38" s="2949">
        <v>278</v>
      </c>
      <c r="C38" s="2949">
        <v>234</v>
      </c>
      <c r="D38" s="2949">
        <f t="shared" si="153"/>
        <v>234</v>
      </c>
      <c r="E38" s="2949">
        <v>379</v>
      </c>
      <c r="F38" s="2950">
        <v>220</v>
      </c>
      <c r="G38" s="3555">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2568</v>
      </c>
      <c r="B39" s="2900">
        <f>B38/(1+N38)</f>
        <v>275.49301357645425</v>
      </c>
      <c r="C39" s="2900">
        <f>C38/(1+O38)</f>
        <v>232.41954707985698</v>
      </c>
      <c r="D39" s="2900">
        <f t="shared" si="153"/>
        <v>232.41954707985698</v>
      </c>
      <c r="E39" s="2900">
        <f t="shared" ref="E39:F41" si="164">E38/(1+P38)</f>
        <v>375.32184591008121</v>
      </c>
      <c r="F39" s="2900">
        <f t="shared" si="164"/>
        <v>218.03766105054513</v>
      </c>
      <c r="G39" s="3553"/>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2569</v>
      </c>
      <c r="B40" s="2900">
        <f>B39/(1+N39)</f>
        <v>275.24529281292263</v>
      </c>
      <c r="C40" s="2900">
        <f>C39/(1+O39)</f>
        <v>231.74747938962707</v>
      </c>
      <c r="D40" s="2900">
        <f t="shared" si="153"/>
        <v>231.74747938962707</v>
      </c>
      <c r="E40" s="2900">
        <f t="shared" si="164"/>
        <v>375.35938184826603</v>
      </c>
      <c r="F40" s="2900">
        <f t="shared" si="164"/>
        <v>216.78033510692495</v>
      </c>
      <c r="G40" s="3553"/>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2570</v>
      </c>
      <c r="B41" s="2900">
        <f>B40/(1+N40)</f>
        <v>275.19025476197027</v>
      </c>
      <c r="C41" s="2951">
        <v>232</v>
      </c>
      <c r="D41" s="2951">
        <f t="shared" si="153"/>
        <v>232</v>
      </c>
      <c r="E41" s="2900">
        <f t="shared" si="164"/>
        <v>375.65990977608692</v>
      </c>
      <c r="F41" s="2900">
        <f t="shared" si="164"/>
        <v>214.12518283971252</v>
      </c>
      <c r="G41" s="3556"/>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2571</v>
      </c>
      <c r="B42" s="2921">
        <v>275</v>
      </c>
      <c r="C42" s="2921">
        <v>232</v>
      </c>
      <c r="D42" s="2921">
        <f t="shared" si="153"/>
        <v>232</v>
      </c>
      <c r="E42" s="2921">
        <v>376</v>
      </c>
      <c r="F42" s="2922">
        <v>213</v>
      </c>
      <c r="G42" s="3555">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2572</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53">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2573</v>
      </c>
      <c r="B44" s="2900">
        <f t="shared" si="165"/>
        <v>275.19335084830601</v>
      </c>
      <c r="C44" s="2900">
        <f t="shared" si="165"/>
        <v>230.18088050139744</v>
      </c>
      <c r="D44" s="2900">
        <f t="shared" si="153"/>
        <v>230.18088050139744</v>
      </c>
      <c r="E44" s="2900">
        <f t="shared" si="166"/>
        <v>377.58482925212331</v>
      </c>
      <c r="F44" s="2900">
        <f t="shared" si="166"/>
        <v>210.90687997847917</v>
      </c>
      <c r="G44" s="3553">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2574</v>
      </c>
      <c r="B45" s="2900">
        <f t="shared" si="165"/>
        <v>276.29854502841971</v>
      </c>
      <c r="C45" s="2900">
        <f t="shared" si="165"/>
        <v>229.79023709833027</v>
      </c>
      <c r="D45" s="2900">
        <f t="shared" si="153"/>
        <v>229.79023709833027</v>
      </c>
      <c r="E45" s="2900">
        <f t="shared" si="166"/>
        <v>379.78759731655936</v>
      </c>
      <c r="F45" s="2900">
        <f t="shared" si="166"/>
        <v>211.32953905659235</v>
      </c>
      <c r="G45" s="3556">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2575</v>
      </c>
      <c r="B46" s="2921">
        <v>269</v>
      </c>
      <c r="C46" s="2921">
        <v>221</v>
      </c>
      <c r="D46" s="2921">
        <f t="shared" si="153"/>
        <v>221</v>
      </c>
      <c r="E46" s="2921">
        <v>373</v>
      </c>
      <c r="F46" s="2922">
        <v>196</v>
      </c>
      <c r="G46" s="3555">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2576</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53">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2577</v>
      </c>
      <c r="B48" s="2900">
        <f t="shared" si="167"/>
        <v>242.95398227588385</v>
      </c>
      <c r="C48" s="2900">
        <f t="shared" si="167"/>
        <v>199.59137053614126</v>
      </c>
      <c r="D48" s="2900">
        <f t="shared" si="153"/>
        <v>199.59137053614126</v>
      </c>
      <c r="E48" s="2900">
        <f t="shared" si="168"/>
        <v>335.92189522342125</v>
      </c>
      <c r="F48" s="2900">
        <f t="shared" si="168"/>
        <v>183.10139991109489</v>
      </c>
      <c r="G48" s="3553">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2578</v>
      </c>
      <c r="B49" s="2900">
        <f t="shared" si="167"/>
        <v>232.06990378821649</v>
      </c>
      <c r="C49" s="2900">
        <f t="shared" si="167"/>
        <v>192.74878854286936</v>
      </c>
      <c r="D49" s="2900">
        <f t="shared" si="153"/>
        <v>192.74878854286936</v>
      </c>
      <c r="E49" s="2900">
        <f t="shared" si="168"/>
        <v>319.71247284992984</v>
      </c>
      <c r="F49" s="2900">
        <f t="shared" si="168"/>
        <v>175.67053622862409</v>
      </c>
      <c r="G49" s="3556">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2579</v>
      </c>
      <c r="B50" s="2921">
        <v>220</v>
      </c>
      <c r="C50" s="2921">
        <v>187</v>
      </c>
      <c r="D50" s="2921">
        <f t="shared" si="153"/>
        <v>187</v>
      </c>
      <c r="E50" s="2921">
        <v>301</v>
      </c>
      <c r="F50" s="2922">
        <v>168</v>
      </c>
      <c r="G50" s="3555">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2580</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53">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2581</v>
      </c>
      <c r="B52" s="2900">
        <f t="shared" si="169"/>
        <v>210.630522469011</v>
      </c>
      <c r="C52" s="2900">
        <f t="shared" si="169"/>
        <v>181.69567812247232</v>
      </c>
      <c r="D52" s="2900">
        <f t="shared" si="153"/>
        <v>181.69567812247232</v>
      </c>
      <c r="E52" s="2900">
        <f t="shared" si="170"/>
        <v>286.13517466736738</v>
      </c>
      <c r="F52" s="2900">
        <f t="shared" si="170"/>
        <v>165.47535084591149</v>
      </c>
      <c r="G52" s="3553">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2582</v>
      </c>
      <c r="B53" s="2900">
        <f t="shared" si="169"/>
        <v>208.83454537875372</v>
      </c>
      <c r="C53" s="2900">
        <f t="shared" si="169"/>
        <v>183.77230517090351</v>
      </c>
      <c r="D53" s="2900">
        <f t="shared" si="153"/>
        <v>183.77230517090351</v>
      </c>
      <c r="E53" s="2900">
        <f t="shared" si="170"/>
        <v>281.10342338870947</v>
      </c>
      <c r="F53" s="2900">
        <f t="shared" si="170"/>
        <v>168.97309388942256</v>
      </c>
      <c r="G53" s="3556">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2583</v>
      </c>
      <c r="B54" s="2949">
        <v>214</v>
      </c>
      <c r="C54" s="2949">
        <v>188</v>
      </c>
      <c r="D54" s="2949">
        <f t="shared" si="153"/>
        <v>188</v>
      </c>
      <c r="E54" s="2949">
        <v>289</v>
      </c>
      <c r="F54" s="2950">
        <v>166</v>
      </c>
      <c r="G54" s="3555">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2584</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53">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2585</v>
      </c>
      <c r="B56" s="2900">
        <f t="shared" si="171"/>
        <v>206.31694671589116</v>
      </c>
      <c r="C56" s="2900">
        <f t="shared" si="171"/>
        <v>183.61041121036101</v>
      </c>
      <c r="D56" s="2900">
        <f t="shared" si="153"/>
        <v>183.61041121036101</v>
      </c>
      <c r="E56" s="2900">
        <f t="shared" si="172"/>
        <v>276.66850301795557</v>
      </c>
      <c r="F56" s="2900">
        <f t="shared" si="172"/>
        <v>165.1360938278614</v>
      </c>
      <c r="G56" s="3553">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2586</v>
      </c>
      <c r="B57" s="2952">
        <f t="shared" si="171"/>
        <v>196.62341248059772</v>
      </c>
      <c r="C57" s="2952">
        <f t="shared" si="171"/>
        <v>170.99125648199012</v>
      </c>
      <c r="D57" s="2952">
        <f t="shared" si="153"/>
        <v>170.99125648199012</v>
      </c>
      <c r="E57" s="2952">
        <f t="shared" si="172"/>
        <v>266.07857570490052</v>
      </c>
      <c r="F57" s="2952">
        <f t="shared" si="172"/>
        <v>154.53499328828505</v>
      </c>
      <c r="G57" s="3556">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2587</v>
      </c>
      <c r="B58" s="2921">
        <v>188</v>
      </c>
      <c r="C58" s="2921">
        <v>165</v>
      </c>
      <c r="D58" s="2921">
        <f t="shared" si="153"/>
        <v>165</v>
      </c>
      <c r="E58" s="2921">
        <v>254</v>
      </c>
      <c r="F58" s="2922">
        <v>148</v>
      </c>
      <c r="G58" s="3555">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2588</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53">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2589</v>
      </c>
      <c r="B60" s="2900">
        <f t="shared" si="175"/>
        <v>168.82017748715555</v>
      </c>
      <c r="C60" s="2900">
        <f t="shared" si="175"/>
        <v>148.06267029972753</v>
      </c>
      <c r="D60" s="2900">
        <f t="shared" si="153"/>
        <v>148.06267029972753</v>
      </c>
      <c r="E60" s="2900">
        <f t="shared" si="176"/>
        <v>216.46288379323747</v>
      </c>
      <c r="F60" s="2900">
        <f t="shared" si="176"/>
        <v>134.23529411764704</v>
      </c>
      <c r="G60" s="3553">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2590</v>
      </c>
      <c r="B61" s="2900">
        <f t="shared" si="175"/>
        <v>163.84913591779542</v>
      </c>
      <c r="C61" s="2900">
        <f t="shared" si="175"/>
        <v>145.0283378746594</v>
      </c>
      <c r="D61" s="2900">
        <f t="shared" si="153"/>
        <v>145.0283378746594</v>
      </c>
      <c r="E61" s="2900">
        <f t="shared" si="176"/>
        <v>204.95180722891567</v>
      </c>
      <c r="F61" s="2900">
        <f t="shared" si="176"/>
        <v>125.95920303605313</v>
      </c>
      <c r="G61" s="3556">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2591</v>
      </c>
      <c r="B62" s="2928">
        <v>159</v>
      </c>
      <c r="C62" s="2928">
        <v>141</v>
      </c>
      <c r="D62" s="2928">
        <f t="shared" si="153"/>
        <v>141</v>
      </c>
      <c r="E62" s="2928">
        <v>195</v>
      </c>
      <c r="F62" s="2929">
        <v>122</v>
      </c>
      <c r="G62" s="3555">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2592</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53">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2593</v>
      </c>
      <c r="B64" s="2900">
        <f t="shared" si="179"/>
        <v>146.57412060301507</v>
      </c>
      <c r="C64" s="2900">
        <f t="shared" si="179"/>
        <v>136.46831955922866</v>
      </c>
      <c r="D64" s="2900">
        <f t="shared" si="153"/>
        <v>136.46831955922866</v>
      </c>
      <c r="E64" s="2900">
        <f t="shared" si="180"/>
        <v>166.73864894795128</v>
      </c>
      <c r="F64" s="2900">
        <f t="shared" si="180"/>
        <v>115.05882352941177</v>
      </c>
      <c r="G64" s="3553">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2594</v>
      </c>
      <c r="B65" s="2900">
        <f t="shared" si="179"/>
        <v>144.04145728643215</v>
      </c>
      <c r="C65" s="2900">
        <f t="shared" si="179"/>
        <v>136.12396694214877</v>
      </c>
      <c r="D65" s="2900">
        <f t="shared" si="153"/>
        <v>136.12396694214877</v>
      </c>
      <c r="E65" s="2900">
        <f t="shared" si="180"/>
        <v>158.32225913621264</v>
      </c>
      <c r="F65" s="2900">
        <f t="shared" si="180"/>
        <v>114.04278074866311</v>
      </c>
      <c r="G65" s="3556">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2595</v>
      </c>
      <c r="B66" s="2928">
        <v>138</v>
      </c>
      <c r="C66" s="2928">
        <v>131</v>
      </c>
      <c r="D66" s="2928">
        <f t="shared" si="153"/>
        <v>131</v>
      </c>
      <c r="E66" s="2928">
        <v>155</v>
      </c>
      <c r="F66" s="2929">
        <v>114</v>
      </c>
      <c r="G66" s="3555">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2596</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53">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2597</v>
      </c>
      <c r="B68" s="2900">
        <f t="shared" si="183"/>
        <v>124.29032258064517</v>
      </c>
      <c r="C68" s="2900">
        <f t="shared" si="183"/>
        <v>123.8968609865471</v>
      </c>
      <c r="D68" s="2900">
        <f t="shared" si="153"/>
        <v>123.8968609865471</v>
      </c>
      <c r="E68" s="2900">
        <f t="shared" si="184"/>
        <v>138.00507614213197</v>
      </c>
      <c r="F68" s="2900">
        <f t="shared" si="184"/>
        <v>107.96106557377048</v>
      </c>
      <c r="G68" s="3553">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2598</v>
      </c>
      <c r="B69" s="2900">
        <f t="shared" si="183"/>
        <v>122.57204301075269</v>
      </c>
      <c r="C69" s="2900">
        <f t="shared" si="183"/>
        <v>123.4932735426009</v>
      </c>
      <c r="D69" s="2900">
        <f t="shared" si="153"/>
        <v>123.4932735426009</v>
      </c>
      <c r="E69" s="2900">
        <f t="shared" si="184"/>
        <v>129.82233502538071</v>
      </c>
      <c r="F69" s="2900">
        <f t="shared" si="184"/>
        <v>107.39446721311475</v>
      </c>
      <c r="G69" s="3556">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2599</v>
      </c>
      <c r="B70" s="2949">
        <v>121</v>
      </c>
      <c r="C70" s="2949">
        <v>122</v>
      </c>
      <c r="D70" s="2949">
        <f t="shared" si="153"/>
        <v>122</v>
      </c>
      <c r="E70" s="2949">
        <v>124</v>
      </c>
      <c r="F70" s="2950">
        <v>107</v>
      </c>
      <c r="G70" s="3555">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2600</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53">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2601</v>
      </c>
      <c r="B72" s="2900">
        <f t="shared" si="187"/>
        <v>116.99099099099099</v>
      </c>
      <c r="C72" s="2900">
        <f t="shared" si="187"/>
        <v>118.84848484848486</v>
      </c>
      <c r="D72" s="2900">
        <f t="shared" si="153"/>
        <v>118.84848484848486</v>
      </c>
      <c r="E72" s="2900">
        <f t="shared" si="188"/>
        <v>117.60960960960961</v>
      </c>
      <c r="F72" s="2900">
        <f t="shared" si="188"/>
        <v>104</v>
      </c>
      <c r="G72" s="3553">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2602</v>
      </c>
      <c r="B73" s="2952">
        <f t="shared" si="187"/>
        <v>112.48648648648648</v>
      </c>
      <c r="C73" s="2952">
        <f t="shared" si="187"/>
        <v>115.21212121212122</v>
      </c>
      <c r="D73" s="2952">
        <f t="shared" si="153"/>
        <v>115.21212121212122</v>
      </c>
      <c r="E73" s="2952">
        <f t="shared" si="188"/>
        <v>110.4024024024024</v>
      </c>
      <c r="F73" s="2952">
        <f t="shared" si="188"/>
        <v>104</v>
      </c>
      <c r="G73" s="3556">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2603</v>
      </c>
      <c r="B74" s="2969">
        <v>111</v>
      </c>
      <c r="C74" s="2969">
        <v>114</v>
      </c>
      <c r="D74" s="2969">
        <f t="shared" si="153"/>
        <v>114</v>
      </c>
      <c r="E74" s="2969">
        <v>108</v>
      </c>
      <c r="F74" s="2970">
        <v>104</v>
      </c>
      <c r="G74" s="3555">
        <v>2003</v>
      </c>
      <c r="H74" s="2959">
        <v>4</v>
      </c>
      <c r="I74" s="2971"/>
      <c r="J74" s="2971"/>
      <c r="K74" s="2971"/>
      <c r="L74" s="2971"/>
      <c r="N74" s="2972"/>
      <c r="O74" s="2971"/>
      <c r="P74" s="2971"/>
      <c r="Q74" s="2971"/>
      <c r="S74" s="2972"/>
      <c r="T74" s="2971"/>
      <c r="U74" s="2971"/>
      <c r="V74" s="2971"/>
      <c r="X74" s="2963"/>
      <c r="Y74" s="2963"/>
      <c r="Z74" s="2963"/>
    </row>
    <row r="75" spans="1:26">
      <c r="A75" s="2899" t="s">
        <v>2604</v>
      </c>
      <c r="B75" s="2973">
        <f t="shared" ref="B75:C77" si="189">B76+(B$74-B$78)/4</f>
        <v>109.75</v>
      </c>
      <c r="C75" s="2973">
        <f t="shared" si="189"/>
        <v>112.25</v>
      </c>
      <c r="D75" s="2973">
        <f t="shared" si="153"/>
        <v>112.25</v>
      </c>
      <c r="E75" s="2973">
        <f t="shared" ref="E75:F77" si="190">E76+(E$74-E$78)/4</f>
        <v>107.25</v>
      </c>
      <c r="F75" s="2973">
        <f t="shared" si="190"/>
        <v>103.5</v>
      </c>
      <c r="G75" s="3553">
        <v>2003</v>
      </c>
      <c r="H75" s="2926">
        <v>3</v>
      </c>
      <c r="I75" s="2971"/>
      <c r="J75" s="2971"/>
      <c r="K75" s="2971"/>
      <c r="L75" s="2971"/>
      <c r="X75" s="2963"/>
      <c r="Y75" s="2963"/>
      <c r="Z75" s="2963"/>
    </row>
    <row r="76" spans="1:26">
      <c r="A76" s="2899" t="s">
        <v>2605</v>
      </c>
      <c r="B76" s="2973">
        <f t="shared" si="189"/>
        <v>108.5</v>
      </c>
      <c r="C76" s="2973">
        <f t="shared" si="189"/>
        <v>110.5</v>
      </c>
      <c r="D76" s="2973">
        <f t="shared" si="153"/>
        <v>110.5</v>
      </c>
      <c r="E76" s="2973">
        <f t="shared" si="190"/>
        <v>106.5</v>
      </c>
      <c r="F76" s="2973">
        <f t="shared" si="190"/>
        <v>103</v>
      </c>
      <c r="G76" s="3553">
        <v>2003</v>
      </c>
      <c r="H76" s="2914">
        <v>2</v>
      </c>
      <c r="I76" s="2971"/>
      <c r="J76" s="2971"/>
      <c r="K76" s="2971"/>
      <c r="L76" s="2971"/>
      <c r="X76" s="2963"/>
      <c r="Y76" s="2963"/>
      <c r="Z76" s="2963"/>
    </row>
    <row r="77" spans="1:26" ht="13.5" thickBot="1">
      <c r="A77" s="2899" t="s">
        <v>2606</v>
      </c>
      <c r="B77" s="2973">
        <f t="shared" si="189"/>
        <v>107.25</v>
      </c>
      <c r="C77" s="2973">
        <f t="shared" si="189"/>
        <v>108.75</v>
      </c>
      <c r="D77" s="2973">
        <f t="shared" si="153"/>
        <v>108.75</v>
      </c>
      <c r="E77" s="2973">
        <f t="shared" si="190"/>
        <v>105.75</v>
      </c>
      <c r="F77" s="2973">
        <f t="shared" si="190"/>
        <v>102.5</v>
      </c>
      <c r="G77" s="3556">
        <v>2003</v>
      </c>
      <c r="H77" s="2974">
        <v>1</v>
      </c>
      <c r="I77" s="2971"/>
      <c r="J77" s="2971"/>
      <c r="K77" s="2971"/>
      <c r="L77" s="2971"/>
      <c r="S77" s="2902"/>
      <c r="T77" s="2888"/>
      <c r="U77" s="2888"/>
      <c r="X77" s="2963"/>
      <c r="Y77" s="2963"/>
      <c r="Z77" s="2963"/>
    </row>
    <row r="78" spans="1:26" ht="13.5" thickBot="1">
      <c r="A78" s="2899" t="s">
        <v>2607</v>
      </c>
      <c r="B78" s="2975">
        <v>106</v>
      </c>
      <c r="C78" s="2975">
        <v>107</v>
      </c>
      <c r="D78" s="2975">
        <f t="shared" si="153"/>
        <v>107</v>
      </c>
      <c r="E78" s="2975">
        <v>105</v>
      </c>
      <c r="F78" s="2976">
        <v>102</v>
      </c>
      <c r="G78" s="3555">
        <v>2002</v>
      </c>
      <c r="H78" s="2923">
        <v>4</v>
      </c>
      <c r="I78" s="2971"/>
      <c r="J78" s="2971"/>
      <c r="K78" s="2971"/>
      <c r="L78" s="2971"/>
      <c r="N78" s="2972"/>
      <c r="O78" s="2971"/>
      <c r="P78" s="2971"/>
      <c r="Q78" s="2971"/>
      <c r="S78" s="2972"/>
      <c r="T78" s="2971"/>
      <c r="U78" s="2971"/>
      <c r="V78" s="2971"/>
      <c r="X78" s="2963"/>
      <c r="Y78" s="2963"/>
      <c r="Z78" s="2963"/>
    </row>
    <row r="79" spans="1:26">
      <c r="A79" s="2899" t="s">
        <v>2608</v>
      </c>
      <c r="B79" s="2973">
        <f t="shared" ref="B79:C81" si="191">B80+(B$78-B$82)/4</f>
        <v>105</v>
      </c>
      <c r="C79" s="2973">
        <f t="shared" si="191"/>
        <v>106</v>
      </c>
      <c r="D79" s="2973">
        <f t="shared" si="153"/>
        <v>106</v>
      </c>
      <c r="E79" s="2973">
        <f t="shared" ref="E79:F81" si="192">E80+(E$78-E$82)/4</f>
        <v>104.5</v>
      </c>
      <c r="F79" s="2973">
        <f t="shared" si="192"/>
        <v>101.5</v>
      </c>
      <c r="G79" s="3553">
        <v>2002</v>
      </c>
      <c r="H79" s="2926">
        <v>3</v>
      </c>
      <c r="I79" s="2971"/>
      <c r="J79" s="2971"/>
      <c r="K79" s="2971"/>
      <c r="L79" s="2971"/>
      <c r="X79" s="2963"/>
      <c r="Y79" s="2963"/>
      <c r="Z79" s="2963"/>
    </row>
    <row r="80" spans="1:26">
      <c r="A80" s="2899" t="s">
        <v>2609</v>
      </c>
      <c r="B80" s="2973">
        <f t="shared" si="191"/>
        <v>104</v>
      </c>
      <c r="C80" s="2973">
        <f t="shared" si="191"/>
        <v>105</v>
      </c>
      <c r="D80" s="2973">
        <f t="shared" si="153"/>
        <v>105</v>
      </c>
      <c r="E80" s="2973">
        <f t="shared" si="192"/>
        <v>104</v>
      </c>
      <c r="F80" s="2973">
        <f t="shared" si="192"/>
        <v>101</v>
      </c>
      <c r="G80" s="3553">
        <v>2002</v>
      </c>
      <c r="H80" s="2914">
        <v>2</v>
      </c>
      <c r="I80" s="2971"/>
      <c r="J80" s="2971"/>
      <c r="K80" s="2971"/>
      <c r="L80" s="2971"/>
      <c r="X80" s="2963"/>
      <c r="Y80" s="2963"/>
      <c r="Z80" s="2963"/>
    </row>
    <row r="81" spans="1:26" s="2936" customFormat="1" ht="13.5" thickBot="1">
      <c r="A81" s="2932" t="s">
        <v>2610</v>
      </c>
      <c r="B81" s="2939">
        <f t="shared" si="191"/>
        <v>103</v>
      </c>
      <c r="C81" s="2939">
        <f t="shared" si="191"/>
        <v>104</v>
      </c>
      <c r="D81" s="2939">
        <f t="shared" si="153"/>
        <v>104</v>
      </c>
      <c r="E81" s="2939">
        <f t="shared" si="192"/>
        <v>103.5</v>
      </c>
      <c r="F81" s="2939">
        <f t="shared" si="192"/>
        <v>100.5</v>
      </c>
      <c r="G81" s="3556">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2611</v>
      </c>
      <c r="G84" s="2986"/>
      <c r="N84" s="2986"/>
      <c r="S84" s="2986"/>
    </row>
    <row r="85" spans="1:26" s="2985" customFormat="1">
      <c r="A85" s="2985" t="s">
        <v>2612</v>
      </c>
      <c r="G85" s="2986"/>
      <c r="N85" s="2986"/>
      <c r="S85" s="2986"/>
    </row>
    <row r="86" spans="1:26" s="2985" customFormat="1">
      <c r="A86" s="2985" t="s">
        <v>2613</v>
      </c>
      <c r="G86" s="2986"/>
      <c r="I86" s="2987"/>
      <c r="J86" s="2987"/>
      <c r="K86" s="2987"/>
      <c r="L86" s="2987"/>
      <c r="N86" s="2988"/>
      <c r="O86" s="2987"/>
      <c r="P86" s="2987"/>
      <c r="Q86" s="2987"/>
      <c r="S86" s="2988"/>
      <c r="T86" s="2987"/>
      <c r="U86" s="2987"/>
      <c r="V86" s="2987"/>
    </row>
    <row r="87" spans="1:26" s="2985" customFormat="1">
      <c r="A87" s="2985" t="s">
        <v>2614</v>
      </c>
      <c r="G87" s="2986"/>
      <c r="N87" s="2986"/>
      <c r="S87" s="2986"/>
    </row>
    <row r="94" spans="1:26" ht="13.5" thickBot="1"/>
    <row r="95" spans="1:26">
      <c r="G95" s="2887"/>
      <c r="S95" s="2989" t="s">
        <v>2615</v>
      </c>
      <c r="T95" s="2990" t="s">
        <v>2616</v>
      </c>
      <c r="U95" s="2990" t="s">
        <v>2617</v>
      </c>
      <c r="V95" s="2990" t="s">
        <v>2618</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S5" sqref="S5:V5"/>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2916</v>
      </c>
      <c r="B1" s="3247"/>
      <c r="C1" s="3247"/>
      <c r="D1" s="3247"/>
      <c r="E1" s="3247"/>
      <c r="F1" s="3247"/>
      <c r="G1" s="3248"/>
      <c r="H1" s="3248"/>
      <c r="I1" s="3248"/>
      <c r="J1" s="3248"/>
      <c r="K1" s="3248"/>
      <c r="L1" s="3248"/>
      <c r="M1" s="3248"/>
      <c r="N1" s="3248"/>
    </row>
    <row r="2" spans="1:14" ht="14.25">
      <c r="A2" s="3253" t="s">
        <v>2911</v>
      </c>
      <c r="B2" s="3258">
        <f ca="1">SUMIF(B7:B14,"&lt;&gt;#ref!",B7:B14)</f>
        <v>0</v>
      </c>
      <c r="C2" s="3253" t="s">
        <v>2912</v>
      </c>
      <c r="D2" s="3250"/>
      <c r="E2" s="3250"/>
      <c r="F2" s="3250"/>
      <c r="G2" s="3248"/>
      <c r="H2" s="3248"/>
      <c r="I2" s="3248"/>
      <c r="J2" s="3248"/>
      <c r="K2" s="3248"/>
      <c r="L2" s="3248"/>
      <c r="M2" s="3248"/>
      <c r="N2" s="3248"/>
    </row>
    <row r="3" spans="1:14" ht="14.25">
      <c r="A3" s="3253" t="s">
        <v>2941</v>
      </c>
      <c r="B3" s="3258" t="e">
        <f ca="1">ROUND(B2*10000/E3,0)</f>
        <v>#DIV/0!</v>
      </c>
      <c r="C3" s="3253" t="s">
        <v>2067</v>
      </c>
      <c r="D3" s="3253" t="s">
        <v>2913</v>
      </c>
      <c r="E3" s="3251">
        <f ca="1">SUMIF(E7:E14,"&lt;&gt;#ref!",E7:E14)</f>
        <v>0</v>
      </c>
      <c r="F3" s="3250"/>
      <c r="G3" s="3248"/>
      <c r="H3" s="3248"/>
      <c r="I3" s="3248"/>
      <c r="J3" s="3248"/>
      <c r="K3" s="3248"/>
      <c r="L3" s="3248"/>
      <c r="M3" s="3248"/>
      <c r="N3" s="3248"/>
    </row>
    <row r="4" spans="1:14" ht="14.25">
      <c r="A4" s="3253" t="s">
        <v>2919</v>
      </c>
      <c r="B4" s="3258" t="e">
        <f ca="1">ROUND(B2*10000/E4,0)</f>
        <v>#DIV/0!</v>
      </c>
      <c r="C4" s="3253" t="s">
        <v>2067</v>
      </c>
      <c r="D4" s="3253" t="s">
        <v>2920</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2917</v>
      </c>
      <c r="B6" s="3253" t="s">
        <v>2914</v>
      </c>
      <c r="C6" s="2791"/>
      <c r="D6" s="3250"/>
      <c r="E6" s="3253" t="s">
        <v>2915</v>
      </c>
      <c r="F6" s="3253" t="s">
        <v>2918</v>
      </c>
      <c r="G6" s="3248"/>
      <c r="H6" s="3248"/>
      <c r="I6" s="3248"/>
      <c r="J6" s="3248"/>
      <c r="K6" s="3248"/>
      <c r="L6" s="3248"/>
      <c r="M6" s="3248"/>
      <c r="N6" s="3248"/>
    </row>
    <row r="7" spans="1:14" ht="14.25">
      <c r="A7" s="3256"/>
      <c r="B7" s="3258" t="e">
        <f ca="1">SUMIF(INDIRECT("'"&amp;A7&amp;"'"&amp;"!A:A"),"总价",INDIRECT("'"&amp;A7&amp;"'"&amp;"!B:B"))</f>
        <v>#REF!</v>
      </c>
      <c r="C7" s="3253" t="s">
        <v>2912</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2912</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2912</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2912</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2912</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2912</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2912</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2912</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五矿信托：</v>
      </c>
    </row>
    <row r="4" spans="1:4" ht="37.5">
      <c r="A4" s="1707" t="str">
        <f>"受贵公司委托，我公司对"&amp;项目基本情况!K2&amp;项目基本情况!B9&amp;"进行了预评估。"</f>
        <v>受贵公司委托，我公司对广西省柳州市柳东新区智和路以北L-14-34地块A地块出让国有建设用地使用权抵押价格进行了预评估。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柳州东城安居置业开发有限公司使用的、位于广西省柳州市柳东新区智和路以北L-14-34地块A地块出让国有建设用地使用权。根据《国有土地使用证》[]，估价对象（分摊）出让国有建设用地使用权面积为55043.06平方米。根据《建设工程规划许可证》[]、《出让合同》[]，估价对象规划建筑面积为219676.65平方米。</v>
      </c>
    </row>
    <row r="7" spans="1:4" ht="56.25">
      <c r="A7" s="1711" t="s">
        <v>2727</v>
      </c>
    </row>
    <row r="8" spans="1:4" ht="18.75">
      <c r="A8" s="1710" t="s">
        <v>1897</v>
      </c>
    </row>
    <row r="9" spans="1:4" ht="93.75">
      <c r="A9" s="1712" t="str">
        <f>IF(项目基本情况!B8="抵押",IF(项目基本情况!B5=项目基本情况!B6,定义!C51,定义!B51),定义!D51)</f>
        <v>柳州东城安居置业开发有限公司拟使用广西省柳州市柳东新区智和路以北L-14-34地块A地块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2021年2月23日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根据《国有土地使用证》[]，估价对象（分摊）出让国有建设用地使用权面积为55043.06平方米。根据《建设工程规划许可证》[]、《出让合同》[]，估价对象规划建筑面积为219676.65平方米。</v>
      </c>
    </row>
    <row r="21" spans="1:1" ht="18.75">
      <c r="A21" s="1707" t="s">
        <v>2063</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11月9日、商业2056年11月9日地下车库2066年11月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2月23日，在规划利用条件下、设定土地开发程度为红线外“六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64" t="s">
        <v>2444</v>
      </c>
      <c r="C8" s="1741">
        <f ca="1">ROUND(F8*F10*F9*(1-F11)/10000,0)</f>
        <v>0</v>
      </c>
      <c r="D8" s="1738" t="s">
        <v>2515</v>
      </c>
      <c r="E8" s="61" t="s">
        <v>631</v>
      </c>
      <c r="F8" s="775">
        <f ca="1">INDIRECT("'数据-取费表'!u"&amp;$G$1)</f>
        <v>0</v>
      </c>
      <c r="G8" s="1527"/>
      <c r="H8" s="2358" t="s">
        <v>1815</v>
      </c>
      <c r="I8" s="3564" t="s">
        <v>2444</v>
      </c>
      <c r="J8" s="773">
        <f ca="1">ROUND(M8*M10*M9*(1-M11)/10000,0)</f>
        <v>0</v>
      </c>
      <c r="K8" s="339" t="s">
        <v>2515</v>
      </c>
      <c r="L8" s="774" t="s">
        <v>1729</v>
      </c>
      <c r="M8" s="775">
        <f ca="1">INDIRECT("'数据-取费表'!z"&amp;$G$1)</f>
        <v>0</v>
      </c>
    </row>
    <row r="9" spans="1:25" ht="18" customHeight="1">
      <c r="A9" s="2354"/>
      <c r="B9" s="3565"/>
      <c r="C9" s="1742"/>
      <c r="D9" s="1739"/>
      <c r="E9" s="61" t="s">
        <v>632</v>
      </c>
      <c r="F9" s="775">
        <f ca="1">IF(INDIRECT("'数据-取费表'!ah"&amp;$G$1)="",INDIRECT("'数据-取费表'!k"&amp;$G$1),INDIRECT("'数据-取费表'!ah"&amp;$G$1))</f>
        <v>0</v>
      </c>
      <c r="G9" s="1527"/>
      <c r="H9" s="2343"/>
      <c r="I9" s="3565"/>
      <c r="J9" s="778"/>
      <c r="K9" s="779"/>
      <c r="L9" s="774" t="s">
        <v>1730</v>
      </c>
      <c r="M9" s="775">
        <f ca="1">F9</f>
        <v>0</v>
      </c>
    </row>
    <row r="10" spans="1:25" ht="18" customHeight="1">
      <c r="A10" s="2347"/>
      <c r="B10" s="3566"/>
      <c r="C10" s="1742"/>
      <c r="D10" s="1739"/>
      <c r="E10" s="61" t="s">
        <v>633</v>
      </c>
      <c r="F10" s="775">
        <f ca="1">INDIRECT("'数据-取费表'!ai"&amp;$G$1)</f>
        <v>0</v>
      </c>
      <c r="G10" s="1527"/>
      <c r="H10" s="2343"/>
      <c r="I10" s="3566"/>
      <c r="J10" s="778"/>
      <c r="K10" s="779"/>
      <c r="L10" s="774" t="s">
        <v>1731</v>
      </c>
      <c r="M10" s="775">
        <f ca="1">INDIRECT("'数据-取费表'!ai"&amp;$G$1)</f>
        <v>0</v>
      </c>
    </row>
    <row r="11" spans="1:25" ht="18" customHeight="1">
      <c r="A11" s="776"/>
      <c r="B11" s="3567"/>
      <c r="C11" s="1742"/>
      <c r="D11" s="1739"/>
      <c r="E11" s="61" t="s">
        <v>634</v>
      </c>
      <c r="F11" s="784">
        <f ca="1">INDIRECT("'数据-取费表'!w"&amp;$G$1)</f>
        <v>0</v>
      </c>
      <c r="G11" s="1527"/>
      <c r="H11" s="2359"/>
      <c r="I11" s="3566"/>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0.01</v>
      </c>
      <c r="G22" s="1528"/>
      <c r="H22" s="1748" t="s">
        <v>1841</v>
      </c>
      <c r="I22" s="1738" t="s">
        <v>662</v>
      </c>
      <c r="J22" s="54">
        <f ca="1">ROUND(M22*M23/10000,0)</f>
        <v>0</v>
      </c>
      <c r="K22" s="803" t="s">
        <v>663</v>
      </c>
      <c r="L22" s="774" t="s">
        <v>664</v>
      </c>
      <c r="M22" s="632">
        <f>'数据-取费表'!B52</f>
        <v>3</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0.01</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4.0000000000000002E-4</v>
      </c>
      <c r="D26" s="2424" t="str">
        <f>IF(F25&lt;=1,"销售费用×利率×(建设周期÷2)","销售费用×((1+利率)^(建设周期÷2)-1)")</f>
        <v>销售费用×((1+利率)^(建设周期÷2)-1)</v>
      </c>
      <c r="E26" s="774" t="s">
        <v>676</v>
      </c>
      <c r="F26" s="808">
        <f ca="1">'数据-取费表'!B40</f>
        <v>3.85E-2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2995</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3</v>
      </c>
      <c r="G36" s="1946"/>
      <c r="H36" s="1949"/>
      <c r="I36" s="3563"/>
      <c r="J36" s="1963"/>
      <c r="K36" s="1964"/>
      <c r="L36" s="1963"/>
      <c r="M36" s="1963"/>
    </row>
    <row r="37" spans="1:18" ht="18" customHeight="1">
      <c r="A37" s="804"/>
      <c r="B37" s="783"/>
      <c r="C37" s="69"/>
      <c r="D37" s="805"/>
      <c r="E37" s="774" t="s">
        <v>668</v>
      </c>
      <c r="F37" s="775">
        <f ca="1">INDIRECT("'数据-取费表'!r"&amp;$G$1)</f>
        <v>0</v>
      </c>
      <c r="G37" s="1946"/>
      <c r="H37" s="1949"/>
      <c r="I37" s="3563"/>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2927</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2942</v>
      </c>
      <c r="J54" s="2859">
        <f ca="1">IF(M48="住宅",MAX(J52,L49-'数据-取费表'!B20),MIN(J52,L49-'数据-取费表'!B20))</f>
        <v>-2</v>
      </c>
      <c r="K54" s="3568"/>
      <c r="L54" s="3569"/>
      <c r="O54" s="2257" t="s">
        <v>2373</v>
      </c>
      <c r="P54" s="2255" t="s">
        <v>2374</v>
      </c>
      <c r="Q54" s="2256">
        <f ca="1">J54</f>
        <v>-2</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2910</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16" zoomScale="85" zoomScaleNormal="60" zoomScaleSheetLayoutView="85" workbookViewId="0">
      <selection activeCell="C36" sqref="C36:C38"/>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3012</v>
      </c>
      <c r="D1" s="2799" t="s">
        <v>3077</v>
      </c>
      <c r="E1" s="2243" t="s">
        <v>2359</v>
      </c>
      <c r="F1" s="2244">
        <f ca="1">J53</f>
        <v>33.729999999999997</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2063</v>
      </c>
      <c r="C2" s="3265"/>
      <c r="D2" s="3266"/>
      <c r="E2" s="3267"/>
      <c r="F2" s="3267"/>
      <c r="G2" s="3261"/>
      <c r="H2" s="1941"/>
      <c r="I2" s="1941"/>
      <c r="J2" s="1941"/>
      <c r="K2" s="1942"/>
      <c r="L2" s="1941"/>
      <c r="M2" s="1941"/>
    </row>
    <row r="3" spans="1:33" ht="18" customHeight="1" thickBot="1">
      <c r="A3" s="822" t="s">
        <v>1718</v>
      </c>
      <c r="B3" s="823">
        <f ca="1">IF(ISERROR(B2*10000/F43),0,ROUND(B2*10000/F43,0))</f>
        <v>11202</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121</v>
      </c>
      <c r="D5" s="2350" t="s">
        <v>2442</v>
      </c>
      <c r="E5" s="2344"/>
      <c r="F5" s="2345"/>
      <c r="G5" s="1946"/>
      <c r="H5" s="771">
        <v>1</v>
      </c>
      <c r="I5" s="772" t="s">
        <v>2439</v>
      </c>
      <c r="J5" s="55">
        <f ca="1">J6+J10+J12</f>
        <v>0</v>
      </c>
      <c r="K5" s="2350" t="s">
        <v>2442</v>
      </c>
      <c r="L5" s="2344"/>
      <c r="M5" s="2345"/>
    </row>
    <row r="6" spans="1:33" ht="18" customHeight="1">
      <c r="A6" s="1746" t="s">
        <v>1815</v>
      </c>
      <c r="B6" s="3564" t="s">
        <v>2444</v>
      </c>
      <c r="C6" s="773">
        <f ca="1">ROUND(F6*F8*F7*(1-F9)/10000,0)</f>
        <v>121</v>
      </c>
      <c r="D6" s="2351" t="s">
        <v>2443</v>
      </c>
      <c r="E6" s="774" t="s">
        <v>1729</v>
      </c>
      <c r="F6" s="775">
        <f ca="1">INDIRECT("'数据-取费表'!u"&amp;$G$1)</f>
        <v>2</v>
      </c>
      <c r="G6" s="1946"/>
      <c r="H6" s="2358" t="s">
        <v>2449</v>
      </c>
      <c r="I6" s="3564" t="s">
        <v>2444</v>
      </c>
      <c r="J6" s="773">
        <f ca="1">ROUND(M6*M8*M7*(1-M9)/10000,0)</f>
        <v>0</v>
      </c>
      <c r="K6" s="339" t="s">
        <v>1728</v>
      </c>
      <c r="L6" s="774" t="s">
        <v>1729</v>
      </c>
      <c r="M6" s="775">
        <f ca="1">INDIRECT("'数据-取费表'!z"&amp;$G$1)</f>
        <v>0</v>
      </c>
    </row>
    <row r="7" spans="1:33" ht="18" customHeight="1">
      <c r="A7" s="2354"/>
      <c r="B7" s="3565"/>
      <c r="C7" s="778"/>
      <c r="D7" s="779"/>
      <c r="E7" s="774" t="s">
        <v>1730</v>
      </c>
      <c r="F7" s="775">
        <f ca="1">IF(INDIRECT("'数据-取费表'!ah"&amp;$G$1)="",INDIRECT("'数据-取费表'!k"&amp;$G$1),INDIRECT("'数据-取费表'!ah"&amp;$G$1))</f>
        <v>1841.69</v>
      </c>
      <c r="G7" s="1946"/>
      <c r="H7" s="2343"/>
      <c r="I7" s="3565"/>
      <c r="J7" s="778"/>
      <c r="K7" s="779"/>
      <c r="L7" s="774" t="s">
        <v>1730</v>
      </c>
      <c r="M7" s="775">
        <f ca="1">F7</f>
        <v>1841.69</v>
      </c>
    </row>
    <row r="8" spans="1:33" ht="18" customHeight="1">
      <c r="A8" s="2347"/>
      <c r="B8" s="3566"/>
      <c r="C8" s="778"/>
      <c r="D8" s="779"/>
      <c r="E8" s="774" t="s">
        <v>1731</v>
      </c>
      <c r="F8" s="775">
        <f ca="1">INDIRECT("'数据-取费表'!ai"&amp;$G$1)</f>
        <v>365</v>
      </c>
      <c r="G8" s="1946"/>
      <c r="H8" s="2343"/>
      <c r="I8" s="3566"/>
      <c r="J8" s="778"/>
      <c r="K8" s="779"/>
      <c r="L8" s="774" t="s">
        <v>1731</v>
      </c>
      <c r="M8" s="775">
        <f ca="1">INDIRECT("'数据-取费表'!ai"&amp;$G$1)</f>
        <v>365</v>
      </c>
    </row>
    <row r="9" spans="1:33" ht="18" customHeight="1">
      <c r="A9" s="776"/>
      <c r="B9" s="3567"/>
      <c r="C9" s="778"/>
      <c r="D9" s="779"/>
      <c r="E9" s="774" t="s">
        <v>1732</v>
      </c>
      <c r="F9" s="784">
        <f ca="1">INDIRECT("'数据-取费表'!w"&amp;$G$1)</f>
        <v>0.1</v>
      </c>
      <c r="G9" s="1946"/>
      <c r="H9" s="2359"/>
      <c r="I9" s="3566"/>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2938</v>
      </c>
      <c r="E10" s="2352" t="s">
        <v>2445</v>
      </c>
      <c r="F10" s="2466" t="s">
        <v>3078</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582</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395</v>
      </c>
      <c r="D14" s="1894" t="s">
        <v>1736</v>
      </c>
      <c r="E14" s="1895"/>
      <c r="F14" s="795"/>
      <c r="G14" s="1946"/>
      <c r="H14" s="1578" t="s">
        <v>1821</v>
      </c>
      <c r="I14" s="2112" t="s">
        <v>2805</v>
      </c>
      <c r="J14" s="53">
        <f ca="1">C29</f>
        <v>582</v>
      </c>
      <c r="K14" s="26"/>
      <c r="L14" s="791"/>
      <c r="M14" s="792"/>
    </row>
    <row r="15" spans="1:33" s="1948" customFormat="1" ht="18" customHeight="1" thickBot="1">
      <c r="A15" s="1577" t="s">
        <v>1876</v>
      </c>
      <c r="B15" s="774" t="s">
        <v>641</v>
      </c>
      <c r="C15" s="53">
        <f ca="1">ROUND(C14*F15,0)</f>
        <v>12</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55</v>
      </c>
      <c r="K16" s="1737" t="s">
        <v>1741</v>
      </c>
      <c r="L16" s="2340"/>
      <c r="M16" s="2345"/>
    </row>
    <row r="17" spans="1:33" s="1948" customFormat="1" ht="18" customHeight="1">
      <c r="A17" s="1577" t="s">
        <v>1878</v>
      </c>
      <c r="B17" s="774" t="s">
        <v>647</v>
      </c>
      <c r="C17" s="53">
        <f ca="1">ROUND(F17*(F43+INDIRECT("'数据-取费表'!S"&amp;$G$1))/10000,0)</f>
        <v>39</v>
      </c>
      <c r="D17" s="774" t="s">
        <v>1742</v>
      </c>
      <c r="E17" s="774" t="s">
        <v>1743</v>
      </c>
      <c r="F17" s="56">
        <f>'数据-取费表'!B35</f>
        <v>200</v>
      </c>
      <c r="G17" s="3262"/>
      <c r="H17" s="1578" t="s">
        <v>1821</v>
      </c>
      <c r="I17" s="774" t="s">
        <v>650</v>
      </c>
      <c r="J17" s="3020">
        <f ca="1">ROUND(IF(AND(项目基本情况!B11="自然人",项目基本情况!B10="北京市"),J6*M17/(1+'数据-取费表'!C42),J18+J19+J20),0)</f>
        <v>49</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6</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452</v>
      </c>
      <c r="D19" s="259" t="s">
        <v>1748</v>
      </c>
      <c r="E19" s="1897"/>
      <c r="F19" s="56"/>
      <c r="G19" s="1946"/>
      <c r="H19" s="1577" t="s">
        <v>1876</v>
      </c>
      <c r="I19" s="774" t="s">
        <v>1749</v>
      </c>
      <c r="J19" s="53">
        <f ca="1">IF(K19="按租金收入计税",ROUND(J6*M19/(1+'数据-取费表'!C42),1),ROUND(C29*F33*0.7,1))</f>
        <v>48.9</v>
      </c>
      <c r="K19" s="800" t="s">
        <v>659</v>
      </c>
      <c r="L19" s="774" t="s">
        <v>1738</v>
      </c>
      <c r="M19" s="799">
        <f>IF(K19="按租金收入计税",'数据-取费表'!B51,'数据-取费表'!B50)</f>
        <v>1.2E-2</v>
      </c>
    </row>
    <row r="20" spans="1:33" s="1948" customFormat="1" ht="18" customHeight="1">
      <c r="A20" s="1578" t="s">
        <v>1880</v>
      </c>
      <c r="B20" s="774" t="s">
        <v>660</v>
      </c>
      <c r="C20" s="53">
        <f ca="1">ROUND(C19*F20,0)</f>
        <v>5</v>
      </c>
      <c r="D20" s="801" t="s">
        <v>1750</v>
      </c>
      <c r="E20" s="774" t="s">
        <v>1738</v>
      </c>
      <c r="F20" s="799">
        <f>'数据-取费表'!B37</f>
        <v>0.01</v>
      </c>
      <c r="G20" s="3262"/>
      <c r="H20" s="1580" t="s">
        <v>1871</v>
      </c>
      <c r="I20" s="339" t="s">
        <v>1751</v>
      </c>
      <c r="J20" s="54">
        <f ca="1">ROUND(M20*M21/10000,0)</f>
        <v>0</v>
      </c>
      <c r="K20" s="803" t="s">
        <v>1752</v>
      </c>
      <c r="L20" s="774" t="s">
        <v>1753</v>
      </c>
      <c r="M20" s="632">
        <f>'数据-取费表'!B52</f>
        <v>3</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0.01</v>
      </c>
      <c r="G21" s="3262"/>
      <c r="H21" s="2360"/>
      <c r="I21" s="783"/>
      <c r="J21" s="69"/>
      <c r="K21" s="805"/>
      <c r="L21" s="774" t="s">
        <v>1757</v>
      </c>
      <c r="M21" s="775">
        <f ca="1">INDIRECT("'数据-取费表'!r"&amp;$G$1)</f>
        <v>494.83</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6</v>
      </c>
      <c r="K22" s="2338" t="s">
        <v>1760</v>
      </c>
      <c r="L22" s="774" t="s">
        <v>1738</v>
      </c>
      <c r="M22" s="806">
        <f ca="1">INDIRECT("'数据-取费表'!Ak"&amp;$G$1)</f>
        <v>0.01</v>
      </c>
    </row>
    <row r="23" spans="1:33" s="1948" customFormat="1" ht="18" customHeight="1">
      <c r="A23" s="1577" t="s">
        <v>1822</v>
      </c>
      <c r="B23" s="774" t="s">
        <v>2516</v>
      </c>
      <c r="C23" s="53">
        <f ca="1">ROUND(IF('数据-取费表'!B22&lt;=1,(C19+C20)*F24*F23/2,(C19+C20)*(POWER((1+F24),F23/2)-1)),0)</f>
        <v>18</v>
      </c>
      <c r="D23" s="2424" t="str">
        <f>IF(F23&lt;=1,"(建造成本+管理费用)×利率×(建设周期÷2)","(建造成本+管理费用)×((1+利率)^(建设周期÷2)-1)")</f>
        <v>(建造成本+管理费用)×((1+利率)^(建设周期÷2)-1)</v>
      </c>
      <c r="E23" s="774" t="s">
        <v>1761</v>
      </c>
      <c r="F23" s="632">
        <f>'数据-取费表'!B20</f>
        <v>2</v>
      </c>
      <c r="G23" s="3262"/>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4.0000000000000002E-4</v>
      </c>
      <c r="D24" s="2424" t="str">
        <f>IF(F23&lt;=1,"销售费用×利率×(建设周期÷2)","销售费用×((1+利率)^(建设周期÷2)-1)")</f>
        <v>销售费用×((1+利率)^(建设周期÷2)-1)</v>
      </c>
      <c r="E24" s="774" t="s">
        <v>1764</v>
      </c>
      <c r="F24" s="808">
        <f ca="1">'数据-取费表'!B40</f>
        <v>3.85E-2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-55</v>
      </c>
      <c r="K25" s="2402" t="s">
        <v>1768</v>
      </c>
      <c r="L25" s="2403"/>
      <c r="M25" s="2404"/>
    </row>
    <row r="26" spans="1:33" ht="18" customHeight="1">
      <c r="A26" s="1577" t="s">
        <v>1822</v>
      </c>
      <c r="B26" s="774" t="s">
        <v>2422</v>
      </c>
      <c r="C26" s="53">
        <f ca="1">ROUND((C19+C20)*F26,0)</f>
        <v>69</v>
      </c>
      <c r="D26" s="801" t="s">
        <v>1769</v>
      </c>
      <c r="E26" s="785" t="s">
        <v>1770</v>
      </c>
      <c r="F26" s="784">
        <f ca="1">INDIRECT("'数据-取费表'!q"&amp;$G$1)</f>
        <v>0.15</v>
      </c>
      <c r="G26" s="1946"/>
      <c r="H26" s="2356" t="s">
        <v>1771</v>
      </c>
      <c r="I26" s="2113" t="s">
        <v>2806</v>
      </c>
      <c r="J26" s="773">
        <f ca="1">IF(J5&lt;&gt;0,ROUND(J25*(1-((1+M28)/(1+M26))^M27)/(M26-M28),0),0)</f>
        <v>0</v>
      </c>
      <c r="K26" s="803" t="s">
        <v>1772</v>
      </c>
      <c r="L26" s="774" t="s">
        <v>2404</v>
      </c>
      <c r="M26" s="784">
        <f ca="1">INDIRECT("'数据-取费表'!I"&amp;$G$1)</f>
        <v>5.5E-2</v>
      </c>
    </row>
    <row r="27" spans="1:33" ht="18" customHeight="1">
      <c r="A27" s="1577" t="s">
        <v>1823</v>
      </c>
      <c r="B27" s="774" t="s">
        <v>680</v>
      </c>
      <c r="C27" s="53">
        <f ca="1">ROUND(F21*F26,4)</f>
        <v>1.5E-3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582</v>
      </c>
      <c r="D29" s="2399"/>
      <c r="E29" s="2400"/>
      <c r="F29" s="2401"/>
      <c r="G29" s="3262"/>
      <c r="H29" s="812" t="s">
        <v>1778</v>
      </c>
      <c r="I29" s="813" t="s">
        <v>1779</v>
      </c>
      <c r="J29" s="814">
        <f ca="1">ROUND(J26/(1+F40)^F41,0)</f>
        <v>0</v>
      </c>
      <c r="K29" s="815" t="s">
        <v>1780</v>
      </c>
      <c r="L29" s="816"/>
      <c r="M29" s="817">
        <f ca="1">INDIRECT("'数据-取费表'!k"&amp;$G$1)</f>
        <v>1841.69</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28</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20</v>
      </c>
      <c r="D31" s="1894" t="s">
        <v>1783</v>
      </c>
      <c r="E31" s="1892" t="s">
        <v>1784</v>
      </c>
      <c r="F31" s="3019" t="str">
        <f>IF(项目基本情况!B11="企业","——",IF('数据-取费表'!B10="住宅",IF(F6*F7*F8/12/(1+'数据-取费表'!F30)&gt;100000,4%,2.5%),IF(F6*F7*F8/12/(1+'数据-取费表'!F30)&gt;100000,12%,7%)))</f>
        <v>——</v>
      </c>
      <c r="G31" s="1946"/>
      <c r="H31" s="3259" t="s">
        <v>2996</v>
      </c>
      <c r="I31" s="1950"/>
      <c r="J31" s="1951"/>
      <c r="K31" s="1952"/>
      <c r="L31" s="1953"/>
      <c r="M31" s="1954"/>
    </row>
    <row r="32" spans="1:33" ht="18" customHeight="1">
      <c r="A32" s="1577" t="s">
        <v>1822</v>
      </c>
      <c r="B32" s="774" t="s">
        <v>1785</v>
      </c>
      <c r="C32" s="53">
        <f ca="1">ROUND(C6*F32/(1+'数据-取费表'!C42),1)</f>
        <v>6.5</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13.8</v>
      </c>
      <c r="D33" s="800" t="s">
        <v>3079</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0.1</v>
      </c>
      <c r="D34" s="803" t="s">
        <v>1790</v>
      </c>
      <c r="E34" s="774" t="s">
        <v>1791</v>
      </c>
      <c r="F34" s="632">
        <f>'数据-取费表'!B52</f>
        <v>3</v>
      </c>
      <c r="G34" s="1946"/>
      <c r="H34" s="1949"/>
      <c r="I34" s="824" t="s">
        <v>1804</v>
      </c>
      <c r="J34" s="825"/>
      <c r="K34" s="1964"/>
      <c r="L34" s="1963"/>
      <c r="M34" s="1963"/>
    </row>
    <row r="35" spans="1:18" ht="18" customHeight="1">
      <c r="A35" s="804"/>
      <c r="B35" s="783"/>
      <c r="C35" s="69"/>
      <c r="D35" s="805"/>
      <c r="E35" s="774" t="s">
        <v>1792</v>
      </c>
      <c r="F35" s="775">
        <f ca="1">INDIRECT("'数据-取费表'!r"&amp;$G$1)</f>
        <v>494.83</v>
      </c>
      <c r="G35" s="1946"/>
      <c r="H35" s="1949"/>
      <c r="I35" s="826" t="s">
        <v>1805</v>
      </c>
      <c r="J35" s="827">
        <f ca="1">ROUND(C13*J36,0)</f>
        <v>49</v>
      </c>
      <c r="K35" s="1962"/>
      <c r="L35" s="1961"/>
      <c r="M35" s="1961"/>
    </row>
    <row r="36" spans="1:18" ht="18" customHeight="1">
      <c r="A36" s="1578" t="s">
        <v>1880</v>
      </c>
      <c r="B36" s="774" t="s">
        <v>1793</v>
      </c>
      <c r="C36" s="53">
        <f ca="1">ROUND(C29*F36,1)</f>
        <v>5.8</v>
      </c>
      <c r="D36" s="1892" t="s">
        <v>1794</v>
      </c>
      <c r="E36" s="774" t="s">
        <v>1787</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0.9</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1.2</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2801</v>
      </c>
      <c r="C39" s="782">
        <f ca="1">C5-C30</f>
        <v>93</v>
      </c>
      <c r="D39" s="2402" t="s">
        <v>1797</v>
      </c>
      <c r="E39" s="2403"/>
      <c r="F39" s="2404"/>
      <c r="G39" s="1946"/>
      <c r="H39" s="1961"/>
      <c r="I39" s="826" t="s">
        <v>1809</v>
      </c>
      <c r="J39" s="834">
        <f ca="1">ROUND(J35/C39,3)</f>
        <v>0.52700000000000002</v>
      </c>
      <c r="K39" s="1966"/>
      <c r="L39" s="1961"/>
      <c r="M39" s="1961"/>
    </row>
    <row r="40" spans="1:18" ht="18" customHeight="1">
      <c r="A40" s="771" t="s">
        <v>1886</v>
      </c>
      <c r="B40" s="2113" t="s">
        <v>2289</v>
      </c>
      <c r="C40" s="773">
        <f ca="1">ROUND(C39*(1-((1+F42)/(1+F40))^F41)/(F40-F42),0)</f>
        <v>2063</v>
      </c>
      <c r="D40" s="803" t="s">
        <v>1798</v>
      </c>
      <c r="E40" s="774" t="s">
        <v>2404</v>
      </c>
      <c r="F40" s="784">
        <f ca="1">INDIRECT("'数据-取费表'!I"&amp;$G$1)</f>
        <v>5.5E-2</v>
      </c>
      <c r="G40" s="1946"/>
      <c r="H40" s="1946"/>
      <c r="I40" s="826" t="s">
        <v>1810</v>
      </c>
      <c r="J40" s="834">
        <f ca="1">1-J39</f>
        <v>0.47299999999999998</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33.729999999999997</v>
      </c>
      <c r="G41" s="1946"/>
      <c r="H41" s="1901"/>
      <c r="I41" s="832" t="s">
        <v>1811</v>
      </c>
      <c r="J41" s="835"/>
      <c r="K41" s="1965"/>
      <c r="L41" s="1901"/>
      <c r="M41" s="1901"/>
    </row>
    <row r="42" spans="1:18" ht="18" customHeight="1">
      <c r="A42" s="780"/>
      <c r="B42" s="781"/>
      <c r="C42" s="782"/>
      <c r="D42" s="805"/>
      <c r="E42" s="774" t="s">
        <v>1800</v>
      </c>
      <c r="F42" s="784">
        <f ca="1">INDIRECT("'数据-取费表'!v"&amp;$G$1)</f>
        <v>0.03</v>
      </c>
      <c r="G42" s="1946"/>
      <c r="H42" s="1901"/>
      <c r="I42" s="836" t="s">
        <v>1812</v>
      </c>
      <c r="J42" s="834">
        <f ca="1">ROUND(C13/C40,3)</f>
        <v>0.28199999999999997</v>
      </c>
      <c r="K42" s="1965"/>
      <c r="L42" s="1901"/>
      <c r="M42" s="1901"/>
    </row>
    <row r="43" spans="1:18" ht="18" customHeight="1" thickBot="1">
      <c r="A43" s="812" t="s">
        <v>1778</v>
      </c>
      <c r="B43" s="813" t="s">
        <v>1801</v>
      </c>
      <c r="C43" s="814">
        <f ca="1">ROUND(C40*10000/F43,0)</f>
        <v>11202</v>
      </c>
      <c r="D43" s="815" t="s">
        <v>1802</v>
      </c>
      <c r="E43" s="816" t="s">
        <v>1803</v>
      </c>
      <c r="F43" s="817">
        <f ca="1">INDIRECT("'数据-取费表'!k"&amp;$G$1)</f>
        <v>1841.69</v>
      </c>
      <c r="G43" s="1946"/>
      <c r="H43" s="1901"/>
      <c r="I43" s="836" t="s">
        <v>1813</v>
      </c>
      <c r="J43" s="837">
        <f ca="1">1-J42</f>
        <v>0.71799999999999997</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-2169</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3080</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800" t="s">
        <v>2330</v>
      </c>
      <c r="J48" s="2238" t="s">
        <v>2335</v>
      </c>
      <c r="K48" s="2810" t="s">
        <v>2336</v>
      </c>
      <c r="L48" s="1823">
        <f ca="1">INDIRECT("'数据-取费表'!f"&amp;$G$1)</f>
        <v>35.729999999999997</v>
      </c>
      <c r="M48" s="3264"/>
      <c r="O48" s="2254" t="s">
        <v>2364</v>
      </c>
      <c r="P48" s="2255" t="s">
        <v>2390</v>
      </c>
      <c r="Q48" s="2256">
        <f ca="1">C40+J29</f>
        <v>2063</v>
      </c>
      <c r="R48" s="2255" t="s">
        <v>2365</v>
      </c>
    </row>
    <row r="49" spans="1:18" s="1943" customFormat="1" ht="18" customHeight="1" thickBot="1">
      <c r="A49" s="776"/>
      <c r="B49" s="777"/>
      <c r="C49" s="778"/>
      <c r="D49" s="779"/>
      <c r="E49" s="774" t="s">
        <v>1730</v>
      </c>
      <c r="F49" s="775">
        <f ca="1">F7</f>
        <v>1841.69</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582</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824</v>
      </c>
      <c r="M51" s="3264"/>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2554</v>
      </c>
      <c r="C53" s="2353"/>
      <c r="D53" s="2355"/>
      <c r="E53" s="2352"/>
      <c r="F53" s="790"/>
      <c r="I53" s="2806" t="s">
        <v>2942</v>
      </c>
      <c r="J53" s="2859">
        <f ca="1">IF(M47="住宅",IF(D1="——",MAX(J51,L48),MAX(J51,L48-'数据-取费表'!B20)),IF(D1="——",MIN(J51,L48),MIN(J51,L48-'数据-取费表'!B20)))</f>
        <v>33.729999999999997</v>
      </c>
      <c r="K53" s="3570" t="s">
        <v>2931</v>
      </c>
      <c r="L53" s="3571"/>
      <c r="M53" s="3264"/>
      <c r="O53" s="2257" t="s">
        <v>2373</v>
      </c>
      <c r="P53" s="2255" t="s">
        <v>2374</v>
      </c>
      <c r="Q53" s="2256">
        <f ca="1">J53</f>
        <v>33.729999999999997</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2063</v>
      </c>
      <c r="R54" s="2259" t="s">
        <v>2377</v>
      </c>
    </row>
    <row r="55" spans="1:18" s="1943" customFormat="1" ht="18" customHeight="1" thickTop="1" thickBot="1">
      <c r="A55" s="787">
        <v>2</v>
      </c>
      <c r="B55" s="788" t="s">
        <v>638</v>
      </c>
      <c r="C55" s="789">
        <f ca="1">C13</f>
        <v>582</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582</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7</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2063</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0.1</v>
      </c>
      <c r="D61" s="803" t="s">
        <v>663</v>
      </c>
      <c r="E61" s="774" t="s">
        <v>664</v>
      </c>
      <c r="F61" s="632">
        <f t="shared" si="0"/>
        <v>3</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494.83</v>
      </c>
      <c r="I62" s="2825" t="s">
        <v>2352</v>
      </c>
      <c r="J62" s="2826" t="s">
        <v>2353</v>
      </c>
      <c r="K62" s="2826" t="s">
        <v>2354</v>
      </c>
      <c r="L62" s="2826" t="s">
        <v>2335</v>
      </c>
      <c r="M62" s="2827"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5.8</v>
      </c>
      <c r="D63" s="2482" t="s">
        <v>1794</v>
      </c>
      <c r="E63" s="774" t="s">
        <v>1738</v>
      </c>
      <c r="F63" s="806">
        <f t="shared" ca="1" si="0"/>
        <v>0.01</v>
      </c>
      <c r="I63" s="2825" t="s">
        <v>2355</v>
      </c>
      <c r="J63" s="2826">
        <v>70</v>
      </c>
      <c r="K63" s="2826">
        <v>50</v>
      </c>
      <c r="L63" s="2826">
        <v>80</v>
      </c>
      <c r="M63" s="2828">
        <v>0.02</v>
      </c>
      <c r="O63" s="2254" t="s">
        <v>2376</v>
      </c>
      <c r="P63" s="2255" t="s">
        <v>2393</v>
      </c>
      <c r="Q63" s="2256">
        <f ca="1">Q57+Q58</f>
        <v>2063</v>
      </c>
      <c r="R63" s="2259" t="s">
        <v>2377</v>
      </c>
    </row>
    <row r="64" spans="1:18" s="1943" customFormat="1" ht="16.5" thickBot="1">
      <c r="A64" s="1578" t="s">
        <v>1881</v>
      </c>
      <c r="B64" s="774" t="s">
        <v>673</v>
      </c>
      <c r="C64" s="53">
        <f ca="1">ROUND(C55*F64,1)</f>
        <v>0.9</v>
      </c>
      <c r="D64" s="2482"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2801</v>
      </c>
      <c r="C66" s="789">
        <f ca="1">C47-C57</f>
        <v>-7</v>
      </c>
      <c r="D66" s="2481" t="s">
        <v>694</v>
      </c>
      <c r="E66" s="2480"/>
      <c r="F66" s="809"/>
      <c r="K66" s="1969"/>
      <c r="O66" s="2254" t="s">
        <v>2364</v>
      </c>
      <c r="P66" s="2255" t="s">
        <v>2394</v>
      </c>
      <c r="Q66" s="2256">
        <f ca="1">C40+J29</f>
        <v>2063</v>
      </c>
      <c r="R66" s="2255" t="s">
        <v>2365</v>
      </c>
    </row>
    <row r="67" spans="1:18" s="1943" customFormat="1" ht="20.25" thickBot="1">
      <c r="A67" s="771" t="s">
        <v>1771</v>
      </c>
      <c r="B67" s="2113" t="s">
        <v>2289</v>
      </c>
      <c r="C67" s="773">
        <f ca="1">ROUND(C66*(1-((1+F69)/(1+F67))^F68)/(F67-F69),0)</f>
        <v>-106</v>
      </c>
      <c r="D67" s="803" t="s">
        <v>698</v>
      </c>
      <c r="E67" s="774" t="s">
        <v>699</v>
      </c>
      <c r="F67" s="784">
        <f ca="1">F40</f>
        <v>5.5E-2</v>
      </c>
      <c r="K67" s="1969"/>
      <c r="O67" s="2254" t="s">
        <v>2366</v>
      </c>
      <c r="P67" s="2255" t="s">
        <v>2397</v>
      </c>
      <c r="Q67" s="2256">
        <f ca="1">L60</f>
        <v>0</v>
      </c>
      <c r="R67" s="2259" t="s">
        <v>2399</v>
      </c>
    </row>
    <row r="68" spans="1:18" ht="21.75" thickBot="1">
      <c r="A68" s="776"/>
      <c r="B68" s="777"/>
      <c r="C68" s="778"/>
      <c r="D68" s="810" t="s">
        <v>1799</v>
      </c>
      <c r="E68" s="774" t="s">
        <v>1775</v>
      </c>
      <c r="F68" s="811">
        <f ca="1">F41</f>
        <v>33.729999999999997</v>
      </c>
      <c r="O68" s="2257" t="s">
        <v>2368</v>
      </c>
      <c r="P68" s="2255" t="s">
        <v>2398</v>
      </c>
      <c r="Q68" s="2261">
        <f ca="1">L51</f>
        <v>824</v>
      </c>
      <c r="R68" s="2262" t="s">
        <v>2401</v>
      </c>
    </row>
    <row r="69" spans="1:18" ht="20.25" thickBot="1">
      <c r="A69" s="780"/>
      <c r="B69" s="781"/>
      <c r="C69" s="782"/>
      <c r="D69" s="805"/>
      <c r="E69" s="774" t="s">
        <v>704</v>
      </c>
      <c r="F69" s="2227"/>
      <c r="O69" s="2257" t="s">
        <v>2369</v>
      </c>
      <c r="P69" s="2263" t="s">
        <v>2383</v>
      </c>
      <c r="Q69" s="2256">
        <f ca="1">ROUND(Q70-Q71*Q72,0)</f>
        <v>44</v>
      </c>
      <c r="R69" s="2259"/>
    </row>
    <row r="70" spans="1:18" ht="15.75" thickBot="1">
      <c r="A70" s="812" t="s">
        <v>1778</v>
      </c>
      <c r="B70" s="813" t="s">
        <v>1801</v>
      </c>
      <c r="C70" s="814">
        <f ca="1">ROUND(C67*10000/F70,0)</f>
        <v>-576</v>
      </c>
      <c r="D70" s="815" t="s">
        <v>1802</v>
      </c>
      <c r="E70" s="816" t="s">
        <v>1803</v>
      </c>
      <c r="F70" s="817">
        <f ca="1">F43</f>
        <v>1841.69</v>
      </c>
      <c r="O70" s="2257" t="s">
        <v>2384</v>
      </c>
      <c r="P70" s="2263" t="s">
        <v>2385</v>
      </c>
      <c r="Q70" s="2256">
        <f ca="1">C39</f>
        <v>93</v>
      </c>
      <c r="R70" s="2255" t="s">
        <v>2365</v>
      </c>
    </row>
    <row r="71" spans="1:18" ht="15.75" thickBot="1">
      <c r="O71" s="2257" t="s">
        <v>2386</v>
      </c>
      <c r="P71" s="2263" t="s">
        <v>2387</v>
      </c>
      <c r="Q71" s="2256">
        <f ca="1">C13</f>
        <v>582</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2063</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85" zoomScaleNormal="60" zoomScaleSheetLayoutView="85" workbookViewId="0">
      <selection activeCell="E41" sqref="E41"/>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35</v>
      </c>
      <c r="D1" s="2799" t="s">
        <v>3077</v>
      </c>
      <c r="E1" s="2243" t="s">
        <v>2359</v>
      </c>
      <c r="F1" s="2244">
        <f ca="1">J53</f>
        <v>43.73</v>
      </c>
      <c r="G1" s="3260">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8129</v>
      </c>
      <c r="C2" s="3265"/>
      <c r="D2" s="3266"/>
      <c r="E2" s="3267"/>
      <c r="F2" s="3267"/>
      <c r="G2" s="3261"/>
      <c r="H2" s="1941"/>
      <c r="I2" s="1941"/>
      <c r="J2" s="1941"/>
      <c r="K2" s="1942"/>
      <c r="L2" s="1941"/>
      <c r="M2" s="1941"/>
    </row>
    <row r="3" spans="1:33" ht="18" customHeight="1" thickBot="1">
      <c r="A3" s="822" t="s">
        <v>1718</v>
      </c>
      <c r="B3" s="823">
        <f ca="1">IF(ISERROR(B2*10000/F43),0,ROUND(B2*10000/F43,0))</f>
        <v>1452</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1721</v>
      </c>
      <c r="K4" s="768" t="s">
        <v>1726</v>
      </c>
      <c r="L4" s="769" t="s">
        <v>1722</v>
      </c>
      <c r="M4" s="770"/>
    </row>
    <row r="5" spans="1:33" ht="18" customHeight="1">
      <c r="A5" s="771">
        <v>1</v>
      </c>
      <c r="B5" s="772" t="s">
        <v>2439</v>
      </c>
      <c r="C5" s="55">
        <f ca="1">C6+C10+C12</f>
        <v>605</v>
      </c>
      <c r="D5" s="2350" t="s">
        <v>2442</v>
      </c>
      <c r="E5" s="2344"/>
      <c r="F5" s="2345"/>
      <c r="G5" s="1946"/>
      <c r="H5" s="771">
        <v>1</v>
      </c>
      <c r="I5" s="772" t="s">
        <v>2439</v>
      </c>
      <c r="J5" s="55">
        <f ca="1">J6+J10+J12</f>
        <v>0</v>
      </c>
      <c r="K5" s="2350" t="s">
        <v>2442</v>
      </c>
      <c r="L5" s="2344"/>
      <c r="M5" s="2345"/>
    </row>
    <row r="6" spans="1:33" ht="18" customHeight="1">
      <c r="A6" s="1746" t="s">
        <v>1815</v>
      </c>
      <c r="B6" s="3564" t="s">
        <v>2444</v>
      </c>
      <c r="C6" s="773">
        <f ca="1">ROUND(F6*F8*F7*(1-F9)/10000,0)</f>
        <v>605</v>
      </c>
      <c r="D6" s="2351" t="s">
        <v>2443</v>
      </c>
      <c r="E6" s="774" t="s">
        <v>1729</v>
      </c>
      <c r="F6" s="775">
        <f ca="1">INDIRECT("'数据-取费表'!u"&amp;$G$1)</f>
        <v>350</v>
      </c>
      <c r="G6" s="1946"/>
      <c r="H6" s="2358" t="s">
        <v>2449</v>
      </c>
      <c r="I6" s="3564" t="s">
        <v>2444</v>
      </c>
      <c r="J6" s="773">
        <f ca="1">ROUND(M6*M8*M7*(1-M9)/10000,0)</f>
        <v>0</v>
      </c>
      <c r="K6" s="339" t="s">
        <v>1728</v>
      </c>
      <c r="L6" s="774" t="s">
        <v>1729</v>
      </c>
      <c r="M6" s="775">
        <f ca="1">INDIRECT("'数据-取费表'!z"&amp;$G$1)</f>
        <v>0</v>
      </c>
    </row>
    <row r="7" spans="1:33" ht="18" customHeight="1">
      <c r="A7" s="2354"/>
      <c r="B7" s="3565"/>
      <c r="C7" s="778"/>
      <c r="D7" s="779"/>
      <c r="E7" s="774" t="s">
        <v>1730</v>
      </c>
      <c r="F7" s="775">
        <f ca="1">IF(INDIRECT("'数据-取费表'!ah"&amp;$G$1)="",INDIRECT("'数据-取费表'!k"&amp;$G$1),INDIRECT("'数据-取费表'!ah"&amp;$G$1))</f>
        <v>1600</v>
      </c>
      <c r="G7" s="1946"/>
      <c r="H7" s="2343"/>
      <c r="I7" s="3565"/>
      <c r="J7" s="778"/>
      <c r="K7" s="779"/>
      <c r="L7" s="774" t="s">
        <v>1730</v>
      </c>
      <c r="M7" s="775">
        <f ca="1">F7</f>
        <v>1600</v>
      </c>
    </row>
    <row r="8" spans="1:33" ht="18" customHeight="1">
      <c r="A8" s="2347"/>
      <c r="B8" s="3566"/>
      <c r="C8" s="778"/>
      <c r="D8" s="779"/>
      <c r="E8" s="774" t="s">
        <v>1731</v>
      </c>
      <c r="F8" s="775">
        <f ca="1">INDIRECT("'数据-取费表'!ai"&amp;$G$1)</f>
        <v>12</v>
      </c>
      <c r="G8" s="1946"/>
      <c r="H8" s="2343"/>
      <c r="I8" s="3566"/>
      <c r="J8" s="778"/>
      <c r="K8" s="779"/>
      <c r="L8" s="774" t="s">
        <v>1731</v>
      </c>
      <c r="M8" s="775">
        <f ca="1">INDIRECT("'数据-取费表'!ai"&amp;$G$1)</f>
        <v>12</v>
      </c>
    </row>
    <row r="9" spans="1:33" ht="18" customHeight="1">
      <c r="A9" s="776"/>
      <c r="B9" s="3567"/>
      <c r="C9" s="778"/>
      <c r="D9" s="779"/>
      <c r="E9" s="774" t="s">
        <v>1732</v>
      </c>
      <c r="F9" s="784">
        <f ca="1">INDIRECT("'数据-取费表'!w"&amp;$G$1)</f>
        <v>0.1</v>
      </c>
      <c r="G9" s="1946"/>
      <c r="H9" s="2359"/>
      <c r="I9" s="3566"/>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2938</v>
      </c>
      <c r="E10" s="2352" t="s">
        <v>2445</v>
      </c>
      <c r="F10" s="2466" t="s">
        <v>3083</v>
      </c>
      <c r="G10" s="1946"/>
      <c r="H10" s="2415" t="s">
        <v>2447</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2438</v>
      </c>
      <c r="F11" s="786">
        <f ca="1">'数据-取费表'!B39</f>
        <v>1.4999999999999999E-2</v>
      </c>
      <c r="G11" s="1946"/>
      <c r="H11" s="2416"/>
      <c r="I11" s="2349" t="s">
        <v>2554</v>
      </c>
      <c r="J11" s="2353"/>
      <c r="K11" s="2417"/>
      <c r="L11" s="2352" t="s">
        <v>2438</v>
      </c>
      <c r="M11" s="2346">
        <f ca="1">'数据-取费表'!B39</f>
        <v>1.4999999999999999E-2</v>
      </c>
    </row>
    <row r="12" spans="1:33" ht="18" customHeight="1" thickBot="1">
      <c r="A12" s="2391" t="s">
        <v>2448</v>
      </c>
      <c r="B12" s="2392" t="s">
        <v>2441</v>
      </c>
      <c r="C12" s="2393"/>
      <c r="D12" s="2394"/>
      <c r="E12" s="2395"/>
      <c r="F12" s="2396"/>
      <c r="G12" s="1946"/>
      <c r="H12" s="2405" t="s">
        <v>2448</v>
      </c>
      <c r="I12" s="2418" t="s">
        <v>2441</v>
      </c>
      <c r="J12" s="2419"/>
      <c r="K12" s="2394"/>
      <c r="L12" s="2395"/>
      <c r="M12" s="2408"/>
    </row>
    <row r="13" spans="1:33" ht="18" customHeight="1" thickTop="1">
      <c r="A13" s="1745">
        <v>2</v>
      </c>
      <c r="B13" s="1743" t="s">
        <v>1733</v>
      </c>
      <c r="C13" s="782">
        <f ca="1">ROUND(C29*F13,0)</f>
        <v>15706</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12010</v>
      </c>
      <c r="D14" s="3283" t="s">
        <v>1736</v>
      </c>
      <c r="E14" s="3284"/>
      <c r="F14" s="795"/>
      <c r="G14" s="1946"/>
      <c r="H14" s="1578" t="s">
        <v>1821</v>
      </c>
      <c r="I14" s="2112" t="s">
        <v>2804</v>
      </c>
      <c r="J14" s="53">
        <f ca="1">C29</f>
        <v>15706</v>
      </c>
      <c r="K14" s="26"/>
      <c r="L14" s="791"/>
      <c r="M14" s="792"/>
    </row>
    <row r="15" spans="1:33" s="1948" customFormat="1" ht="18" customHeight="1" thickBot="1">
      <c r="A15" s="1577" t="s">
        <v>1876</v>
      </c>
      <c r="B15" s="774" t="s">
        <v>641</v>
      </c>
      <c r="C15" s="53">
        <f ca="1">ROUND(C14*F15,0)</f>
        <v>360</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1481</v>
      </c>
      <c r="K16" s="1737" t="s">
        <v>1741</v>
      </c>
      <c r="L16" s="3285"/>
      <c r="M16" s="2345"/>
    </row>
    <row r="17" spans="1:33" s="1948" customFormat="1" ht="18" customHeight="1">
      <c r="A17" s="1577" t="s">
        <v>1878</v>
      </c>
      <c r="B17" s="774" t="s">
        <v>647</v>
      </c>
      <c r="C17" s="53">
        <f ca="1">ROUND(F17*(F43+INDIRECT("'数据-取费表'!S"&amp;$G$1))/10000,0)</f>
        <v>1201</v>
      </c>
      <c r="D17" s="774" t="s">
        <v>1742</v>
      </c>
      <c r="E17" s="774" t="s">
        <v>1743</v>
      </c>
      <c r="F17" s="56">
        <f>'数据-取费表'!B35</f>
        <v>200</v>
      </c>
      <c r="G17" s="3262"/>
      <c r="H17" s="1578" t="s">
        <v>1821</v>
      </c>
      <c r="I17" s="774" t="s">
        <v>650</v>
      </c>
      <c r="J17" s="3020">
        <f ca="1">ROUND(IF(AND(项目基本情况!B11="自然人",项目基本情况!B10="北京市"),J6*M17/(1+'数据-取费表'!C42),J18+J19+J20),0)</f>
        <v>1324</v>
      </c>
      <c r="K17" s="3283" t="s">
        <v>1744</v>
      </c>
      <c r="L17" s="3282"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180</v>
      </c>
      <c r="D18" s="774" t="s">
        <v>1737</v>
      </c>
      <c r="E18" s="774" t="s">
        <v>1738</v>
      </c>
      <c r="F18" s="799">
        <f>'数据-取费表'!B36</f>
        <v>1.4999999999999999E-2</v>
      </c>
      <c r="G18" s="3262"/>
      <c r="H18" s="1577" t="s">
        <v>1875</v>
      </c>
      <c r="I18" s="774" t="s">
        <v>1746</v>
      </c>
      <c r="J18" s="53">
        <f ca="1">ROUND(J6*M18/(1+'数据-取费表'!C42),1)</f>
        <v>0</v>
      </c>
      <c r="K18" s="3282"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13751</v>
      </c>
      <c r="D19" s="259" t="s">
        <v>1748</v>
      </c>
      <c r="E19" s="3287"/>
      <c r="F19" s="56"/>
      <c r="G19" s="1946"/>
      <c r="H19" s="1577" t="s">
        <v>1876</v>
      </c>
      <c r="I19" s="774" t="s">
        <v>1749</v>
      </c>
      <c r="J19" s="53">
        <f ca="1">IF(K19="按租金收入计税",ROUND(J6*M19/(1+'数据-取费表'!C42),1),ROUND(C29*F33*0.7,1))</f>
        <v>1319.3</v>
      </c>
      <c r="K19" s="800" t="s">
        <v>659</v>
      </c>
      <c r="L19" s="774" t="s">
        <v>1738</v>
      </c>
      <c r="M19" s="799">
        <f>IF(K19="按租金收入计税",'数据-取费表'!B51,'数据-取费表'!B50)</f>
        <v>1.2E-2</v>
      </c>
    </row>
    <row r="20" spans="1:33" s="1948" customFormat="1" ht="18" customHeight="1">
      <c r="A20" s="1578" t="s">
        <v>1880</v>
      </c>
      <c r="B20" s="774" t="s">
        <v>660</v>
      </c>
      <c r="C20" s="53">
        <f ca="1">ROUND(C19*F20,0)</f>
        <v>138</v>
      </c>
      <c r="D20" s="801" t="s">
        <v>1750</v>
      </c>
      <c r="E20" s="774" t="s">
        <v>1738</v>
      </c>
      <c r="F20" s="799">
        <f>'数据-取费表'!B37</f>
        <v>0.01</v>
      </c>
      <c r="G20" s="3262"/>
      <c r="H20" s="1580" t="s">
        <v>1871</v>
      </c>
      <c r="I20" s="339" t="s">
        <v>1751</v>
      </c>
      <c r="J20" s="54">
        <f ca="1">ROUND(M20*M21/10000,0)</f>
        <v>5</v>
      </c>
      <c r="K20" s="803" t="s">
        <v>1752</v>
      </c>
      <c r="L20" s="774" t="s">
        <v>1753</v>
      </c>
      <c r="M20" s="632">
        <f>'数据-取费表'!B52</f>
        <v>3</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0.01</v>
      </c>
      <c r="G21" s="3262"/>
      <c r="H21" s="2360"/>
      <c r="I21" s="783"/>
      <c r="J21" s="69"/>
      <c r="K21" s="805"/>
      <c r="L21" s="774" t="s">
        <v>1757</v>
      </c>
      <c r="M21" s="775">
        <f ca="1">INDIRECT("'数据-取费表'!r"&amp;$G$1)</f>
        <v>15046.21</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7"/>
      <c r="F22" s="56"/>
      <c r="G22" s="1946"/>
      <c r="H22" s="1578" t="s">
        <v>1880</v>
      </c>
      <c r="I22" s="774" t="s">
        <v>1759</v>
      </c>
      <c r="J22" s="53">
        <f ca="1">ROUND(J14*M22,0)</f>
        <v>157</v>
      </c>
      <c r="K22" s="3282" t="s">
        <v>1760</v>
      </c>
      <c r="L22" s="774" t="s">
        <v>1738</v>
      </c>
      <c r="M22" s="806">
        <f ca="1">INDIRECT("'数据-取费表'!Ak"&amp;$G$1)</f>
        <v>0.01</v>
      </c>
    </row>
    <row r="23" spans="1:33" s="1948" customFormat="1" ht="18" customHeight="1">
      <c r="A23" s="1577" t="s">
        <v>1822</v>
      </c>
      <c r="B23" s="774" t="s">
        <v>2516</v>
      </c>
      <c r="C23" s="53">
        <f ca="1">ROUND(IF('数据-取费表'!B22&lt;=1,(C19+C20)*F24*F23/2,(C19+C20)*(POWER((1+F24),F23/2)-1)),0)</f>
        <v>535</v>
      </c>
      <c r="D23" s="2424" t="str">
        <f>IF(F23&lt;=1,"(建造成本+管理费用)×利率×(建设周期÷2)","(建造成本+管理费用)×((1+利率)^(建设周期÷2)-1)")</f>
        <v>(建造成本+管理费用)×((1+利率)^(建设周期÷2)-1)</v>
      </c>
      <c r="E23" s="774" t="s">
        <v>1761</v>
      </c>
      <c r="F23" s="632">
        <f>'数据-取费表'!B20</f>
        <v>2</v>
      </c>
      <c r="G23" s="3262"/>
      <c r="H23" s="1578" t="s">
        <v>1881</v>
      </c>
      <c r="I23" s="774" t="s">
        <v>673</v>
      </c>
      <c r="J23" s="53">
        <f ca="1">ROUND(J13*M23,0)</f>
        <v>0</v>
      </c>
      <c r="K23" s="3282"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4.0000000000000002E-4</v>
      </c>
      <c r="D24" s="2424" t="str">
        <f>IF(F23&lt;=1,"销售费用×利率×(建设周期÷2)","销售费用×((1+利率)^(建设周期÷2)-1)")</f>
        <v>销售费用×((1+利率)^(建设周期÷2)-1)</v>
      </c>
      <c r="E24" s="774" t="s">
        <v>1764</v>
      </c>
      <c r="F24" s="808">
        <f ca="1">'数据-取费表'!B40</f>
        <v>3.85E-2</v>
      </c>
      <c r="G24" s="3262"/>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7"/>
      <c r="F25" s="56"/>
      <c r="G25" s="1946"/>
      <c r="H25" s="1745" t="s">
        <v>1767</v>
      </c>
      <c r="I25" s="2724" t="s">
        <v>2801</v>
      </c>
      <c r="J25" s="782">
        <f ca="1">J5-J16</f>
        <v>-1481</v>
      </c>
      <c r="K25" s="2402" t="s">
        <v>1768</v>
      </c>
      <c r="L25" s="2403"/>
      <c r="M25" s="2404"/>
    </row>
    <row r="26" spans="1:33" ht="18" customHeight="1">
      <c r="A26" s="1577" t="s">
        <v>1822</v>
      </c>
      <c r="B26" s="774" t="s">
        <v>2422</v>
      </c>
      <c r="C26" s="53">
        <f ca="1">ROUND((C19+C20)*F26,0)</f>
        <v>278</v>
      </c>
      <c r="D26" s="801" t="s">
        <v>1769</v>
      </c>
      <c r="E26" s="785" t="s">
        <v>1770</v>
      </c>
      <c r="F26" s="784">
        <f ca="1">INDIRECT("'数据-取费表'!q"&amp;$G$1)</f>
        <v>0.02</v>
      </c>
      <c r="G26" s="1946"/>
      <c r="H26" s="2356" t="s">
        <v>1771</v>
      </c>
      <c r="I26" s="2113" t="s">
        <v>2806</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2.0000000000000001E-4</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15706</v>
      </c>
      <c r="D29" s="2399"/>
      <c r="E29" s="2400"/>
      <c r="F29" s="2401"/>
      <c r="G29" s="3262"/>
      <c r="H29" s="812" t="s">
        <v>1778</v>
      </c>
      <c r="I29" s="813" t="s">
        <v>1779</v>
      </c>
      <c r="J29" s="814">
        <f ca="1">ROUND(J26/(1+F40)^F41,0)</f>
        <v>0</v>
      </c>
      <c r="K29" s="815" t="s">
        <v>1780</v>
      </c>
      <c r="L29" s="816"/>
      <c r="M29" s="817">
        <f ca="1">INDIRECT("'数据-取费表'!k"&amp;$G$1)</f>
        <v>56000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293</v>
      </c>
      <c r="D30" s="1737" t="s">
        <v>1741</v>
      </c>
      <c r="E30" s="3285"/>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106</v>
      </c>
      <c r="D31" s="3283" t="s">
        <v>1783</v>
      </c>
      <c r="E31" s="3282" t="s">
        <v>1784</v>
      </c>
      <c r="F31" s="3019" t="str">
        <f>IF(项目基本情况!B11="企业","——",IF('数据-取费表'!B10="住宅",IF(F6*F7*F8/12/(1+'数据-取费表'!F30)&gt;100000,4%,2.5%),IF(F6*F7*F8/12/(1+'数据-取费表'!F30)&gt;100000,12%,7%)))</f>
        <v>——</v>
      </c>
      <c r="G31" s="1946"/>
      <c r="H31" s="3259" t="s">
        <v>2996</v>
      </c>
      <c r="I31" s="1950"/>
      <c r="J31" s="1951"/>
      <c r="K31" s="1952"/>
      <c r="L31" s="1953"/>
      <c r="M31" s="1954"/>
    </row>
    <row r="32" spans="1:33" ht="18" customHeight="1">
      <c r="A32" s="1577" t="s">
        <v>1822</v>
      </c>
      <c r="B32" s="774" t="s">
        <v>1785</v>
      </c>
      <c r="C32" s="53">
        <f ca="1">ROUND(C6*F32/(1+'数据-取费表'!C42),1)</f>
        <v>32.299999999999997</v>
      </c>
      <c r="D32" s="328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69.099999999999994</v>
      </c>
      <c r="D33" s="800" t="s">
        <v>3079</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4.5</v>
      </c>
      <c r="D34" s="803" t="s">
        <v>1790</v>
      </c>
      <c r="E34" s="774" t="s">
        <v>1791</v>
      </c>
      <c r="F34" s="632">
        <f>'数据-取费表'!B52</f>
        <v>3</v>
      </c>
      <c r="G34" s="1946"/>
      <c r="H34" s="1949"/>
      <c r="I34" s="824" t="s">
        <v>1804</v>
      </c>
      <c r="J34" s="825"/>
      <c r="K34" s="1964"/>
      <c r="L34" s="1963"/>
      <c r="M34" s="1963"/>
    </row>
    <row r="35" spans="1:18" ht="18" customHeight="1">
      <c r="A35" s="804"/>
      <c r="B35" s="783"/>
      <c r="C35" s="69"/>
      <c r="D35" s="805"/>
      <c r="E35" s="774" t="s">
        <v>1792</v>
      </c>
      <c r="F35" s="775">
        <f ca="1">INDIRECT("'数据-取费表'!r"&amp;$G$1)</f>
        <v>15046.21</v>
      </c>
      <c r="G35" s="1946"/>
      <c r="H35" s="1949"/>
      <c r="I35" s="826" t="s">
        <v>1805</v>
      </c>
      <c r="J35" s="827">
        <f ca="1">ROUND(C13*J36,0)</f>
        <v>1335</v>
      </c>
      <c r="K35" s="1962"/>
      <c r="L35" s="1961"/>
      <c r="M35" s="1961"/>
    </row>
    <row r="36" spans="1:18" ht="18" customHeight="1">
      <c r="A36" s="1578" t="s">
        <v>1880</v>
      </c>
      <c r="B36" s="774" t="s">
        <v>1793</v>
      </c>
      <c r="C36" s="53">
        <f ca="1">ROUND(C29*F36,1)</f>
        <v>157.1</v>
      </c>
      <c r="D36" s="3282" t="s">
        <v>1794</v>
      </c>
      <c r="E36" s="774" t="s">
        <v>1787</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23.6</v>
      </c>
      <c r="D37" s="328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6.1</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2801</v>
      </c>
      <c r="C39" s="782">
        <f ca="1">C5-C30</f>
        <v>312</v>
      </c>
      <c r="D39" s="2402" t="s">
        <v>1797</v>
      </c>
      <c r="E39" s="2403"/>
      <c r="F39" s="2404"/>
      <c r="G39" s="1946"/>
      <c r="H39" s="1961"/>
      <c r="I39" s="826" t="s">
        <v>1809</v>
      </c>
      <c r="J39" s="834">
        <f ca="1">ROUND(J35/C39,3)</f>
        <v>4.2789999999999999</v>
      </c>
      <c r="K39" s="1966"/>
      <c r="L39" s="1961"/>
      <c r="M39" s="1961"/>
    </row>
    <row r="40" spans="1:18" ht="18" customHeight="1">
      <c r="A40" s="771" t="s">
        <v>1886</v>
      </c>
      <c r="B40" s="2113" t="s">
        <v>2289</v>
      </c>
      <c r="C40" s="773">
        <f ca="1">ROUND(C39*(1-((1+F42)/(1+F40))^F41)/(F40-F42),0)</f>
        <v>8129</v>
      </c>
      <c r="D40" s="803" t="s">
        <v>1798</v>
      </c>
      <c r="E40" s="774" t="s">
        <v>2404</v>
      </c>
      <c r="F40" s="784">
        <f ca="1">INDIRECT("'数据-取费表'!I"&amp;$G$1)</f>
        <v>0.05</v>
      </c>
      <c r="G40" s="1946"/>
      <c r="H40" s="1946"/>
      <c r="I40" s="826" t="s">
        <v>1810</v>
      </c>
      <c r="J40" s="834">
        <f ca="1">1-J39</f>
        <v>-3.2789999999999999</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43.73</v>
      </c>
      <c r="G41" s="1946"/>
      <c r="H41" s="1901"/>
      <c r="I41" s="832" t="s">
        <v>1811</v>
      </c>
      <c r="J41" s="835"/>
      <c r="K41" s="1965"/>
      <c r="L41" s="1901"/>
      <c r="M41" s="1901"/>
    </row>
    <row r="42" spans="1:18" ht="18" customHeight="1">
      <c r="A42" s="780"/>
      <c r="B42" s="781"/>
      <c r="C42" s="782"/>
      <c r="D42" s="805"/>
      <c r="E42" s="774" t="s">
        <v>1800</v>
      </c>
      <c r="F42" s="784">
        <f ca="1">INDIRECT("'数据-取费表'!v"&amp;$G$1)</f>
        <v>2.5000000000000001E-2</v>
      </c>
      <c r="G42" s="1946"/>
      <c r="H42" s="1901"/>
      <c r="I42" s="836" t="s">
        <v>1812</v>
      </c>
      <c r="J42" s="834">
        <f ca="1">ROUND(C13/C40,3)</f>
        <v>1.9319999999999999</v>
      </c>
      <c r="K42" s="1965"/>
      <c r="L42" s="1901"/>
      <c r="M42" s="1901"/>
    </row>
    <row r="43" spans="1:18" ht="18" customHeight="1" thickBot="1">
      <c r="A43" s="812" t="s">
        <v>1778</v>
      </c>
      <c r="B43" s="813" t="s">
        <v>1801</v>
      </c>
      <c r="C43" s="814">
        <f ca="1">ROUND(C40*10000/F43,0)</f>
        <v>1452</v>
      </c>
      <c r="D43" s="815" t="s">
        <v>1802</v>
      </c>
      <c r="E43" s="816" t="s">
        <v>1803</v>
      </c>
      <c r="F43" s="817">
        <f ca="1">INDIRECT("'数据-取费表'!k"&amp;$G$1)</f>
        <v>56000</v>
      </c>
      <c r="G43" s="1946"/>
      <c r="H43" s="1901"/>
      <c r="I43" s="836" t="s">
        <v>1813</v>
      </c>
      <c r="J43" s="837">
        <f ca="1">1-J42</f>
        <v>-0.93199999999999994</v>
      </c>
      <c r="K43" s="1965"/>
      <c r="L43" s="1901"/>
      <c r="M43" s="1901"/>
    </row>
    <row r="44" spans="1:18" s="1943" customFormat="1" ht="18" customHeight="1">
      <c r="A44" s="1968"/>
      <c r="B44" s="1968"/>
      <c r="C44" s="1985">
        <f ca="1">C43*35</f>
        <v>50820</v>
      </c>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-11409</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3080</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800" t="s">
        <v>2330</v>
      </c>
      <c r="J48" s="2238" t="s">
        <v>2335</v>
      </c>
      <c r="K48" s="2810" t="s">
        <v>2336</v>
      </c>
      <c r="L48" s="1823">
        <f ca="1">INDIRECT("'数据-取费表'!f"&amp;$G$1)</f>
        <v>45.73</v>
      </c>
      <c r="M48" s="3264"/>
      <c r="O48" s="2254" t="s">
        <v>2364</v>
      </c>
      <c r="P48" s="2255" t="s">
        <v>2390</v>
      </c>
      <c r="Q48" s="2256">
        <f ca="1">C40+J29</f>
        <v>8129</v>
      </c>
      <c r="R48" s="2255" t="s">
        <v>2365</v>
      </c>
    </row>
    <row r="49" spans="1:18" s="1943" customFormat="1" ht="18" customHeight="1" thickBot="1">
      <c r="A49" s="776"/>
      <c r="B49" s="777"/>
      <c r="C49" s="778"/>
      <c r="D49" s="779"/>
      <c r="E49" s="774" t="s">
        <v>1730</v>
      </c>
      <c r="F49" s="775">
        <f ca="1">F7</f>
        <v>1600</v>
      </c>
      <c r="G49" s="1973"/>
      <c r="H49" s="1976"/>
      <c r="I49" s="2800" t="s">
        <v>2331</v>
      </c>
      <c r="J49" s="2239"/>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12</v>
      </c>
      <c r="G50" s="1978"/>
      <c r="H50" s="1976"/>
      <c r="I50" s="2800" t="s">
        <v>2332</v>
      </c>
      <c r="J50" s="2807">
        <f>SUMPRODUCT((I63:I65=J47)*(J62:L62=J48)*(J63:L65))</f>
        <v>60</v>
      </c>
      <c r="K50" s="2811" t="s">
        <v>2338</v>
      </c>
      <c r="L50" s="2240"/>
      <c r="M50" s="3264"/>
      <c r="O50" s="2257" t="s">
        <v>2368</v>
      </c>
      <c r="P50" s="2255" t="s">
        <v>2392</v>
      </c>
      <c r="Q50" s="2256">
        <f ca="1">C29</f>
        <v>15706</v>
      </c>
      <c r="R50" s="2255" t="s">
        <v>2365</v>
      </c>
    </row>
    <row r="51" spans="1:18" s="1943" customFormat="1" ht="18" customHeight="1" thickBot="1">
      <c r="A51" s="776"/>
      <c r="B51" s="777"/>
      <c r="C51" s="778"/>
      <c r="D51" s="779"/>
      <c r="E51" s="774" t="s">
        <v>634</v>
      </c>
      <c r="F51" s="2227"/>
      <c r="H51" s="1976"/>
      <c r="I51" s="2804" t="s">
        <v>2333</v>
      </c>
      <c r="J51" s="2808">
        <f>IF(J49="",J50,J49+J50-YEAR('数据-取费表'!B2))</f>
        <v>60</v>
      </c>
      <c r="K51" s="2800" t="s">
        <v>2339</v>
      </c>
      <c r="L51" s="2814">
        <f ca="1">ROUND(-PV(INDIRECT("'数据-取费表'!h"&amp;$G$1),J51,(C39-C13*J36),0),0)</f>
        <v>-21113</v>
      </c>
      <c r="M51" s="3264"/>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2554</v>
      </c>
      <c r="C53" s="2353"/>
      <c r="D53" s="2355"/>
      <c r="E53" s="2352"/>
      <c r="F53" s="790"/>
      <c r="I53" s="2806" t="s">
        <v>2942</v>
      </c>
      <c r="J53" s="2859">
        <f ca="1">IF(M47="住宅",IF(D1="——",MAX(J51,L48),MAX(J51,L48-'数据-取费表'!B20)),IF(D1="——",MIN(J51,L48),MIN(J51,L48-'数据-取费表'!B20)))</f>
        <v>43.73</v>
      </c>
      <c r="K53" s="3570" t="s">
        <v>2931</v>
      </c>
      <c r="L53" s="3571"/>
      <c r="M53" s="3264"/>
      <c r="O53" s="2257" t="s">
        <v>2373</v>
      </c>
      <c r="P53" s="2255" t="s">
        <v>2374</v>
      </c>
      <c r="Q53" s="2256">
        <f ca="1">J53</f>
        <v>43.73</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8129</v>
      </c>
      <c r="R54" s="2259" t="s">
        <v>2377</v>
      </c>
    </row>
    <row r="55" spans="1:18" s="1943" customFormat="1" ht="18" customHeight="1" thickTop="1" thickBot="1">
      <c r="A55" s="787">
        <v>2</v>
      </c>
      <c r="B55" s="788" t="s">
        <v>638</v>
      </c>
      <c r="C55" s="789">
        <f ca="1">C13</f>
        <v>15706</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15706</v>
      </c>
      <c r="D56" s="32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186</v>
      </c>
      <c r="D57" s="26" t="s">
        <v>1741</v>
      </c>
      <c r="E57" s="3287"/>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8129</v>
      </c>
      <c r="R57" s="2255" t="s">
        <v>2365</v>
      </c>
    </row>
    <row r="58" spans="1:18" s="1943" customFormat="1" ht="28.5" customHeight="1" thickBot="1">
      <c r="A58" s="1578" t="s">
        <v>1815</v>
      </c>
      <c r="B58" s="774" t="s">
        <v>650</v>
      </c>
      <c r="C58" s="3020">
        <f ca="1">ROUND(IF(AND(项目基本情况!B11="自然人",项目基本情况!B10="北京市"),C48*F58/(1+'数据-取费表'!C42),C59+C60+C61),0)</f>
        <v>5</v>
      </c>
      <c r="D58" s="3283" t="s">
        <v>651</v>
      </c>
      <c r="E58" s="32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82" t="s">
        <v>1747</v>
      </c>
      <c r="E59" s="774" t="s">
        <v>1738</v>
      </c>
      <c r="F59" s="799">
        <f t="shared" ref="F59:F65" si="0">F32</f>
        <v>5.6000000000000001E-2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4.5</v>
      </c>
      <c r="D61" s="803" t="s">
        <v>663</v>
      </c>
      <c r="E61" s="774" t="s">
        <v>664</v>
      </c>
      <c r="F61" s="632">
        <f t="shared" si="0"/>
        <v>3</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15046.21</v>
      </c>
      <c r="I62" s="2825" t="s">
        <v>2352</v>
      </c>
      <c r="J62" s="2826" t="s">
        <v>2353</v>
      </c>
      <c r="K62" s="2826" t="s">
        <v>2354</v>
      </c>
      <c r="L62" s="2826" t="s">
        <v>2335</v>
      </c>
      <c r="M62" s="2827"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157.1</v>
      </c>
      <c r="D63" s="3282" t="s">
        <v>1794</v>
      </c>
      <c r="E63" s="774" t="s">
        <v>1738</v>
      </c>
      <c r="F63" s="806">
        <f t="shared" ca="1" si="0"/>
        <v>0.01</v>
      </c>
      <c r="I63" s="2825" t="s">
        <v>2355</v>
      </c>
      <c r="J63" s="2826">
        <v>70</v>
      </c>
      <c r="K63" s="2826">
        <v>50</v>
      </c>
      <c r="L63" s="2826">
        <v>80</v>
      </c>
      <c r="M63" s="2828">
        <v>0.02</v>
      </c>
      <c r="O63" s="2254" t="s">
        <v>2376</v>
      </c>
      <c r="P63" s="2255" t="s">
        <v>2393</v>
      </c>
      <c r="Q63" s="2256">
        <f ca="1">Q57+Q58</f>
        <v>8129</v>
      </c>
      <c r="R63" s="2259" t="s">
        <v>2377</v>
      </c>
    </row>
    <row r="64" spans="1:18" s="1943" customFormat="1" ht="16.5" thickBot="1">
      <c r="A64" s="1578" t="s">
        <v>1881</v>
      </c>
      <c r="B64" s="774" t="s">
        <v>673</v>
      </c>
      <c r="C64" s="53">
        <f ca="1">ROUND(C55*F64,1)</f>
        <v>23.6</v>
      </c>
      <c r="D64" s="3282"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82" t="s">
        <v>677</v>
      </c>
      <c r="E65" s="774" t="s">
        <v>1738</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2801</v>
      </c>
      <c r="C66" s="789">
        <f ca="1">C47-C57</f>
        <v>-186</v>
      </c>
      <c r="D66" s="3283" t="s">
        <v>694</v>
      </c>
      <c r="E66" s="3286"/>
      <c r="F66" s="809"/>
      <c r="K66" s="1969"/>
      <c r="O66" s="2254" t="s">
        <v>2364</v>
      </c>
      <c r="P66" s="2255" t="s">
        <v>2394</v>
      </c>
      <c r="Q66" s="2256">
        <f ca="1">C40+J29</f>
        <v>8129</v>
      </c>
      <c r="R66" s="2255" t="s">
        <v>2365</v>
      </c>
    </row>
    <row r="67" spans="1:18" s="1943" customFormat="1" ht="20.25" thickBot="1">
      <c r="A67" s="771" t="s">
        <v>1771</v>
      </c>
      <c r="B67" s="2113" t="s">
        <v>2289</v>
      </c>
      <c r="C67" s="773">
        <f ca="1">ROUND(C66*(1-((1+F69)/(1+F67))^F68)/(F67-F69),0)</f>
        <v>-3280</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43.73</v>
      </c>
      <c r="O68" s="2257" t="s">
        <v>2368</v>
      </c>
      <c r="P68" s="2255" t="s">
        <v>2398</v>
      </c>
      <c r="Q68" s="2261">
        <f ca="1">L51</f>
        <v>-21113</v>
      </c>
      <c r="R68" s="2262" t="s">
        <v>2401</v>
      </c>
    </row>
    <row r="69" spans="1:18" ht="20.25" thickBot="1">
      <c r="A69" s="780"/>
      <c r="B69" s="781"/>
      <c r="C69" s="782"/>
      <c r="D69" s="805"/>
      <c r="E69" s="774" t="s">
        <v>704</v>
      </c>
      <c r="F69" s="2227"/>
      <c r="O69" s="2257" t="s">
        <v>2369</v>
      </c>
      <c r="P69" s="2263" t="s">
        <v>2383</v>
      </c>
      <c r="Q69" s="2256">
        <f ca="1">ROUND(Q70-Q71*Q72,0)</f>
        <v>-1023</v>
      </c>
      <c r="R69" s="2259"/>
    </row>
    <row r="70" spans="1:18" ht="15.75" thickBot="1">
      <c r="A70" s="812" t="s">
        <v>1778</v>
      </c>
      <c r="B70" s="813" t="s">
        <v>1801</v>
      </c>
      <c r="C70" s="814">
        <f ca="1">ROUND(C67*10000/F70,0)</f>
        <v>-586</v>
      </c>
      <c r="D70" s="815" t="s">
        <v>1802</v>
      </c>
      <c r="E70" s="816" t="s">
        <v>1803</v>
      </c>
      <c r="F70" s="817">
        <f ca="1">F43</f>
        <v>56000</v>
      </c>
      <c r="O70" s="2257" t="s">
        <v>2384</v>
      </c>
      <c r="P70" s="2263" t="s">
        <v>2385</v>
      </c>
      <c r="Q70" s="2256">
        <f ca="1">C39</f>
        <v>312</v>
      </c>
      <c r="R70" s="2255" t="s">
        <v>2365</v>
      </c>
    </row>
    <row r="71" spans="1:18" ht="15.75" thickBot="1">
      <c r="O71" s="2257" t="s">
        <v>2386</v>
      </c>
      <c r="P71" s="2263" t="s">
        <v>2387</v>
      </c>
      <c r="Q71" s="2256">
        <f ca="1">C13</f>
        <v>15706</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8129</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2" t="s">
        <v>2452</v>
      </c>
      <c r="B1" s="3573"/>
      <c r="C1" s="3574"/>
      <c r="D1" s="3575">
        <f>SUM(I10,I15,I20,I21,I23)</f>
        <v>0</v>
      </c>
      <c r="E1" s="3575"/>
      <c r="F1" s="3575"/>
      <c r="G1" s="3575"/>
      <c r="H1" s="3575"/>
      <c r="I1" s="3576"/>
    </row>
    <row r="2" spans="1:9">
      <c r="A2" s="3577" t="s">
        <v>2453</v>
      </c>
      <c r="B2" s="3578" t="s">
        <v>2454</v>
      </c>
      <c r="C2" s="3578"/>
      <c r="D2" s="2361" t="s">
        <v>2455</v>
      </c>
      <c r="E2" s="2361" t="s">
        <v>2456</v>
      </c>
      <c r="F2" s="2361" t="s">
        <v>2457</v>
      </c>
      <c r="G2" s="2361" t="s">
        <v>2458</v>
      </c>
      <c r="H2" s="2361" t="s">
        <v>2459</v>
      </c>
      <c r="I2" s="2362" t="s">
        <v>2460</v>
      </c>
    </row>
    <row r="3" spans="1:9">
      <c r="A3" s="3577"/>
      <c r="B3" s="3578" t="s">
        <v>2461</v>
      </c>
      <c r="C3" s="3578"/>
      <c r="D3" s="2363"/>
      <c r="E3" s="2361"/>
      <c r="F3" s="2364"/>
      <c r="G3" s="2364"/>
      <c r="H3" s="2365"/>
      <c r="I3" s="2366">
        <f>ROUND(D3*E3*F3*G3*H3/10000,0)</f>
        <v>0</v>
      </c>
    </row>
    <row r="4" spans="1:9">
      <c r="A4" s="3577"/>
      <c r="B4" s="3578" t="s">
        <v>2462</v>
      </c>
      <c r="C4" s="3578"/>
      <c r="D4" s="2363"/>
      <c r="E4" s="2361"/>
      <c r="F4" s="2364"/>
      <c r="G4" s="2364"/>
      <c r="H4" s="2365"/>
      <c r="I4" s="2366">
        <f t="shared" ref="I4:I9" si="0">ROUND(D4*E4*F4*G4*H4/10000,0)</f>
        <v>0</v>
      </c>
    </row>
    <row r="5" spans="1:9">
      <c r="A5" s="3577"/>
      <c r="B5" s="3578" t="s">
        <v>2463</v>
      </c>
      <c r="C5" s="3578"/>
      <c r="D5" s="2363"/>
      <c r="E5" s="2361"/>
      <c r="F5" s="2364"/>
      <c r="G5" s="2364"/>
      <c r="H5" s="2365"/>
      <c r="I5" s="2366">
        <f t="shared" si="0"/>
        <v>0</v>
      </c>
    </row>
    <row r="6" spans="1:9">
      <c r="A6" s="3577"/>
      <c r="B6" s="3578" t="s">
        <v>2464</v>
      </c>
      <c r="C6" s="3578"/>
      <c r="D6" s="2363"/>
      <c r="E6" s="2361"/>
      <c r="F6" s="2364"/>
      <c r="G6" s="2364"/>
      <c r="H6" s="2365"/>
      <c r="I6" s="2366">
        <f t="shared" si="0"/>
        <v>0</v>
      </c>
    </row>
    <row r="7" spans="1:9">
      <c r="A7" s="3577"/>
      <c r="B7" s="3578" t="s">
        <v>2465</v>
      </c>
      <c r="C7" s="3578"/>
      <c r="D7" s="2363"/>
      <c r="E7" s="2361"/>
      <c r="F7" s="2364"/>
      <c r="G7" s="2364"/>
      <c r="H7" s="2365"/>
      <c r="I7" s="2366">
        <f t="shared" si="0"/>
        <v>0</v>
      </c>
    </row>
    <row r="8" spans="1:9">
      <c r="A8" s="3577"/>
      <c r="B8" s="3578" t="s">
        <v>2466</v>
      </c>
      <c r="C8" s="3578"/>
      <c r="D8" s="2363"/>
      <c r="E8" s="2361"/>
      <c r="F8" s="2364"/>
      <c r="G8" s="2364"/>
      <c r="H8" s="2365"/>
      <c r="I8" s="2366">
        <f t="shared" si="0"/>
        <v>0</v>
      </c>
    </row>
    <row r="9" spans="1:9">
      <c r="A9" s="3577"/>
      <c r="B9" s="3578" t="s">
        <v>2467</v>
      </c>
      <c r="C9" s="3578"/>
      <c r="D9" s="2363"/>
      <c r="E9" s="2361"/>
      <c r="F9" s="2364"/>
      <c r="G9" s="2364"/>
      <c r="H9" s="2365"/>
      <c r="I9" s="2366">
        <f t="shared" si="0"/>
        <v>0</v>
      </c>
    </row>
    <row r="10" spans="1:9">
      <c r="A10" s="3577"/>
      <c r="B10" s="3579" t="s">
        <v>2468</v>
      </c>
      <c r="C10" s="3579"/>
      <c r="D10" s="2367">
        <v>527</v>
      </c>
      <c r="E10" s="2367" t="e">
        <f>ROUND(D1*10000/D10/H9,0)</f>
        <v>#DIV/0!</v>
      </c>
      <c r="F10" s="2368"/>
      <c r="G10" s="2368"/>
      <c r="H10" s="2369"/>
      <c r="I10" s="2370">
        <f>SUM(I3:I9)</f>
        <v>0</v>
      </c>
    </row>
    <row r="11" spans="1:9" ht="14.25">
      <c r="A11" s="3577" t="s">
        <v>2469</v>
      </c>
      <c r="B11" s="3578" t="s">
        <v>2470</v>
      </c>
      <c r="C11" s="3578"/>
      <c r="D11" s="2363" t="s">
        <v>2471</v>
      </c>
      <c r="E11" s="2363" t="s">
        <v>2472</v>
      </c>
      <c r="F11" s="2364" t="s">
        <v>2473</v>
      </c>
      <c r="G11" s="2364" t="s">
        <v>2474</v>
      </c>
      <c r="H11" s="2371" t="s">
        <v>2475</v>
      </c>
      <c r="I11" s="2362" t="s">
        <v>2476</v>
      </c>
    </row>
    <row r="12" spans="1:9">
      <c r="A12" s="3577"/>
      <c r="B12" s="3578" t="s">
        <v>2477</v>
      </c>
      <c r="C12" s="3578"/>
      <c r="D12" s="2363"/>
      <c r="E12" s="2363"/>
      <c r="F12" s="2364"/>
      <c r="G12" s="2365"/>
      <c r="H12" s="2372"/>
      <c r="I12" s="2362">
        <f>ROUND(D12*E12*F12*G12/10000,0)</f>
        <v>0</v>
      </c>
    </row>
    <row r="13" spans="1:9">
      <c r="A13" s="3577"/>
      <c r="B13" s="3578" t="s">
        <v>2478</v>
      </c>
      <c r="C13" s="3578"/>
      <c r="D13" s="2363"/>
      <c r="E13" s="2363"/>
      <c r="F13" s="2364"/>
      <c r="G13" s="2365"/>
      <c r="H13" s="2372"/>
      <c r="I13" s="2362">
        <f>ROUND(D13*E13*F13*G13/10000,0)</f>
        <v>0</v>
      </c>
    </row>
    <row r="14" spans="1:9">
      <c r="A14" s="3577"/>
      <c r="B14" s="3578" t="s">
        <v>2479</v>
      </c>
      <c r="C14" s="3578"/>
      <c r="D14" s="2363"/>
      <c r="E14" s="2363"/>
      <c r="F14" s="2364"/>
      <c r="G14" s="2365"/>
      <c r="H14" s="2372"/>
      <c r="I14" s="2362">
        <f>ROUND(D14*E14*F14*G14/10000,0)</f>
        <v>0</v>
      </c>
    </row>
    <row r="15" spans="1:9">
      <c r="A15" s="3577"/>
      <c r="B15" s="3579" t="s">
        <v>2468</v>
      </c>
      <c r="C15" s="3579"/>
      <c r="D15" s="2367"/>
      <c r="E15" s="2367">
        <f>SUM(E12:E14)</f>
        <v>0</v>
      </c>
      <c r="F15" s="2368"/>
      <c r="G15" s="2365"/>
      <c r="H15" s="2372"/>
      <c r="I15" s="2373">
        <f>SUM(I12:I14)</f>
        <v>0</v>
      </c>
    </row>
    <row r="16" spans="1:9" ht="24">
      <c r="A16" s="3577" t="s">
        <v>2480</v>
      </c>
      <c r="B16" s="3578" t="s">
        <v>2481</v>
      </c>
      <c r="C16" s="3578"/>
      <c r="D16" s="2363" t="s">
        <v>2482</v>
      </c>
      <c r="E16" s="2374" t="s">
        <v>2483</v>
      </c>
      <c r="F16" s="2364" t="s">
        <v>2484</v>
      </c>
      <c r="G16" s="2365" t="s">
        <v>2474</v>
      </c>
      <c r="H16" s="2371" t="s">
        <v>2475</v>
      </c>
      <c r="I16" s="2362" t="s">
        <v>2476</v>
      </c>
    </row>
    <row r="17" spans="1:9" ht="14.25">
      <c r="A17" s="3577"/>
      <c r="B17" s="3578" t="s">
        <v>2485</v>
      </c>
      <c r="C17" s="3578"/>
      <c r="D17" s="2363"/>
      <c r="E17" s="2363"/>
      <c r="F17" s="2364"/>
      <c r="G17" s="2365"/>
      <c r="H17" s="2375"/>
      <c r="I17" s="2376">
        <f>ROUND(D17*E17*F17*G17/10000,0)</f>
        <v>0</v>
      </c>
    </row>
    <row r="18" spans="1:9" ht="14.25">
      <c r="A18" s="3577"/>
      <c r="B18" s="3578" t="s">
        <v>2486</v>
      </c>
      <c r="C18" s="3578"/>
      <c r="D18" s="2363"/>
      <c r="E18" s="2363"/>
      <c r="F18" s="2364"/>
      <c r="G18" s="2365"/>
      <c r="H18" s="2375"/>
      <c r="I18" s="2376">
        <f>ROUND(D18*E18*F18*G18/10000,0)</f>
        <v>0</v>
      </c>
    </row>
    <row r="19" spans="1:9" ht="14.25">
      <c r="A19" s="3577"/>
      <c r="B19" s="3578" t="s">
        <v>2487</v>
      </c>
      <c r="C19" s="3578"/>
      <c r="D19" s="2363"/>
      <c r="E19" s="2363"/>
      <c r="F19" s="2364"/>
      <c r="G19" s="2365"/>
      <c r="H19" s="2375"/>
      <c r="I19" s="2376">
        <f>ROUND(D19*E19*F19*G19/10000,0)</f>
        <v>0</v>
      </c>
    </row>
    <row r="20" spans="1:9">
      <c r="A20" s="3577"/>
      <c r="B20" s="3579" t="s">
        <v>2468</v>
      </c>
      <c r="C20" s="3579"/>
      <c r="D20" s="2367">
        <f>SUM(D17:D19)</f>
        <v>0</v>
      </c>
      <c r="E20" s="2367"/>
      <c r="F20" s="2368"/>
      <c r="G20" s="2365"/>
      <c r="H20" s="2372"/>
      <c r="I20" s="2373">
        <f>SUM(I17:I19)</f>
        <v>0</v>
      </c>
    </row>
    <row r="21" spans="1:9">
      <c r="A21" s="3577" t="s">
        <v>2488</v>
      </c>
      <c r="B21" s="3581"/>
      <c r="C21" s="3581"/>
      <c r="D21" s="3581"/>
      <c r="E21" s="3581"/>
      <c r="F21" s="3581"/>
      <c r="G21" s="3581"/>
      <c r="H21" s="2377">
        <v>0.1</v>
      </c>
      <c r="I21" s="2370">
        <f>ROUND(I10*H21,0)</f>
        <v>0</v>
      </c>
    </row>
    <row r="22" spans="1:9" ht="14.25">
      <c r="A22" s="3582" t="s">
        <v>2489</v>
      </c>
      <c r="B22" s="3583"/>
      <c r="C22" s="3584"/>
      <c r="D22" s="2378" t="s">
        <v>2490</v>
      </c>
      <c r="E22" s="2378" t="s">
        <v>2491</v>
      </c>
      <c r="F22" s="2379" t="s">
        <v>2492</v>
      </c>
      <c r="G22" s="2379" t="s">
        <v>2493</v>
      </c>
      <c r="H22" s="2371" t="s">
        <v>2494</v>
      </c>
      <c r="I22" s="2362" t="s">
        <v>2495</v>
      </c>
    </row>
    <row r="23" spans="1:9" ht="14.25" thickBot="1">
      <c r="A23" s="3585"/>
      <c r="B23" s="3586"/>
      <c r="C23" s="3587"/>
      <c r="D23" s="2380"/>
      <c r="E23" s="2380"/>
      <c r="F23" s="2380"/>
      <c r="G23" s="2381"/>
      <c r="H23" s="2382"/>
      <c r="I23" s="2383">
        <f>ROUND(E23*D23*F23*(1-G23)/10000,0)</f>
        <v>0</v>
      </c>
    </row>
    <row r="26" spans="1:9">
      <c r="A26" s="2384" t="s">
        <v>2496</v>
      </c>
      <c r="B26" s="2384"/>
      <c r="C26" s="2384"/>
      <c r="D26" s="2384"/>
      <c r="E26" s="3588">
        <f>C27-C30-C31-C32</f>
        <v>0</v>
      </c>
      <c r="F26" s="3588"/>
      <c r="G26" s="3588"/>
      <c r="H26" s="2757" t="s">
        <v>2822</v>
      </c>
    </row>
    <row r="27" spans="1:9">
      <c r="A27" s="2385">
        <v>1</v>
      </c>
      <c r="B27" s="2386" t="s">
        <v>2497</v>
      </c>
      <c r="C27" s="2386"/>
      <c r="D27" s="2386"/>
      <c r="E27" s="3589"/>
      <c r="F27" s="3589"/>
      <c r="G27" s="3589"/>
    </row>
    <row r="28" spans="1:9">
      <c r="A28" s="2387" t="s">
        <v>2498</v>
      </c>
      <c r="B28" s="2386" t="s">
        <v>2499</v>
      </c>
      <c r="C28" s="2386"/>
      <c r="D28" s="2386"/>
      <c r="E28" s="3589"/>
      <c r="F28" s="3589"/>
      <c r="G28" s="3589"/>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80"/>
      <c r="F32" s="3580"/>
      <c r="G32" s="3580"/>
    </row>
    <row r="33" spans="1:7" hidden="1">
      <c r="A33" s="3590" t="s">
        <v>2507</v>
      </c>
      <c r="B33" s="3591"/>
      <c r="C33" s="3591"/>
      <c r="D33" s="3592"/>
      <c r="E33" s="3588"/>
      <c r="F33" s="3588"/>
      <c r="G33" s="3588"/>
    </row>
    <row r="34" spans="1:7" hidden="1">
      <c r="A34" s="2389">
        <v>1</v>
      </c>
      <c r="B34" s="2386" t="s">
        <v>2508</v>
      </c>
      <c r="C34" s="2386"/>
      <c r="D34" s="2386"/>
      <c r="E34" s="3589"/>
      <c r="F34" s="3589"/>
      <c r="G34" s="3589"/>
    </row>
    <row r="35" spans="1:7" hidden="1">
      <c r="A35" s="2389">
        <v>2</v>
      </c>
      <c r="B35" s="2386" t="s">
        <v>2509</v>
      </c>
      <c r="C35" s="2386"/>
      <c r="D35" s="2386"/>
      <c r="E35" s="3589"/>
      <c r="F35" s="3589"/>
      <c r="G35" s="3589"/>
    </row>
    <row r="36" spans="1:7" hidden="1">
      <c r="A36" s="2389">
        <v>3</v>
      </c>
      <c r="B36" s="2386" t="s">
        <v>2510</v>
      </c>
      <c r="C36" s="2386"/>
      <c r="D36" s="2386"/>
      <c r="E36" s="3589"/>
      <c r="F36" s="3589"/>
      <c r="G36" s="3589"/>
    </row>
    <row r="37" spans="1:7" hidden="1">
      <c r="A37" s="2389">
        <v>4</v>
      </c>
      <c r="B37" s="2386" t="s">
        <v>2511</v>
      </c>
      <c r="C37" s="2386"/>
      <c r="D37" s="2386"/>
      <c r="E37" s="3589"/>
      <c r="F37" s="3589"/>
      <c r="G37" s="3589"/>
    </row>
    <row r="38" spans="1:7" hidden="1">
      <c r="A38" s="3590" t="s">
        <v>2512</v>
      </c>
      <c r="B38" s="3591"/>
      <c r="C38" s="3591"/>
      <c r="D38" s="3592"/>
      <c r="E38" s="3588"/>
      <c r="F38" s="3588"/>
      <c r="G38" s="35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484</v>
      </c>
      <c r="C2" s="3269"/>
      <c r="D2" s="3269"/>
      <c r="E2" s="3269"/>
      <c r="F2" s="3269"/>
      <c r="G2" s="3269"/>
    </row>
    <row r="3" spans="1:25" s="1943" customFormat="1" ht="18" customHeight="1">
      <c r="A3" s="1331" t="s">
        <v>1676</v>
      </c>
      <c r="B3" s="419">
        <f ca="1">ROUND(B2*10000/'数据-汇总表'!E3,0)</f>
        <v>22</v>
      </c>
      <c r="C3" s="3269"/>
      <c r="D3" s="3269"/>
      <c r="E3" s="3269"/>
      <c r="F3" s="3269"/>
      <c r="G3" s="3269"/>
    </row>
    <row r="4" spans="1:25" s="1943" customFormat="1" ht="18" customHeight="1">
      <c r="A4" s="420" t="s">
        <v>462</v>
      </c>
      <c r="B4" s="421">
        <f ca="1">ROUND(B2*10000/'数据-汇总表'!D3,0)</f>
        <v>88</v>
      </c>
      <c r="C4" s="3222"/>
      <c r="D4" s="3269"/>
      <c r="E4" s="3269"/>
      <c r="F4" s="3269"/>
      <c r="G4" s="3269"/>
    </row>
    <row r="5" spans="1:25" s="1943" customFormat="1" ht="18" customHeight="1" thickBot="1">
      <c r="A5" s="423"/>
      <c r="B5" s="424">
        <f ca="1">ROUND(B2/('数据-汇总表'!D3/666.67),0)</f>
        <v>6</v>
      </c>
      <c r="C5" s="425" t="s">
        <v>463</v>
      </c>
      <c r="D5" s="3269"/>
      <c r="E5" s="3269"/>
      <c r="F5" s="3269"/>
      <c r="G5" s="3269"/>
    </row>
    <row r="6" spans="1:25" s="2065" customFormat="1" ht="13.5" customHeight="1">
      <c r="A6" s="735"/>
      <c r="B6" s="736" t="s">
        <v>598</v>
      </c>
      <c r="C6" s="737" t="s">
        <v>599</v>
      </c>
      <c r="D6" s="737" t="s">
        <v>600</v>
      </c>
      <c r="E6" s="738" t="s">
        <v>601</v>
      </c>
      <c r="F6" s="738" t="s">
        <v>602</v>
      </c>
      <c r="G6" s="3268" t="s">
        <v>2997</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 ca="1">C11+C14+C15</f>
        <v>462</v>
      </c>
      <c r="D10" s="750"/>
      <c r="E10" s="740"/>
      <c r="F10" s="751"/>
      <c r="G10" s="749" t="s">
        <v>608</v>
      </c>
    </row>
    <row r="11" spans="1:25" s="2065" customFormat="1" ht="13.5" customHeight="1">
      <c r="A11" s="2324" t="s">
        <v>2423</v>
      </c>
      <c r="B11" s="743" t="s">
        <v>604</v>
      </c>
      <c r="C11" s="744">
        <f ca="1">'数据-取费表'!B29</f>
        <v>462</v>
      </c>
      <c r="D11" s="745"/>
      <c r="E11" s="744"/>
      <c r="F11" s="746"/>
      <c r="G11" s="2332" t="s">
        <v>2434</v>
      </c>
    </row>
    <row r="12" spans="1:25" s="2065" customFormat="1" ht="13.5" customHeight="1">
      <c r="A12" s="2330" t="s">
        <v>2431</v>
      </c>
      <c r="B12" s="747" t="s">
        <v>605</v>
      </c>
      <c r="C12" s="748">
        <f>ROUND(D12*E12/10000,0)</f>
        <v>302</v>
      </c>
      <c r="D12" s="3272">
        <f>'数据-汇总表'!E5</f>
        <v>143707.95000000001</v>
      </c>
      <c r="E12" s="3272">
        <f>'数据-取费表'!B27</f>
        <v>21</v>
      </c>
      <c r="F12" s="746"/>
      <c r="G12" s="749"/>
    </row>
    <row r="13" spans="1:25" s="2065" customFormat="1" ht="13.5" customHeight="1">
      <c r="A13" s="2330" t="s">
        <v>2430</v>
      </c>
      <c r="B13" s="747" t="s">
        <v>606</v>
      </c>
      <c r="C13" s="748">
        <f>ROUND(D13*E13/10000,0)</f>
        <v>160</v>
      </c>
      <c r="D13" s="3272">
        <f>'数据-汇总表'!E6</f>
        <v>75968.700000000012</v>
      </c>
      <c r="E13" s="3272">
        <f>'数据-取费表'!B28</f>
        <v>21</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 ca="1">ROUND((C7+C10+C16)*F18,0)</f>
        <v>23</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485</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49</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534</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484</v>
      </c>
      <c r="D22" s="750"/>
      <c r="E22" s="740"/>
      <c r="F22" s="756">
        <f>'数据-取费表'!AP16</f>
        <v>0.90700000000000003</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484</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2" t="s">
        <v>516</v>
      </c>
      <c r="D4" s="3483"/>
      <c r="E4" s="3516" t="s">
        <v>517</v>
      </c>
      <c r="F4" s="3517"/>
      <c r="G4" s="3482" t="s">
        <v>518</v>
      </c>
      <c r="H4" s="3483"/>
      <c r="I4" s="3482" t="s">
        <v>519</v>
      </c>
      <c r="J4" s="3483"/>
      <c r="K4" s="842" t="s">
        <v>520</v>
      </c>
      <c r="L4" s="2016"/>
      <c r="M4" s="2017"/>
      <c r="N4" s="2017"/>
      <c r="O4" s="2017"/>
      <c r="P4" s="3484" t="s">
        <v>521</v>
      </c>
      <c r="Q4" s="3485"/>
      <c r="R4" s="3490" t="s">
        <v>517</v>
      </c>
      <c r="S4" s="3491"/>
      <c r="T4" s="3490" t="s">
        <v>518</v>
      </c>
      <c r="U4" s="3491"/>
      <c r="V4" s="3477" t="s">
        <v>519</v>
      </c>
      <c r="W4" s="3477"/>
      <c r="X4" s="1502"/>
      <c r="Y4" s="3490" t="s">
        <v>521</v>
      </c>
      <c r="Z4" s="3491"/>
      <c r="AA4" s="3479" t="s">
        <v>517</v>
      </c>
      <c r="AB4" s="3479" t="s">
        <v>518</v>
      </c>
      <c r="AC4" s="3479" t="s">
        <v>519</v>
      </c>
    </row>
    <row r="5" spans="1:29" ht="15">
      <c r="A5" s="509"/>
      <c r="B5" s="510"/>
      <c r="C5" s="3498" t="s">
        <v>2897</v>
      </c>
      <c r="D5" s="3499"/>
      <c r="E5" s="3518" t="s">
        <v>2898</v>
      </c>
      <c r="F5" s="3519"/>
      <c r="G5" s="3498" t="s">
        <v>2899</v>
      </c>
      <c r="H5" s="3499"/>
      <c r="I5" s="3498" t="s">
        <v>2900</v>
      </c>
      <c r="J5" s="3499"/>
      <c r="K5" s="843"/>
      <c r="L5" s="2016"/>
      <c r="M5" s="2017"/>
      <c r="N5" s="2017"/>
      <c r="O5" s="2017"/>
      <c r="P5" s="3486"/>
      <c r="Q5" s="3487"/>
      <c r="R5" s="3492"/>
      <c r="S5" s="3493"/>
      <c r="T5" s="3492"/>
      <c r="U5" s="3493"/>
      <c r="V5" s="3477"/>
      <c r="W5" s="3477"/>
      <c r="X5" s="1502"/>
      <c r="Y5" s="3492"/>
      <c r="Z5" s="3493"/>
      <c r="AA5" s="3480"/>
      <c r="AB5" s="3480"/>
      <c r="AC5" s="3480"/>
    </row>
    <row r="6" spans="1:29" ht="15.75" thickBot="1">
      <c r="A6" s="511"/>
      <c r="B6" s="512"/>
      <c r="C6" s="3496" t="s">
        <v>2901</v>
      </c>
      <c r="D6" s="3497"/>
      <c r="E6" s="3514" t="s">
        <v>2901</v>
      </c>
      <c r="F6" s="3515"/>
      <c r="G6" s="3496" t="s">
        <v>2901</v>
      </c>
      <c r="H6" s="3497"/>
      <c r="I6" s="3496" t="s">
        <v>2901</v>
      </c>
      <c r="J6" s="3497"/>
      <c r="K6" s="843" t="s">
        <v>522</v>
      </c>
      <c r="L6" s="2016"/>
      <c r="M6" s="2017"/>
      <c r="N6" s="2017"/>
      <c r="O6" s="2017"/>
      <c r="P6" s="3488"/>
      <c r="Q6" s="3489"/>
      <c r="R6" s="3492"/>
      <c r="S6" s="3493"/>
      <c r="T6" s="3494"/>
      <c r="U6" s="3495"/>
      <c r="V6" s="3477"/>
      <c r="W6" s="3477"/>
      <c r="X6" s="1502"/>
      <c r="Y6" s="3494"/>
      <c r="Z6" s="3495"/>
      <c r="AA6" s="3481"/>
      <c r="AB6" s="3481"/>
      <c r="AC6" s="3481"/>
    </row>
    <row r="7" spans="1:29" s="1203" customFormat="1" ht="15.75" thickBot="1">
      <c r="A7" s="2630"/>
      <c r="B7" s="2637" t="s">
        <v>523</v>
      </c>
      <c r="C7" s="513">
        <f>'数据-取费表'!B2</f>
        <v>44250</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07" t="s">
        <v>524</v>
      </c>
      <c r="Q7" s="3509"/>
      <c r="R7" s="1503" t="s">
        <v>13</v>
      </c>
      <c r="S7" s="1504">
        <f t="shared" ref="S7:S15" si="0">F7</f>
        <v>0</v>
      </c>
      <c r="T7" s="1503" t="s">
        <v>13</v>
      </c>
      <c r="U7" s="1504">
        <f t="shared" ref="U7:U15" si="1">H7</f>
        <v>0</v>
      </c>
      <c r="V7" s="1503" t="s">
        <v>13</v>
      </c>
      <c r="W7" s="1504">
        <f t="shared" ref="W7:W15" si="2">J7</f>
        <v>0</v>
      </c>
      <c r="X7" s="1505"/>
      <c r="Y7" s="3507" t="s">
        <v>524</v>
      </c>
      <c r="Z7" s="3508"/>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07" t="s">
        <v>527</v>
      </c>
      <c r="Q8" s="3508"/>
      <c r="R8" s="1503" t="s">
        <v>13</v>
      </c>
      <c r="S8" s="1504">
        <f t="shared" si="0"/>
        <v>0</v>
      </c>
      <c r="T8" s="1503" t="s">
        <v>13</v>
      </c>
      <c r="U8" s="1504">
        <f t="shared" si="1"/>
        <v>0</v>
      </c>
      <c r="V8" s="1503" t="s">
        <v>13</v>
      </c>
      <c r="W8" s="1504">
        <f t="shared" si="2"/>
        <v>0</v>
      </c>
      <c r="X8" s="1505"/>
      <c r="Y8" s="3507" t="s">
        <v>527</v>
      </c>
      <c r="Z8" s="3508"/>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2"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2"/>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6"/>
      <c r="Q11" s="1134" t="str">
        <f t="shared" si="6"/>
        <v>容积率</v>
      </c>
      <c r="R11" s="1503" t="s">
        <v>11</v>
      </c>
      <c r="S11" s="1504" t="e">
        <f t="shared" si="0"/>
        <v>#N/A</v>
      </c>
      <c r="T11" s="1503" t="s">
        <v>11</v>
      </c>
      <c r="U11" s="1504" t="e">
        <f t="shared" si="1"/>
        <v>#N/A</v>
      </c>
      <c r="V11" s="1503" t="s">
        <v>11</v>
      </c>
      <c r="W11" s="1504" t="e">
        <f t="shared" si="2"/>
        <v>#N/A</v>
      </c>
      <c r="X11" s="1505"/>
      <c r="Y11" s="342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6"/>
      <c r="Q12" s="1134">
        <f t="shared" si="6"/>
        <v>111</v>
      </c>
      <c r="R12" s="1503" t="s">
        <v>11</v>
      </c>
      <c r="S12" s="1504">
        <f t="shared" si="0"/>
        <v>100</v>
      </c>
      <c r="T12" s="1503" t="s">
        <v>11</v>
      </c>
      <c r="U12" s="1504">
        <f t="shared" si="1"/>
        <v>100</v>
      </c>
      <c r="V12" s="1503" t="s">
        <v>11</v>
      </c>
      <c r="W12" s="1504">
        <f t="shared" si="2"/>
        <v>100</v>
      </c>
      <c r="X12" s="1505"/>
      <c r="Y12" s="3422"/>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6"/>
      <c r="Q13" s="1134">
        <f t="shared" si="6"/>
        <v>111</v>
      </c>
      <c r="R13" s="1503" t="s">
        <v>11</v>
      </c>
      <c r="S13" s="1504">
        <f t="shared" si="0"/>
        <v>100</v>
      </c>
      <c r="T13" s="1503" t="s">
        <v>11</v>
      </c>
      <c r="U13" s="1504">
        <f t="shared" si="1"/>
        <v>100</v>
      </c>
      <c r="V13" s="1503" t="s">
        <v>11</v>
      </c>
      <c r="W13" s="1504">
        <f t="shared" si="2"/>
        <v>100</v>
      </c>
      <c r="X13" s="1505"/>
      <c r="Y13" s="3422"/>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6"/>
      <c r="Q14" s="1134">
        <f t="shared" si="6"/>
        <v>111</v>
      </c>
      <c r="R14" s="1503" t="s">
        <v>11</v>
      </c>
      <c r="S14" s="1504">
        <f t="shared" si="0"/>
        <v>100</v>
      </c>
      <c r="T14" s="1503" t="s">
        <v>11</v>
      </c>
      <c r="U14" s="1504">
        <f t="shared" si="1"/>
        <v>100</v>
      </c>
      <c r="V14" s="1503" t="s">
        <v>11</v>
      </c>
      <c r="W14" s="1504">
        <f t="shared" si="2"/>
        <v>100</v>
      </c>
      <c r="X14" s="1505"/>
      <c r="Y14" s="3422"/>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0" t="s">
        <v>534</v>
      </c>
      <c r="Q15" s="1507" t="str">
        <f t="shared" si="6"/>
        <v>居住社区成熟度</v>
      </c>
      <c r="R15" s="1508" t="s">
        <v>11</v>
      </c>
      <c r="S15" s="1509">
        <f t="shared" si="0"/>
        <v>100</v>
      </c>
      <c r="T15" s="1508" t="s">
        <v>11</v>
      </c>
      <c r="U15" s="1509">
        <f t="shared" si="1"/>
        <v>100</v>
      </c>
      <c r="V15" s="1508" t="s">
        <v>11</v>
      </c>
      <c r="W15" s="1509">
        <f t="shared" si="2"/>
        <v>100</v>
      </c>
      <c r="X15" s="1502"/>
      <c r="Y15" s="3510"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1"/>
      <c r="Q16" s="1507"/>
      <c r="R16" s="1508"/>
      <c r="S16" s="1509"/>
      <c r="T16" s="1508"/>
      <c r="U16" s="1509"/>
      <c r="V16" s="1508"/>
      <c r="W16" s="1509"/>
      <c r="X16" s="1502"/>
      <c r="Y16" s="351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1"/>
      <c r="Q17" s="1507" t="str">
        <f>B17</f>
        <v>交通便捷度</v>
      </c>
      <c r="R17" s="1508" t="s">
        <v>11</v>
      </c>
      <c r="S17" s="1509">
        <f>F17</f>
        <v>100</v>
      </c>
      <c r="T17" s="1508" t="s">
        <v>11</v>
      </c>
      <c r="U17" s="1509">
        <f>H17</f>
        <v>100</v>
      </c>
      <c r="V17" s="1508" t="s">
        <v>11</v>
      </c>
      <c r="W17" s="1509">
        <f>J17</f>
        <v>100</v>
      </c>
      <c r="X17" s="1502"/>
      <c r="Y17" s="351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1"/>
      <c r="Q18" s="1507"/>
      <c r="R18" s="1508"/>
      <c r="S18" s="1509"/>
      <c r="T18" s="1508"/>
      <c r="U18" s="1509"/>
      <c r="V18" s="1508"/>
      <c r="W18" s="1509"/>
      <c r="X18" s="1502"/>
      <c r="Y18" s="3511"/>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1"/>
      <c r="Q19" s="1507" t="str">
        <f>B19</f>
        <v>公共配套设施</v>
      </c>
      <c r="R19" s="1508" t="s">
        <v>11</v>
      </c>
      <c r="S19" s="1509">
        <f>F19</f>
        <v>100</v>
      </c>
      <c r="T19" s="1508" t="s">
        <v>11</v>
      </c>
      <c r="U19" s="1509">
        <f>H19</f>
        <v>100</v>
      </c>
      <c r="V19" s="1508" t="s">
        <v>11</v>
      </c>
      <c r="W19" s="1509">
        <f>J19</f>
        <v>100</v>
      </c>
      <c r="X19" s="1502"/>
      <c r="Y19" s="351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1"/>
      <c r="Q20" s="1507"/>
      <c r="R20" s="1508"/>
      <c r="S20" s="1509"/>
      <c r="T20" s="1508"/>
      <c r="U20" s="1509"/>
      <c r="V20" s="1508"/>
      <c r="W20" s="1509"/>
      <c r="X20" s="1502"/>
      <c r="Y20" s="3511"/>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1"/>
      <c r="Q21" s="2430" t="str">
        <f>B21</f>
        <v>基础设施水平</v>
      </c>
      <c r="R21" s="1508" t="s">
        <v>11</v>
      </c>
      <c r="S21" s="1509">
        <f>F21</f>
        <v>100</v>
      </c>
      <c r="T21" s="1508" t="s">
        <v>11</v>
      </c>
      <c r="U21" s="1509">
        <f>H21</f>
        <v>100</v>
      </c>
      <c r="V21" s="1508" t="s">
        <v>11</v>
      </c>
      <c r="W21" s="1509">
        <f>J21</f>
        <v>100</v>
      </c>
      <c r="X21" s="2432"/>
      <c r="Y21" s="351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1"/>
      <c r="Q22" s="2430"/>
      <c r="R22" s="1508"/>
      <c r="S22" s="1509"/>
      <c r="T22" s="1508"/>
      <c r="U22" s="1509"/>
      <c r="V22" s="1508"/>
      <c r="W22" s="1509"/>
      <c r="X22" s="2432"/>
      <c r="Y22" s="3511"/>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1"/>
      <c r="Q23" s="1507" t="str">
        <f>B23</f>
        <v>自然及人文环境</v>
      </c>
      <c r="R23" s="1508" t="s">
        <v>11</v>
      </c>
      <c r="S23" s="1509">
        <f>F23</f>
        <v>100</v>
      </c>
      <c r="T23" s="1508" t="s">
        <v>11</v>
      </c>
      <c r="U23" s="1509">
        <f>H23</f>
        <v>100</v>
      </c>
      <c r="V23" s="1508" t="s">
        <v>11</v>
      </c>
      <c r="W23" s="1509">
        <f>J23</f>
        <v>100</v>
      </c>
      <c r="X23" s="1502"/>
      <c r="Y23" s="351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1"/>
      <c r="Q24" s="1507"/>
      <c r="R24" s="1508"/>
      <c r="S24" s="1509"/>
      <c r="T24" s="1508"/>
      <c r="U24" s="1509"/>
      <c r="V24" s="1508"/>
      <c r="W24" s="1509"/>
      <c r="X24" s="1502"/>
      <c r="Y24" s="3511"/>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1"/>
      <c r="Q25" s="1507" t="str">
        <f t="shared" ref="Q25:Q46" si="11">B25</f>
        <v>楼层-1</v>
      </c>
      <c r="R25" s="1508" t="s">
        <v>11</v>
      </c>
      <c r="S25" s="1509">
        <f>F25</f>
        <v>100</v>
      </c>
      <c r="T25" s="1508" t="s">
        <v>11</v>
      </c>
      <c r="U25" s="1509">
        <f>H25</f>
        <v>100</v>
      </c>
      <c r="V25" s="1508" t="s">
        <v>11</v>
      </c>
      <c r="W25" s="1509">
        <f>J25</f>
        <v>100</v>
      </c>
      <c r="X25" s="1502"/>
      <c r="Y25" s="3511"/>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1"/>
      <c r="Q26" s="1507" t="str">
        <f t="shared" si="11"/>
        <v>朝向</v>
      </c>
      <c r="R26" s="1508" t="s">
        <v>11</v>
      </c>
      <c r="S26" s="1509">
        <f>F26</f>
        <v>100</v>
      </c>
      <c r="T26" s="1508" t="s">
        <v>11</v>
      </c>
      <c r="U26" s="1509">
        <f>H26</f>
        <v>100</v>
      </c>
      <c r="V26" s="1508" t="s">
        <v>11</v>
      </c>
      <c r="W26" s="1509">
        <f>J26</f>
        <v>100</v>
      </c>
      <c r="X26" s="1502"/>
      <c r="Y26" s="3511"/>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1"/>
      <c r="Q27" s="1134" t="str">
        <f t="shared" si="11"/>
        <v>道路级别</v>
      </c>
      <c r="R27" s="1503" t="s">
        <v>11</v>
      </c>
      <c r="S27" s="1504">
        <f>F27</f>
        <v>100</v>
      </c>
      <c r="T27" s="1503" t="s">
        <v>11</v>
      </c>
      <c r="U27" s="1504">
        <f>H27</f>
        <v>100</v>
      </c>
      <c r="V27" s="1503" t="s">
        <v>11</v>
      </c>
      <c r="W27" s="1504">
        <f>J27</f>
        <v>100</v>
      </c>
      <c r="X27" s="1505"/>
      <c r="Y27" s="3511"/>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1"/>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1"/>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1"/>
      <c r="Q29" s="1507">
        <f t="shared" si="11"/>
        <v>111</v>
      </c>
      <c r="R29" s="1508" t="s">
        <v>11</v>
      </c>
      <c r="S29" s="1509">
        <f t="shared" si="12"/>
        <v>100</v>
      </c>
      <c r="T29" s="1508" t="s">
        <v>11</v>
      </c>
      <c r="U29" s="1509">
        <f t="shared" si="13"/>
        <v>100</v>
      </c>
      <c r="V29" s="1508" t="s">
        <v>11</v>
      </c>
      <c r="W29" s="1509">
        <f t="shared" si="14"/>
        <v>100</v>
      </c>
      <c r="X29" s="1502"/>
      <c r="Y29" s="351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1"/>
      <c r="Q30" s="1507">
        <f t="shared" si="11"/>
        <v>111</v>
      </c>
      <c r="R30" s="1508" t="s">
        <v>11</v>
      </c>
      <c r="S30" s="1509">
        <f t="shared" si="12"/>
        <v>100</v>
      </c>
      <c r="T30" s="1508" t="s">
        <v>11</v>
      </c>
      <c r="U30" s="1509">
        <f t="shared" si="13"/>
        <v>100</v>
      </c>
      <c r="V30" s="1508" t="s">
        <v>11</v>
      </c>
      <c r="W30" s="1509">
        <f t="shared" si="14"/>
        <v>100</v>
      </c>
      <c r="X30" s="1502"/>
      <c r="Y30" s="3511"/>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1"/>
      <c r="Q31" s="1507">
        <f t="shared" si="11"/>
        <v>111</v>
      </c>
      <c r="R31" s="1508" t="s">
        <v>11</v>
      </c>
      <c r="S31" s="1509">
        <f t="shared" si="12"/>
        <v>100</v>
      </c>
      <c r="T31" s="1508" t="s">
        <v>11</v>
      </c>
      <c r="U31" s="1509">
        <f t="shared" si="13"/>
        <v>100</v>
      </c>
      <c r="V31" s="1508" t="s">
        <v>11</v>
      </c>
      <c r="W31" s="1509">
        <f t="shared" si="14"/>
        <v>100</v>
      </c>
      <c r="X31" s="1502"/>
      <c r="Y31" s="3511"/>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2" t="s">
        <v>544</v>
      </c>
      <c r="Q32" s="1507" t="str">
        <f t="shared" si="11"/>
        <v>建筑类型</v>
      </c>
      <c r="R32" s="1508" t="s">
        <v>11</v>
      </c>
      <c r="S32" s="1509">
        <f t="shared" si="12"/>
        <v>100</v>
      </c>
      <c r="T32" s="1508" t="s">
        <v>11</v>
      </c>
      <c r="U32" s="1509">
        <f t="shared" si="13"/>
        <v>100</v>
      </c>
      <c r="V32" s="1508" t="s">
        <v>11</v>
      </c>
      <c r="W32" s="1509">
        <f t="shared" si="14"/>
        <v>100</v>
      </c>
      <c r="X32" s="1502"/>
      <c r="Y32" s="3513"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13"/>
      <c r="Q33" s="1536" t="str">
        <f t="shared" si="11"/>
        <v>项目建筑规模</v>
      </c>
      <c r="R33" s="1512" t="s">
        <v>11</v>
      </c>
      <c r="S33" s="1513" t="e">
        <f t="shared" si="12"/>
        <v>#N/A</v>
      </c>
      <c r="T33" s="1512" t="s">
        <v>11</v>
      </c>
      <c r="U33" s="1513" t="e">
        <f t="shared" si="13"/>
        <v>#N/A</v>
      </c>
      <c r="V33" s="1512" t="s">
        <v>11</v>
      </c>
      <c r="W33" s="1513" t="e">
        <f t="shared" si="14"/>
        <v>#N/A</v>
      </c>
      <c r="X33" s="1514"/>
      <c r="Y33" s="351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13"/>
      <c r="Q34" s="1507" t="str">
        <f t="shared" si="11"/>
        <v>建筑结构</v>
      </c>
      <c r="R34" s="1508" t="s">
        <v>11</v>
      </c>
      <c r="S34" s="1509">
        <f t="shared" si="12"/>
        <v>100</v>
      </c>
      <c r="T34" s="1508" t="s">
        <v>11</v>
      </c>
      <c r="U34" s="1509">
        <f t="shared" si="13"/>
        <v>100</v>
      </c>
      <c r="V34" s="1508" t="s">
        <v>11</v>
      </c>
      <c r="W34" s="1509">
        <f t="shared" si="14"/>
        <v>100</v>
      </c>
      <c r="X34" s="1502"/>
      <c r="Y34" s="3513"/>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13"/>
      <c r="Q35" s="1507" t="str">
        <f t="shared" si="11"/>
        <v>建筑品质</v>
      </c>
      <c r="R35" s="1508" t="s">
        <v>11</v>
      </c>
      <c r="S35" s="1509">
        <f t="shared" si="12"/>
        <v>100</v>
      </c>
      <c r="T35" s="1508" t="s">
        <v>11</v>
      </c>
      <c r="U35" s="1509">
        <f t="shared" si="13"/>
        <v>100</v>
      </c>
      <c r="V35" s="1508" t="s">
        <v>11</v>
      </c>
      <c r="W35" s="1509">
        <f t="shared" si="14"/>
        <v>100</v>
      </c>
      <c r="X35" s="1502"/>
      <c r="Y35" s="3513"/>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3"/>
      <c r="Q36" s="1507" t="str">
        <f t="shared" si="11"/>
        <v>公共部分装修</v>
      </c>
      <c r="R36" s="1508" t="s">
        <v>11</v>
      </c>
      <c r="S36" s="1509">
        <f t="shared" si="12"/>
        <v>100</v>
      </c>
      <c r="T36" s="1508" t="s">
        <v>11</v>
      </c>
      <c r="U36" s="1509">
        <f t="shared" si="13"/>
        <v>100</v>
      </c>
      <c r="V36" s="1508" t="s">
        <v>11</v>
      </c>
      <c r="W36" s="1509">
        <f t="shared" si="14"/>
        <v>100</v>
      </c>
      <c r="X36" s="1502"/>
      <c r="Y36" s="3513"/>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13"/>
      <c r="Q37" s="1134" t="str">
        <f t="shared" si="11"/>
        <v>成新度</v>
      </c>
      <c r="R37" s="1503" t="s">
        <v>11</v>
      </c>
      <c r="S37" s="1504" t="e">
        <f t="shared" si="12"/>
        <v>#N/A</v>
      </c>
      <c r="T37" s="1503" t="s">
        <v>11</v>
      </c>
      <c r="U37" s="1504" t="e">
        <f t="shared" si="13"/>
        <v>#N/A</v>
      </c>
      <c r="V37" s="1503" t="s">
        <v>11</v>
      </c>
      <c r="W37" s="1504" t="e">
        <f t="shared" si="14"/>
        <v>#N/A</v>
      </c>
      <c r="X37" s="1505"/>
      <c r="Y37" s="3513"/>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3" t="s">
        <v>544</v>
      </c>
      <c r="Q38" s="1507" t="str">
        <f t="shared" si="11"/>
        <v>物业管理</v>
      </c>
      <c r="R38" s="1508" t="s">
        <v>11</v>
      </c>
      <c r="S38" s="1509">
        <f t="shared" si="12"/>
        <v>100</v>
      </c>
      <c r="T38" s="1508" t="s">
        <v>11</v>
      </c>
      <c r="U38" s="1509">
        <f t="shared" si="13"/>
        <v>100</v>
      </c>
      <c r="V38" s="1508" t="s">
        <v>11</v>
      </c>
      <c r="W38" s="1509">
        <f t="shared" si="14"/>
        <v>100</v>
      </c>
      <c r="X38" s="1502"/>
      <c r="Y38" s="3513"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3"/>
      <c r="Q39" s="1507" t="str">
        <f t="shared" si="11"/>
        <v>市政基础设施</v>
      </c>
      <c r="R39" s="1508" t="s">
        <v>11</v>
      </c>
      <c r="S39" s="1509">
        <f t="shared" si="12"/>
        <v>100</v>
      </c>
      <c r="T39" s="1508" t="s">
        <v>11</v>
      </c>
      <c r="U39" s="1509">
        <f t="shared" si="13"/>
        <v>100</v>
      </c>
      <c r="V39" s="1508" t="s">
        <v>11</v>
      </c>
      <c r="W39" s="1509">
        <f t="shared" si="14"/>
        <v>100</v>
      </c>
      <c r="X39" s="1502"/>
      <c r="Y39" s="3513"/>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3"/>
      <c r="Q40" s="1507" t="str">
        <f t="shared" si="11"/>
        <v>房型</v>
      </c>
      <c r="R40" s="1508" t="s">
        <v>11</v>
      </c>
      <c r="S40" s="1509">
        <f t="shared" si="12"/>
        <v>100</v>
      </c>
      <c r="T40" s="1508" t="s">
        <v>11</v>
      </c>
      <c r="U40" s="1509">
        <f t="shared" si="13"/>
        <v>100</v>
      </c>
      <c r="V40" s="1508" t="s">
        <v>11</v>
      </c>
      <c r="W40" s="1509">
        <f t="shared" si="14"/>
        <v>100</v>
      </c>
      <c r="X40" s="1502"/>
      <c r="Y40" s="3513"/>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3"/>
      <c r="Q41" s="1536" t="str">
        <f t="shared" si="11"/>
        <v>单套/主力户型建筑面积</v>
      </c>
      <c r="R41" s="1512" t="s">
        <v>11</v>
      </c>
      <c r="S41" s="1513">
        <f t="shared" si="12"/>
        <v>100</v>
      </c>
      <c r="T41" s="1512" t="s">
        <v>11</v>
      </c>
      <c r="U41" s="1513">
        <f t="shared" si="13"/>
        <v>100</v>
      </c>
      <c r="V41" s="1512" t="s">
        <v>11</v>
      </c>
      <c r="W41" s="1513">
        <f t="shared" si="14"/>
        <v>100</v>
      </c>
      <c r="X41" s="1514"/>
      <c r="Y41" s="3513"/>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13"/>
      <c r="Q42" s="1507" t="str">
        <f t="shared" si="11"/>
        <v>内部装修</v>
      </c>
      <c r="R42" s="1508" t="s">
        <v>11</v>
      </c>
      <c r="S42" s="1509">
        <f t="shared" si="12"/>
        <v>100</v>
      </c>
      <c r="T42" s="1508" t="s">
        <v>11</v>
      </c>
      <c r="U42" s="1509">
        <f t="shared" si="13"/>
        <v>100</v>
      </c>
      <c r="V42" s="1508" t="s">
        <v>11</v>
      </c>
      <c r="W42" s="1509">
        <f t="shared" si="14"/>
        <v>100</v>
      </c>
      <c r="X42" s="1502"/>
      <c r="Y42" s="3513"/>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3"/>
      <c r="Q43" s="1507" t="str">
        <f t="shared" si="11"/>
        <v>内部装修维护情况</v>
      </c>
      <c r="R43" s="1508" t="s">
        <v>11</v>
      </c>
      <c r="S43" s="1509">
        <f t="shared" si="12"/>
        <v>100</v>
      </c>
      <c r="T43" s="1508" t="s">
        <v>11</v>
      </c>
      <c r="U43" s="1509">
        <f t="shared" si="13"/>
        <v>100</v>
      </c>
      <c r="V43" s="1508" t="s">
        <v>11</v>
      </c>
      <c r="W43" s="1509">
        <f t="shared" si="14"/>
        <v>100</v>
      </c>
      <c r="X43" s="1502"/>
      <c r="Y43" s="351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3"/>
      <c r="Q44" s="1134">
        <f t="shared" si="11"/>
        <v>111</v>
      </c>
      <c r="R44" s="1503" t="s">
        <v>11</v>
      </c>
      <c r="S44" s="1504">
        <f t="shared" si="12"/>
        <v>100</v>
      </c>
      <c r="T44" s="1503" t="s">
        <v>11</v>
      </c>
      <c r="U44" s="1504">
        <f t="shared" si="13"/>
        <v>100</v>
      </c>
      <c r="V44" s="1503" t="s">
        <v>11</v>
      </c>
      <c r="W44" s="1504">
        <f t="shared" si="14"/>
        <v>100</v>
      </c>
      <c r="X44" s="1505"/>
      <c r="Y44" s="351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3"/>
      <c r="Q45" s="1507">
        <f t="shared" si="11"/>
        <v>111</v>
      </c>
      <c r="R45" s="1508" t="s">
        <v>11</v>
      </c>
      <c r="S45" s="1509">
        <f t="shared" si="12"/>
        <v>100</v>
      </c>
      <c r="T45" s="1508" t="s">
        <v>11</v>
      </c>
      <c r="U45" s="1509">
        <f t="shared" si="13"/>
        <v>100</v>
      </c>
      <c r="V45" s="1508" t="s">
        <v>11</v>
      </c>
      <c r="W45" s="1509">
        <f t="shared" si="14"/>
        <v>100</v>
      </c>
      <c r="X45" s="1502"/>
      <c r="Y45" s="3513"/>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95"/>
      <c r="Q46" s="1507">
        <f t="shared" si="11"/>
        <v>111</v>
      </c>
      <c r="R46" s="1508" t="s">
        <v>10</v>
      </c>
      <c r="S46" s="1509">
        <f t="shared" si="12"/>
        <v>100</v>
      </c>
      <c r="T46" s="1508" t="s">
        <v>10</v>
      </c>
      <c r="U46" s="1509">
        <f t="shared" si="13"/>
        <v>100</v>
      </c>
      <c r="V46" s="1508" t="s">
        <v>10</v>
      </c>
      <c r="W46" s="1509">
        <f t="shared" si="14"/>
        <v>100</v>
      </c>
      <c r="X46" s="1502"/>
      <c r="Y46" s="3595"/>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6" t="str">
        <f>A47</f>
        <v>成交单价（元/平方米）</v>
      </c>
      <c r="Q47" s="3476"/>
      <c r="R47" s="3594">
        <f>E47</f>
        <v>0</v>
      </c>
      <c r="S47" s="3594"/>
      <c r="T47" s="3594">
        <f>G47</f>
        <v>0</v>
      </c>
      <c r="U47" s="3594"/>
      <c r="V47" s="3594">
        <f>I47</f>
        <v>0</v>
      </c>
      <c r="W47" s="3594"/>
      <c r="X47" s="1497"/>
      <c r="Y47" s="1516"/>
      <c r="Z47" s="1497"/>
      <c r="AA47" s="1497"/>
      <c r="AB47" s="1497"/>
      <c r="AC47" s="1497"/>
    </row>
    <row r="48" spans="1:29" ht="15.75" thickBot="1">
      <c r="A48" s="609" t="s">
        <v>2740</v>
      </c>
      <c r="B48" s="877"/>
      <c r="C48" s="2477" t="e">
        <f>R49</f>
        <v>#DIV/0!</v>
      </c>
      <c r="D48" s="3015" t="s">
        <v>2971</v>
      </c>
      <c r="E48" s="2478" t="e">
        <f>R48</f>
        <v>#DIV/0!</v>
      </c>
      <c r="F48" s="3016"/>
      <c r="G48" s="2477" t="e">
        <f>T48</f>
        <v>#DIV/0!</v>
      </c>
      <c r="H48" s="3016"/>
      <c r="I48" s="2478" t="e">
        <f>V48</f>
        <v>#DIV/0!</v>
      </c>
      <c r="J48" s="3016"/>
      <c r="K48" s="3024">
        <f>F48+H48+J48</f>
        <v>0</v>
      </c>
      <c r="L48" s="2027"/>
      <c r="M48" s="2028"/>
      <c r="N48" s="2028"/>
      <c r="O48" s="2028"/>
      <c r="P48" s="3476" t="str">
        <f>A48</f>
        <v>比较价格（元/平方米）</v>
      </c>
      <c r="Q48" s="3476"/>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473" t="str">
        <f>A49</f>
        <v>估价对象XX用房的比较价格（楼面单价，元/平方米）</v>
      </c>
      <c r="Q49" s="3474"/>
      <c r="R49" s="3593" t="e">
        <f>IF(F1="售价",ROUND(IF(D48="简单平均",AVERAGE(R48:V48),R48*F48+T48*H48+V48*J48),0),ROUND(IF(D48="简单平均",AVERAGE(R48:V48),R48*F48+T48*H48+V48*J48),1))</f>
        <v>#DIV/0!</v>
      </c>
      <c r="S49" s="3593"/>
      <c r="T49" s="3593"/>
      <c r="U49" s="3593"/>
      <c r="V49" s="3593"/>
      <c r="W49" s="3593"/>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2021-2</v>
      </c>
      <c r="D58" s="2522">
        <f>EDATE(C58,-1)</f>
        <v>44197</v>
      </c>
      <c r="E58" s="2522">
        <f t="shared" ref="E58:O58" si="16">EDATE(D58,-1)</f>
        <v>44166</v>
      </c>
      <c r="F58" s="2522">
        <f t="shared" si="16"/>
        <v>44136</v>
      </c>
      <c r="G58" s="2522">
        <f t="shared" si="16"/>
        <v>44105</v>
      </c>
      <c r="H58" s="2522">
        <f t="shared" si="16"/>
        <v>44075</v>
      </c>
      <c r="I58" s="2522">
        <f t="shared" si="16"/>
        <v>44044</v>
      </c>
      <c r="J58" s="2522">
        <f t="shared" si="16"/>
        <v>44013</v>
      </c>
      <c r="K58" s="2522">
        <f t="shared" si="16"/>
        <v>43983</v>
      </c>
      <c r="L58" s="2522">
        <f t="shared" si="16"/>
        <v>43952</v>
      </c>
      <c r="M58" s="2522">
        <f t="shared" si="16"/>
        <v>43922</v>
      </c>
      <c r="N58" s="2522">
        <f t="shared" si="16"/>
        <v>43891</v>
      </c>
      <c r="O58" s="2522">
        <f t="shared" si="16"/>
        <v>43862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2" t="s">
        <v>516</v>
      </c>
      <c r="D4" s="3483"/>
      <c r="E4" s="3516" t="s">
        <v>517</v>
      </c>
      <c r="F4" s="3517"/>
      <c r="G4" s="3482" t="s">
        <v>518</v>
      </c>
      <c r="H4" s="3483"/>
      <c r="I4" s="3482" t="s">
        <v>519</v>
      </c>
      <c r="J4" s="3483"/>
      <c r="K4" s="508" t="s">
        <v>520</v>
      </c>
      <c r="L4" s="2016"/>
      <c r="M4" s="2017"/>
      <c r="N4" s="2017"/>
      <c r="O4" s="2017"/>
      <c r="P4" s="3484" t="s">
        <v>521</v>
      </c>
      <c r="Q4" s="3485"/>
      <c r="R4" s="3490" t="s">
        <v>517</v>
      </c>
      <c r="S4" s="3491"/>
      <c r="T4" s="3490" t="s">
        <v>518</v>
      </c>
      <c r="U4" s="3491"/>
      <c r="V4" s="3477" t="s">
        <v>519</v>
      </c>
      <c r="W4" s="3477"/>
      <c r="X4" s="1502"/>
      <c r="Y4" s="3490" t="s">
        <v>521</v>
      </c>
      <c r="Z4" s="3491"/>
      <c r="AA4" s="3479" t="s">
        <v>517</v>
      </c>
      <c r="AB4" s="3477" t="s">
        <v>518</v>
      </c>
      <c r="AC4" s="3479" t="s">
        <v>519</v>
      </c>
    </row>
    <row r="5" spans="1:29" ht="15">
      <c r="A5" s="509"/>
      <c r="B5" s="510"/>
      <c r="C5" s="3498" t="s">
        <v>2897</v>
      </c>
      <c r="D5" s="3499"/>
      <c r="E5" s="3518" t="s">
        <v>2898</v>
      </c>
      <c r="F5" s="3519"/>
      <c r="G5" s="3498" t="s">
        <v>2899</v>
      </c>
      <c r="H5" s="3499"/>
      <c r="I5" s="3498" t="s">
        <v>2900</v>
      </c>
      <c r="J5" s="3499"/>
      <c r="K5" s="508"/>
      <c r="L5" s="2016"/>
      <c r="M5" s="2017"/>
      <c r="N5" s="2017"/>
      <c r="O5" s="2017"/>
      <c r="P5" s="3486"/>
      <c r="Q5" s="3487"/>
      <c r="R5" s="3492"/>
      <c r="S5" s="3493"/>
      <c r="T5" s="3492"/>
      <c r="U5" s="3493"/>
      <c r="V5" s="3477"/>
      <c r="W5" s="3477"/>
      <c r="X5" s="1502"/>
      <c r="Y5" s="3492"/>
      <c r="Z5" s="3493"/>
      <c r="AA5" s="3480"/>
      <c r="AB5" s="3477"/>
      <c r="AC5" s="3480"/>
    </row>
    <row r="6" spans="1:29" ht="15.75" thickBot="1">
      <c r="A6" s="511"/>
      <c r="B6" s="512"/>
      <c r="C6" s="3496" t="s">
        <v>2901</v>
      </c>
      <c r="D6" s="3497"/>
      <c r="E6" s="3514" t="s">
        <v>2901</v>
      </c>
      <c r="F6" s="3515"/>
      <c r="G6" s="3496" t="s">
        <v>2901</v>
      </c>
      <c r="H6" s="3497"/>
      <c r="I6" s="3496" t="s">
        <v>2901</v>
      </c>
      <c r="J6" s="3497"/>
      <c r="K6" s="508" t="s">
        <v>522</v>
      </c>
      <c r="L6" s="2016"/>
      <c r="M6" s="2017"/>
      <c r="N6" s="2017"/>
      <c r="O6" s="2017"/>
      <c r="P6" s="3488"/>
      <c r="Q6" s="3489"/>
      <c r="R6" s="3492"/>
      <c r="S6" s="3493"/>
      <c r="T6" s="3494"/>
      <c r="U6" s="3495"/>
      <c r="V6" s="3477"/>
      <c r="W6" s="3477"/>
      <c r="X6" s="1502"/>
      <c r="Y6" s="3494"/>
      <c r="Z6" s="3495"/>
      <c r="AA6" s="3481"/>
      <c r="AB6" s="3477"/>
      <c r="AC6" s="3481"/>
    </row>
    <row r="7" spans="1:29" s="1203" customFormat="1" ht="15.75" thickBot="1">
      <c r="A7" s="2630"/>
      <c r="B7" s="2637" t="s">
        <v>523</v>
      </c>
      <c r="C7" s="513">
        <f>'数据-取费表'!B2</f>
        <v>44250</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7" t="s">
        <v>524</v>
      </c>
      <c r="Q7" s="3509"/>
      <c r="R7" s="1503" t="s">
        <v>8</v>
      </c>
      <c r="S7" s="1504">
        <f t="shared" ref="S7:S15" si="0">F7</f>
        <v>0</v>
      </c>
      <c r="T7" s="1503" t="s">
        <v>8</v>
      </c>
      <c r="U7" s="1504">
        <f t="shared" ref="U7:U15" si="1">H7</f>
        <v>0</v>
      </c>
      <c r="V7" s="1503" t="s">
        <v>8</v>
      </c>
      <c r="W7" s="1504">
        <f t="shared" ref="W7:W15" si="2">J7</f>
        <v>0</v>
      </c>
      <c r="X7" s="1505"/>
      <c r="Y7" s="3507" t="s">
        <v>524</v>
      </c>
      <c r="Z7" s="3508"/>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7" t="s">
        <v>527</v>
      </c>
      <c r="Q8" s="3508"/>
      <c r="R8" s="1503" t="s">
        <v>8</v>
      </c>
      <c r="S8" s="1504">
        <f t="shared" si="0"/>
        <v>0</v>
      </c>
      <c r="T8" s="1503" t="s">
        <v>8</v>
      </c>
      <c r="U8" s="1504">
        <f t="shared" si="1"/>
        <v>0</v>
      </c>
      <c r="V8" s="1503" t="s">
        <v>8</v>
      </c>
      <c r="W8" s="1504">
        <f t="shared" si="2"/>
        <v>0</v>
      </c>
      <c r="X8" s="1505"/>
      <c r="Y8" s="3507" t="s">
        <v>527</v>
      </c>
      <c r="Z8" s="3508"/>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2"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2"/>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2"/>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2"/>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2"/>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0" t="s">
        <v>534</v>
      </c>
      <c r="Q15" s="1507" t="str">
        <f t="shared" si="6"/>
        <v>商业繁华度</v>
      </c>
      <c r="R15" s="1508" t="s">
        <v>8</v>
      </c>
      <c r="S15" s="1509">
        <f t="shared" si="0"/>
        <v>100</v>
      </c>
      <c r="T15" s="1508" t="s">
        <v>8</v>
      </c>
      <c r="U15" s="1509">
        <f t="shared" si="1"/>
        <v>100</v>
      </c>
      <c r="V15" s="1508" t="s">
        <v>8</v>
      </c>
      <c r="W15" s="1509">
        <f t="shared" si="2"/>
        <v>100</v>
      </c>
      <c r="X15" s="1502"/>
      <c r="Y15" s="3510"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1"/>
      <c r="Q16" s="1507"/>
      <c r="R16" s="1508"/>
      <c r="S16" s="1509"/>
      <c r="T16" s="1508"/>
      <c r="U16" s="1509"/>
      <c r="V16" s="1508"/>
      <c r="W16" s="1509"/>
      <c r="X16" s="1502"/>
      <c r="Y16" s="351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1"/>
      <c r="Q17" s="1507" t="str">
        <f>B17</f>
        <v>交通便捷度</v>
      </c>
      <c r="R17" s="1508" t="s">
        <v>8</v>
      </c>
      <c r="S17" s="1509">
        <f>F17</f>
        <v>100</v>
      </c>
      <c r="T17" s="1508" t="s">
        <v>8</v>
      </c>
      <c r="U17" s="1509">
        <f>H17</f>
        <v>100</v>
      </c>
      <c r="V17" s="1508" t="s">
        <v>8</v>
      </c>
      <c r="W17" s="1509">
        <f>J17</f>
        <v>100</v>
      </c>
      <c r="X17" s="1502"/>
      <c r="Y17" s="351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1"/>
      <c r="Q18" s="1507"/>
      <c r="R18" s="1508"/>
      <c r="S18" s="1509"/>
      <c r="T18" s="1508"/>
      <c r="U18" s="1509"/>
      <c r="V18" s="1508"/>
      <c r="W18" s="1509"/>
      <c r="X18" s="1502"/>
      <c r="Y18" s="3511"/>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1"/>
      <c r="Q19" s="1507" t="str">
        <f>B19</f>
        <v>公共配套设施</v>
      </c>
      <c r="R19" s="1508" t="s">
        <v>8</v>
      </c>
      <c r="S19" s="1509">
        <f>F19</f>
        <v>100</v>
      </c>
      <c r="T19" s="1508" t="s">
        <v>8</v>
      </c>
      <c r="U19" s="1509">
        <f>H19</f>
        <v>100</v>
      </c>
      <c r="V19" s="1508" t="s">
        <v>8</v>
      </c>
      <c r="W19" s="1509">
        <f>J19</f>
        <v>100</v>
      </c>
      <c r="X19" s="1502"/>
      <c r="Y19" s="351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1"/>
      <c r="Q20" s="1507"/>
      <c r="R20" s="1508"/>
      <c r="S20" s="1509"/>
      <c r="T20" s="1508"/>
      <c r="U20" s="1509"/>
      <c r="V20" s="1508"/>
      <c r="W20" s="1509"/>
      <c r="X20" s="1502"/>
      <c r="Y20" s="3511"/>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1"/>
      <c r="Q21" s="2430" t="str">
        <f>B21</f>
        <v>基础设施水平</v>
      </c>
      <c r="R21" s="1508" t="s">
        <v>8</v>
      </c>
      <c r="S21" s="1509">
        <f>F21</f>
        <v>100</v>
      </c>
      <c r="T21" s="1508" t="s">
        <v>8</v>
      </c>
      <c r="U21" s="1509">
        <f>H21</f>
        <v>100</v>
      </c>
      <c r="V21" s="1508" t="s">
        <v>8</v>
      </c>
      <c r="W21" s="1509">
        <f>J21</f>
        <v>100</v>
      </c>
      <c r="X21" s="2432"/>
      <c r="Y21" s="351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1"/>
      <c r="Q22" s="2430"/>
      <c r="R22" s="1508"/>
      <c r="S22" s="1509"/>
      <c r="T22" s="1508"/>
      <c r="U22" s="1509"/>
      <c r="V22" s="1508"/>
      <c r="W22" s="1509"/>
      <c r="X22" s="2432"/>
      <c r="Y22" s="3511"/>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1"/>
      <c r="Q23" s="1507" t="str">
        <f>B23</f>
        <v>自然及人文环境</v>
      </c>
      <c r="R23" s="1508" t="s">
        <v>8</v>
      </c>
      <c r="S23" s="1509">
        <f>F23</f>
        <v>100</v>
      </c>
      <c r="T23" s="1508" t="s">
        <v>8</v>
      </c>
      <c r="U23" s="1509">
        <f>H23</f>
        <v>100</v>
      </c>
      <c r="V23" s="1508" t="s">
        <v>8</v>
      </c>
      <c r="W23" s="1509">
        <f>J23</f>
        <v>100</v>
      </c>
      <c r="X23" s="1502"/>
      <c r="Y23" s="351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1"/>
      <c r="Q24" s="1507"/>
      <c r="R24" s="1508"/>
      <c r="S24" s="1509"/>
      <c r="T24" s="1508"/>
      <c r="U24" s="1509"/>
      <c r="V24" s="1508"/>
      <c r="W24" s="1509"/>
      <c r="X24" s="1502"/>
      <c r="Y24" s="3511"/>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1"/>
      <c r="Q25" s="1507" t="str">
        <f t="shared" ref="Q25:Q46" si="11">B25</f>
        <v>临街状况</v>
      </c>
      <c r="R25" s="1508" t="s">
        <v>8</v>
      </c>
      <c r="S25" s="1509">
        <f>F25</f>
        <v>100</v>
      </c>
      <c r="T25" s="1508" t="s">
        <v>8</v>
      </c>
      <c r="U25" s="1509">
        <f>H25</f>
        <v>100</v>
      </c>
      <c r="V25" s="1508" t="s">
        <v>8</v>
      </c>
      <c r="W25" s="1509">
        <f>J25</f>
        <v>100</v>
      </c>
      <c r="X25" s="1502"/>
      <c r="Y25" s="3511"/>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1"/>
      <c r="Q26" s="1507" t="str">
        <f t="shared" si="11"/>
        <v>平面位置/可视性</v>
      </c>
      <c r="R26" s="1508" t="s">
        <v>8</v>
      </c>
      <c r="S26" s="1509">
        <f>F26</f>
        <v>100</v>
      </c>
      <c r="T26" s="1508" t="s">
        <v>8</v>
      </c>
      <c r="U26" s="1509">
        <f>H26</f>
        <v>100</v>
      </c>
      <c r="V26" s="1508" t="s">
        <v>8</v>
      </c>
      <c r="W26" s="1509">
        <f>J26</f>
        <v>100</v>
      </c>
      <c r="X26" s="1502"/>
      <c r="Y26" s="3511"/>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1"/>
      <c r="Q27" s="1134" t="str">
        <f t="shared" si="11"/>
        <v>人流量</v>
      </c>
      <c r="R27" s="1503" t="s">
        <v>8</v>
      </c>
      <c r="S27" s="1504">
        <f>F27</f>
        <v>100</v>
      </c>
      <c r="T27" s="1503" t="s">
        <v>8</v>
      </c>
      <c r="U27" s="1504">
        <f>H27</f>
        <v>100</v>
      </c>
      <c r="V27" s="1503" t="s">
        <v>8</v>
      </c>
      <c r="W27" s="1504">
        <f>J27</f>
        <v>100</v>
      </c>
      <c r="X27" s="1505"/>
      <c r="Y27" s="3511"/>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1"/>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1"/>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1"/>
      <c r="Q29" s="1507">
        <f t="shared" si="11"/>
        <v>111</v>
      </c>
      <c r="R29" s="1508" t="s">
        <v>8</v>
      </c>
      <c r="S29" s="1509">
        <f t="shared" si="12"/>
        <v>100</v>
      </c>
      <c r="T29" s="1508" t="s">
        <v>8</v>
      </c>
      <c r="U29" s="1509">
        <f t="shared" si="13"/>
        <v>100</v>
      </c>
      <c r="V29" s="1508" t="s">
        <v>8</v>
      </c>
      <c r="W29" s="1509">
        <f t="shared" si="14"/>
        <v>100</v>
      </c>
      <c r="X29" s="1502"/>
      <c r="Y29" s="351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1"/>
      <c r="Q30" s="1507">
        <f t="shared" si="11"/>
        <v>111</v>
      </c>
      <c r="R30" s="1508" t="s">
        <v>8</v>
      </c>
      <c r="S30" s="1509">
        <f t="shared" si="12"/>
        <v>100</v>
      </c>
      <c r="T30" s="1508" t="s">
        <v>8</v>
      </c>
      <c r="U30" s="1509">
        <f t="shared" si="13"/>
        <v>100</v>
      </c>
      <c r="V30" s="1508" t="s">
        <v>8</v>
      </c>
      <c r="W30" s="1509">
        <f t="shared" si="14"/>
        <v>100</v>
      </c>
      <c r="X30" s="1502"/>
      <c r="Y30" s="3511"/>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1"/>
      <c r="Q31" s="1507">
        <f t="shared" si="11"/>
        <v>111</v>
      </c>
      <c r="R31" s="1508" t="s">
        <v>8</v>
      </c>
      <c r="S31" s="1509">
        <f t="shared" si="12"/>
        <v>100</v>
      </c>
      <c r="T31" s="1508" t="s">
        <v>8</v>
      </c>
      <c r="U31" s="1509">
        <f t="shared" si="13"/>
        <v>100</v>
      </c>
      <c r="V31" s="1508" t="s">
        <v>8</v>
      </c>
      <c r="W31" s="1509">
        <f t="shared" si="14"/>
        <v>100</v>
      </c>
      <c r="X31" s="1502"/>
      <c r="Y31" s="3511"/>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2" t="s">
        <v>544</v>
      </c>
      <c r="Q32" s="1507" t="str">
        <f t="shared" si="11"/>
        <v>商业类型</v>
      </c>
      <c r="R32" s="1508" t="s">
        <v>8</v>
      </c>
      <c r="S32" s="1509">
        <f t="shared" si="12"/>
        <v>100</v>
      </c>
      <c r="T32" s="1508" t="s">
        <v>8</v>
      </c>
      <c r="U32" s="1509">
        <f t="shared" si="13"/>
        <v>100</v>
      </c>
      <c r="V32" s="1508" t="s">
        <v>8</v>
      </c>
      <c r="W32" s="1509">
        <f t="shared" si="14"/>
        <v>100</v>
      </c>
      <c r="X32" s="1502"/>
      <c r="Y32" s="3513"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3"/>
      <c r="Q33" s="1536" t="str">
        <f t="shared" si="11"/>
        <v>项目建筑规模</v>
      </c>
      <c r="R33" s="1512" t="s">
        <v>8</v>
      </c>
      <c r="S33" s="1513" t="e">
        <f t="shared" si="12"/>
        <v>#N/A</v>
      </c>
      <c r="T33" s="1512" t="s">
        <v>8</v>
      </c>
      <c r="U33" s="1513" t="e">
        <f t="shared" si="13"/>
        <v>#N/A</v>
      </c>
      <c r="V33" s="1512" t="s">
        <v>8</v>
      </c>
      <c r="W33" s="1513" t="e">
        <f t="shared" si="14"/>
        <v>#N/A</v>
      </c>
      <c r="X33" s="1514"/>
      <c r="Y33" s="351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3"/>
      <c r="Q34" s="1507" t="str">
        <f t="shared" si="11"/>
        <v>建筑结构</v>
      </c>
      <c r="R34" s="1508" t="s">
        <v>8</v>
      </c>
      <c r="S34" s="1509">
        <f t="shared" si="12"/>
        <v>100</v>
      </c>
      <c r="T34" s="1508" t="s">
        <v>8</v>
      </c>
      <c r="U34" s="1509">
        <f t="shared" si="13"/>
        <v>100</v>
      </c>
      <c r="V34" s="1508" t="s">
        <v>8</v>
      </c>
      <c r="W34" s="1509">
        <f t="shared" si="14"/>
        <v>100</v>
      </c>
      <c r="X34" s="1502"/>
      <c r="Y34" s="3513"/>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3"/>
      <c r="Q35" s="1507" t="str">
        <f t="shared" si="11"/>
        <v>公共部分装修</v>
      </c>
      <c r="R35" s="1508" t="s">
        <v>8</v>
      </c>
      <c r="S35" s="1509">
        <f t="shared" si="12"/>
        <v>100</v>
      </c>
      <c r="T35" s="1508" t="s">
        <v>8</v>
      </c>
      <c r="U35" s="1509">
        <f t="shared" si="13"/>
        <v>100</v>
      </c>
      <c r="V35" s="1508" t="s">
        <v>8</v>
      </c>
      <c r="W35" s="1509">
        <f t="shared" si="14"/>
        <v>100</v>
      </c>
      <c r="X35" s="1502"/>
      <c r="Y35" s="3513"/>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3"/>
      <c r="Q36" s="1507" t="str">
        <f t="shared" si="11"/>
        <v>成新度</v>
      </c>
      <c r="R36" s="1508" t="s">
        <v>8</v>
      </c>
      <c r="S36" s="1509" t="e">
        <f t="shared" si="12"/>
        <v>#N/A</v>
      </c>
      <c r="T36" s="1508" t="s">
        <v>8</v>
      </c>
      <c r="U36" s="1509" t="e">
        <f t="shared" si="13"/>
        <v>#N/A</v>
      </c>
      <c r="V36" s="1508" t="s">
        <v>8</v>
      </c>
      <c r="W36" s="1509" t="e">
        <f t="shared" si="14"/>
        <v>#N/A</v>
      </c>
      <c r="X36" s="1502"/>
      <c r="Y36" s="3513"/>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3"/>
      <c r="Q37" s="1134" t="str">
        <f t="shared" si="11"/>
        <v>市政基础设施</v>
      </c>
      <c r="R37" s="1503" t="s">
        <v>8</v>
      </c>
      <c r="S37" s="1504">
        <f t="shared" si="12"/>
        <v>100</v>
      </c>
      <c r="T37" s="1503" t="s">
        <v>8</v>
      </c>
      <c r="U37" s="1504">
        <f t="shared" si="13"/>
        <v>100</v>
      </c>
      <c r="V37" s="1503" t="s">
        <v>8</v>
      </c>
      <c r="W37" s="1504">
        <f t="shared" si="14"/>
        <v>100</v>
      </c>
      <c r="X37" s="1505"/>
      <c r="Y37" s="3513"/>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3" t="s">
        <v>760</v>
      </c>
      <c r="Q38" s="1507" t="str">
        <f t="shared" si="11"/>
        <v>业态</v>
      </c>
      <c r="R38" s="1508" t="s">
        <v>8</v>
      </c>
      <c r="S38" s="1509">
        <f t="shared" si="12"/>
        <v>100</v>
      </c>
      <c r="T38" s="1508" t="s">
        <v>8</v>
      </c>
      <c r="U38" s="1509">
        <f t="shared" si="13"/>
        <v>100</v>
      </c>
      <c r="V38" s="1508" t="s">
        <v>8</v>
      </c>
      <c r="W38" s="1509">
        <f t="shared" si="14"/>
        <v>100</v>
      </c>
      <c r="X38" s="1502"/>
      <c r="Y38" s="3513"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3"/>
      <c r="Q39" s="1507" t="str">
        <f t="shared" si="11"/>
        <v>层高</v>
      </c>
      <c r="R39" s="1508" t="s">
        <v>8</v>
      </c>
      <c r="S39" s="1509">
        <f t="shared" si="12"/>
        <v>100</v>
      </c>
      <c r="T39" s="1508" t="s">
        <v>8</v>
      </c>
      <c r="U39" s="1509">
        <f t="shared" si="13"/>
        <v>100</v>
      </c>
      <c r="V39" s="1508" t="s">
        <v>8</v>
      </c>
      <c r="W39" s="1509">
        <f t="shared" si="14"/>
        <v>100</v>
      </c>
      <c r="X39" s="1502"/>
      <c r="Y39" s="3513"/>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3"/>
      <c r="Q40" s="1507" t="str">
        <f t="shared" si="11"/>
        <v>单套建筑面积</v>
      </c>
      <c r="R40" s="1508" t="s">
        <v>8</v>
      </c>
      <c r="S40" s="1509">
        <f t="shared" si="12"/>
        <v>100</v>
      </c>
      <c r="T40" s="1508" t="s">
        <v>8</v>
      </c>
      <c r="U40" s="1509">
        <f t="shared" si="13"/>
        <v>100</v>
      </c>
      <c r="V40" s="1508" t="s">
        <v>8</v>
      </c>
      <c r="W40" s="1509">
        <f t="shared" si="14"/>
        <v>100</v>
      </c>
      <c r="X40" s="1502"/>
      <c r="Y40" s="3513"/>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3"/>
      <c r="Q41" s="1536" t="str">
        <f t="shared" si="11"/>
        <v>进深比</v>
      </c>
      <c r="R41" s="1512" t="s">
        <v>8</v>
      </c>
      <c r="S41" s="1513">
        <f t="shared" si="12"/>
        <v>100</v>
      </c>
      <c r="T41" s="1512" t="s">
        <v>8</v>
      </c>
      <c r="U41" s="1513">
        <f t="shared" si="13"/>
        <v>100</v>
      </c>
      <c r="V41" s="1512" t="s">
        <v>8</v>
      </c>
      <c r="W41" s="1513">
        <f t="shared" si="14"/>
        <v>100</v>
      </c>
      <c r="X41" s="1514"/>
      <c r="Y41" s="3513"/>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3"/>
      <c r="Q42" s="1507" t="str">
        <f t="shared" si="11"/>
        <v>内部装修</v>
      </c>
      <c r="R42" s="1508" t="s">
        <v>8</v>
      </c>
      <c r="S42" s="1509">
        <f t="shared" si="12"/>
        <v>100</v>
      </c>
      <c r="T42" s="1508" t="s">
        <v>8</v>
      </c>
      <c r="U42" s="1509">
        <f t="shared" si="13"/>
        <v>100</v>
      </c>
      <c r="V42" s="1508" t="s">
        <v>8</v>
      </c>
      <c r="W42" s="1509">
        <f t="shared" si="14"/>
        <v>100</v>
      </c>
      <c r="X42" s="1502"/>
      <c r="Y42" s="3513"/>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3"/>
      <c r="Q43" s="1507" t="str">
        <f t="shared" si="11"/>
        <v>内部装修维护情况</v>
      </c>
      <c r="R43" s="1508" t="s">
        <v>8</v>
      </c>
      <c r="S43" s="1509">
        <f t="shared" si="12"/>
        <v>100</v>
      </c>
      <c r="T43" s="1508" t="s">
        <v>8</v>
      </c>
      <c r="U43" s="1509">
        <f t="shared" si="13"/>
        <v>100</v>
      </c>
      <c r="V43" s="1508" t="s">
        <v>8</v>
      </c>
      <c r="W43" s="1509">
        <f t="shared" si="14"/>
        <v>100</v>
      </c>
      <c r="X43" s="1502"/>
      <c r="Y43" s="351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3"/>
      <c r="Q44" s="1134">
        <f t="shared" si="11"/>
        <v>111</v>
      </c>
      <c r="R44" s="1503" t="s">
        <v>8</v>
      </c>
      <c r="S44" s="1504">
        <f t="shared" si="12"/>
        <v>100</v>
      </c>
      <c r="T44" s="1503" t="s">
        <v>8</v>
      </c>
      <c r="U44" s="1504">
        <f t="shared" si="13"/>
        <v>100</v>
      </c>
      <c r="V44" s="1503" t="s">
        <v>8</v>
      </c>
      <c r="W44" s="1504">
        <f t="shared" si="14"/>
        <v>100</v>
      </c>
      <c r="X44" s="1505"/>
      <c r="Y44" s="351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3"/>
      <c r="Q45" s="1507">
        <f t="shared" si="11"/>
        <v>111</v>
      </c>
      <c r="R45" s="1508" t="s">
        <v>8</v>
      </c>
      <c r="S45" s="1509">
        <f t="shared" si="12"/>
        <v>100</v>
      </c>
      <c r="T45" s="1508" t="s">
        <v>8</v>
      </c>
      <c r="U45" s="1509">
        <f t="shared" si="13"/>
        <v>100</v>
      </c>
      <c r="V45" s="1508" t="s">
        <v>8</v>
      </c>
      <c r="W45" s="1509">
        <f t="shared" si="14"/>
        <v>100</v>
      </c>
      <c r="X45" s="1502"/>
      <c r="Y45" s="3513"/>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95"/>
      <c r="Q46" s="1507">
        <f t="shared" si="11"/>
        <v>111</v>
      </c>
      <c r="R46" s="1508" t="s">
        <v>8</v>
      </c>
      <c r="S46" s="1509">
        <f t="shared" si="12"/>
        <v>100</v>
      </c>
      <c r="T46" s="1508" t="s">
        <v>8</v>
      </c>
      <c r="U46" s="1509">
        <f t="shared" si="13"/>
        <v>100</v>
      </c>
      <c r="V46" s="1508" t="s">
        <v>8</v>
      </c>
      <c r="W46" s="1509">
        <f t="shared" si="14"/>
        <v>100</v>
      </c>
      <c r="X46" s="1502"/>
      <c r="Y46" s="3595"/>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6" t="str">
        <f>A47</f>
        <v>成交单价（元/平方米）</v>
      </c>
      <c r="Q47" s="3476"/>
      <c r="R47" s="3594">
        <f>E47</f>
        <v>0</v>
      </c>
      <c r="S47" s="3594"/>
      <c r="T47" s="3594">
        <f>G47</f>
        <v>0</v>
      </c>
      <c r="U47" s="3594"/>
      <c r="V47" s="3594">
        <f>I47</f>
        <v>0</v>
      </c>
      <c r="W47" s="3594"/>
      <c r="X47" s="1497"/>
      <c r="Y47" s="1516"/>
      <c r="Z47" s="1497"/>
      <c r="AA47" s="1497"/>
      <c r="AB47" s="1497"/>
      <c r="AC47" s="1497"/>
    </row>
    <row r="48" spans="1:29" ht="15.75" thickBot="1">
      <c r="A48" s="609" t="s">
        <v>2740</v>
      </c>
      <c r="B48" s="877"/>
      <c r="C48" s="2477" t="e">
        <f>R49</f>
        <v>#DIV/0!</v>
      </c>
      <c r="D48" s="3015" t="s">
        <v>2971</v>
      </c>
      <c r="E48" s="2478" t="e">
        <f>R48</f>
        <v>#DIV/0!</v>
      </c>
      <c r="F48" s="3016"/>
      <c r="G48" s="2477" t="e">
        <f>T48</f>
        <v>#DIV/0!</v>
      </c>
      <c r="H48" s="3016"/>
      <c r="I48" s="2478" t="e">
        <f>V48</f>
        <v>#DIV/0!</v>
      </c>
      <c r="J48" s="3016"/>
      <c r="K48" s="3024">
        <f>F48+H48+J48</f>
        <v>0</v>
      </c>
      <c r="L48" s="2027"/>
      <c r="M48" s="2028"/>
      <c r="N48" s="2017"/>
      <c r="O48" s="2028"/>
      <c r="P48" s="3476" t="str">
        <f>A48</f>
        <v>比较价格（元/平方米）</v>
      </c>
      <c r="Q48" s="3476"/>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473" t="str">
        <f>A49</f>
        <v>估价对象XX用房的比较价格（楼面单价，元/平方米）</v>
      </c>
      <c r="Q49" s="3474"/>
      <c r="R49" s="3593" t="e">
        <f>IF(F1="售价",ROUND(IF(D48="简单平均",AVERAGE(R48:V48),R48*F48+T48*H48+V48*J48),0),ROUND(IF(D48="简单平均",AVERAGE(R48:V48),R48*F48+T48*H48+V48*J48),1))</f>
        <v>#DIV/0!</v>
      </c>
      <c r="S49" s="3593"/>
      <c r="T49" s="3593"/>
      <c r="U49" s="3593"/>
      <c r="V49" s="3593"/>
      <c r="W49" s="3593"/>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2021-2</v>
      </c>
      <c r="D58" s="2522">
        <f>EDATE(C58,-1)</f>
        <v>44197</v>
      </c>
      <c r="E58" s="2522">
        <f t="shared" ref="E58:O58" si="16">EDATE(D58,-1)</f>
        <v>44166</v>
      </c>
      <c r="F58" s="2522">
        <f t="shared" si="16"/>
        <v>44136</v>
      </c>
      <c r="G58" s="2522">
        <f t="shared" si="16"/>
        <v>44105</v>
      </c>
      <c r="H58" s="2522">
        <f t="shared" si="16"/>
        <v>44075</v>
      </c>
      <c r="I58" s="2522">
        <f t="shared" si="16"/>
        <v>44044</v>
      </c>
      <c r="J58" s="2522">
        <f t="shared" si="16"/>
        <v>44013</v>
      </c>
      <c r="K58" s="2522">
        <f t="shared" si="16"/>
        <v>43983</v>
      </c>
      <c r="L58" s="2522">
        <f t="shared" si="16"/>
        <v>43952</v>
      </c>
      <c r="M58" s="2522">
        <f t="shared" si="16"/>
        <v>43922</v>
      </c>
      <c r="N58" s="2522">
        <f t="shared" si="16"/>
        <v>43891</v>
      </c>
      <c r="O58" s="2522">
        <f t="shared" si="16"/>
        <v>43862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82" t="s">
        <v>516</v>
      </c>
      <c r="D4" s="3483"/>
      <c r="E4" s="3516" t="s">
        <v>517</v>
      </c>
      <c r="F4" s="3517"/>
      <c r="G4" s="3482" t="s">
        <v>518</v>
      </c>
      <c r="H4" s="3483"/>
      <c r="I4" s="3482" t="s">
        <v>519</v>
      </c>
      <c r="J4" s="3483"/>
      <c r="K4" s="508" t="s">
        <v>520</v>
      </c>
      <c r="L4" s="2016"/>
      <c r="M4" s="2017"/>
      <c r="N4" s="2017"/>
      <c r="O4" s="2017"/>
      <c r="P4" s="3597" t="s">
        <v>521</v>
      </c>
      <c r="Q4" s="3485"/>
      <c r="R4" s="3490" t="s">
        <v>517</v>
      </c>
      <c r="S4" s="3491"/>
      <c r="T4" s="3490" t="s">
        <v>518</v>
      </c>
      <c r="U4" s="3491"/>
      <c r="V4" s="3477" t="s">
        <v>519</v>
      </c>
      <c r="W4" s="3477"/>
      <c r="X4" s="1502"/>
      <c r="Y4" s="3490" t="s">
        <v>521</v>
      </c>
      <c r="Z4" s="3491"/>
      <c r="AA4" s="3479" t="s">
        <v>517</v>
      </c>
      <c r="AB4" s="3479" t="s">
        <v>518</v>
      </c>
      <c r="AC4" s="3479" t="s">
        <v>519</v>
      </c>
    </row>
    <row r="5" spans="1:29" ht="15">
      <c r="A5" s="509"/>
      <c r="B5" s="510"/>
      <c r="C5" s="3498" t="s">
        <v>2897</v>
      </c>
      <c r="D5" s="3499"/>
      <c r="E5" s="3518" t="s">
        <v>2898</v>
      </c>
      <c r="F5" s="3519"/>
      <c r="G5" s="3498" t="s">
        <v>2899</v>
      </c>
      <c r="H5" s="3499"/>
      <c r="I5" s="3498" t="s">
        <v>2900</v>
      </c>
      <c r="J5" s="3499"/>
      <c r="K5" s="508"/>
      <c r="L5" s="2016"/>
      <c r="M5" s="2017"/>
      <c r="N5" s="2017"/>
      <c r="O5" s="2017"/>
      <c r="P5" s="3598"/>
      <c r="Q5" s="3487"/>
      <c r="R5" s="3492"/>
      <c r="S5" s="3493"/>
      <c r="T5" s="3492"/>
      <c r="U5" s="3493"/>
      <c r="V5" s="3477"/>
      <c r="W5" s="3477"/>
      <c r="X5" s="1502"/>
      <c r="Y5" s="3492"/>
      <c r="Z5" s="3493"/>
      <c r="AA5" s="3480"/>
      <c r="AB5" s="3480"/>
      <c r="AC5" s="3480"/>
    </row>
    <row r="6" spans="1:29" ht="15.75" thickBot="1">
      <c r="A6" s="511"/>
      <c r="B6" s="512"/>
      <c r="C6" s="3496" t="s">
        <v>2901</v>
      </c>
      <c r="D6" s="3497"/>
      <c r="E6" s="3514" t="s">
        <v>2901</v>
      </c>
      <c r="F6" s="3515"/>
      <c r="G6" s="3496" t="s">
        <v>2901</v>
      </c>
      <c r="H6" s="3497"/>
      <c r="I6" s="3496" t="s">
        <v>2901</v>
      </c>
      <c r="J6" s="3497"/>
      <c r="K6" s="508" t="s">
        <v>522</v>
      </c>
      <c r="L6" s="2016"/>
      <c r="M6" s="2017"/>
      <c r="N6" s="2017"/>
      <c r="O6" s="2017"/>
      <c r="P6" s="3599"/>
      <c r="Q6" s="3489"/>
      <c r="R6" s="3492"/>
      <c r="S6" s="3493"/>
      <c r="T6" s="3494"/>
      <c r="U6" s="3495"/>
      <c r="V6" s="3477"/>
      <c r="W6" s="3477"/>
      <c r="X6" s="1502"/>
      <c r="Y6" s="3494"/>
      <c r="Z6" s="3495"/>
      <c r="AA6" s="3481"/>
      <c r="AB6" s="3481"/>
      <c r="AC6" s="3481"/>
    </row>
    <row r="7" spans="1:29" s="1203" customFormat="1" ht="15.75" thickBot="1">
      <c r="A7" s="2630"/>
      <c r="B7" s="2637" t="s">
        <v>523</v>
      </c>
      <c r="C7" s="513">
        <f>'数据-取费表'!B2</f>
        <v>44250</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09" t="s">
        <v>524</v>
      </c>
      <c r="Q7" s="3509"/>
      <c r="R7" s="1503" t="s">
        <v>8</v>
      </c>
      <c r="S7" s="1504">
        <f t="shared" ref="S7:S15" si="0">F7</f>
        <v>0</v>
      </c>
      <c r="T7" s="1503" t="s">
        <v>8</v>
      </c>
      <c r="U7" s="1504">
        <f t="shared" ref="U7:U15" si="1">H7</f>
        <v>0</v>
      </c>
      <c r="V7" s="1503" t="s">
        <v>8</v>
      </c>
      <c r="W7" s="1504">
        <f t="shared" ref="W7:W15" si="2">J7</f>
        <v>0</v>
      </c>
      <c r="X7" s="1505"/>
      <c r="Y7" s="3507" t="s">
        <v>524</v>
      </c>
      <c r="Z7" s="3508"/>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09" t="s">
        <v>527</v>
      </c>
      <c r="Q8" s="3508"/>
      <c r="R8" s="1503" t="s">
        <v>8</v>
      </c>
      <c r="S8" s="1504">
        <f t="shared" si="0"/>
        <v>0</v>
      </c>
      <c r="T8" s="1503" t="s">
        <v>8</v>
      </c>
      <c r="U8" s="1504">
        <f t="shared" si="1"/>
        <v>0</v>
      </c>
      <c r="V8" s="1503" t="s">
        <v>8</v>
      </c>
      <c r="W8" s="1504">
        <f t="shared" si="2"/>
        <v>0</v>
      </c>
      <c r="X8" s="1505"/>
      <c r="Y8" s="3507" t="s">
        <v>527</v>
      </c>
      <c r="Z8" s="3508"/>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6" t="s">
        <v>529</v>
      </c>
      <c r="Q9" s="1134" t="str">
        <f t="shared" ref="Q9:Q15" si="6">B9</f>
        <v>用途</v>
      </c>
      <c r="R9" s="1503" t="s">
        <v>8</v>
      </c>
      <c r="S9" s="1504">
        <f t="shared" si="0"/>
        <v>100</v>
      </c>
      <c r="T9" s="1503" t="s">
        <v>8</v>
      </c>
      <c r="U9" s="1504">
        <f t="shared" si="1"/>
        <v>100</v>
      </c>
      <c r="V9" s="1503" t="s">
        <v>8</v>
      </c>
      <c r="W9" s="1504">
        <f t="shared" si="2"/>
        <v>100</v>
      </c>
      <c r="X9" s="1505"/>
      <c r="Y9" s="3422"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6"/>
      <c r="Q10" s="1134" t="str">
        <f t="shared" si="6"/>
        <v>土地使用年限（年）</v>
      </c>
      <c r="R10" s="1503" t="s">
        <v>8</v>
      </c>
      <c r="S10" s="1504">
        <f t="shared" si="0"/>
        <v>100</v>
      </c>
      <c r="T10" s="1503" t="s">
        <v>8</v>
      </c>
      <c r="U10" s="1504">
        <f t="shared" si="1"/>
        <v>100</v>
      </c>
      <c r="V10" s="1503" t="s">
        <v>8</v>
      </c>
      <c r="W10" s="1504">
        <f t="shared" si="2"/>
        <v>100</v>
      </c>
      <c r="X10" s="1505"/>
      <c r="Y10" s="3422"/>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6"/>
      <c r="Q11" s="1134" t="str">
        <f t="shared" si="6"/>
        <v>容积率</v>
      </c>
      <c r="R11" s="1503" t="s">
        <v>8</v>
      </c>
      <c r="S11" s="1504" t="e">
        <f t="shared" si="0"/>
        <v>#N/A</v>
      </c>
      <c r="T11" s="1503" t="s">
        <v>8</v>
      </c>
      <c r="U11" s="1504" t="e">
        <f t="shared" si="1"/>
        <v>#N/A</v>
      </c>
      <c r="V11" s="1503" t="s">
        <v>8</v>
      </c>
      <c r="W11" s="1504" t="e">
        <f t="shared" si="2"/>
        <v>#N/A</v>
      </c>
      <c r="X11" s="1505"/>
      <c r="Y11" s="342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6"/>
      <c r="Q12" s="1134">
        <f t="shared" si="6"/>
        <v>111</v>
      </c>
      <c r="R12" s="1503" t="s">
        <v>8</v>
      </c>
      <c r="S12" s="1504">
        <f t="shared" si="0"/>
        <v>100</v>
      </c>
      <c r="T12" s="1503" t="s">
        <v>8</v>
      </c>
      <c r="U12" s="1504">
        <f t="shared" si="1"/>
        <v>100</v>
      </c>
      <c r="V12" s="1503" t="s">
        <v>8</v>
      </c>
      <c r="W12" s="1504">
        <f t="shared" si="2"/>
        <v>100</v>
      </c>
      <c r="X12" s="1505"/>
      <c r="Y12" s="3422"/>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6"/>
      <c r="Q13" s="1134">
        <f t="shared" si="6"/>
        <v>111</v>
      </c>
      <c r="R13" s="1503" t="s">
        <v>8</v>
      </c>
      <c r="S13" s="1504">
        <f t="shared" si="0"/>
        <v>100</v>
      </c>
      <c r="T13" s="1503" t="s">
        <v>8</v>
      </c>
      <c r="U13" s="1504">
        <f t="shared" si="1"/>
        <v>100</v>
      </c>
      <c r="V13" s="1503" t="s">
        <v>8</v>
      </c>
      <c r="W13" s="1504">
        <f t="shared" si="2"/>
        <v>100</v>
      </c>
      <c r="X13" s="1505"/>
      <c r="Y13" s="3422"/>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6"/>
      <c r="Q14" s="1134">
        <f t="shared" si="6"/>
        <v>111</v>
      </c>
      <c r="R14" s="1503" t="s">
        <v>8</v>
      </c>
      <c r="S14" s="1504">
        <f t="shared" si="0"/>
        <v>100</v>
      </c>
      <c r="T14" s="1503" t="s">
        <v>8</v>
      </c>
      <c r="U14" s="1504">
        <f t="shared" si="1"/>
        <v>100</v>
      </c>
      <c r="V14" s="1503" t="s">
        <v>8</v>
      </c>
      <c r="W14" s="1504">
        <f t="shared" si="2"/>
        <v>100</v>
      </c>
      <c r="X14" s="1505"/>
      <c r="Y14" s="3422"/>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0" t="s">
        <v>534</v>
      </c>
      <c r="Q15" s="1507" t="str">
        <f t="shared" si="6"/>
        <v>办公集聚程度</v>
      </c>
      <c r="R15" s="1508" t="s">
        <v>8</v>
      </c>
      <c r="S15" s="1509">
        <f t="shared" si="0"/>
        <v>100</v>
      </c>
      <c r="T15" s="1508" t="s">
        <v>8</v>
      </c>
      <c r="U15" s="1509">
        <f t="shared" si="1"/>
        <v>100</v>
      </c>
      <c r="V15" s="1508" t="s">
        <v>8</v>
      </c>
      <c r="W15" s="1509">
        <f t="shared" si="2"/>
        <v>100</v>
      </c>
      <c r="X15" s="1502"/>
      <c r="Y15" s="3510"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1"/>
      <c r="Q16" s="1507"/>
      <c r="R16" s="1508"/>
      <c r="S16" s="1509"/>
      <c r="T16" s="1508"/>
      <c r="U16" s="1509"/>
      <c r="V16" s="1508"/>
      <c r="W16" s="1509"/>
      <c r="X16" s="1502"/>
      <c r="Y16" s="3511"/>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1"/>
      <c r="Q17" s="1507" t="str">
        <f>B17</f>
        <v>交通便捷度</v>
      </c>
      <c r="R17" s="1508" t="s">
        <v>8</v>
      </c>
      <c r="S17" s="1509">
        <f>F17</f>
        <v>100</v>
      </c>
      <c r="T17" s="1508" t="s">
        <v>8</v>
      </c>
      <c r="U17" s="1509">
        <f>H17</f>
        <v>100</v>
      </c>
      <c r="V17" s="1508" t="s">
        <v>8</v>
      </c>
      <c r="W17" s="1509">
        <f>J17</f>
        <v>100</v>
      </c>
      <c r="X17" s="1502"/>
      <c r="Y17" s="3511"/>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1"/>
      <c r="Q18" s="1507"/>
      <c r="R18" s="1508"/>
      <c r="S18" s="1509"/>
      <c r="T18" s="1508"/>
      <c r="U18" s="1509"/>
      <c r="V18" s="1508"/>
      <c r="W18" s="1509"/>
      <c r="X18" s="1502"/>
      <c r="Y18" s="3511"/>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1"/>
      <c r="Q19" s="1507" t="str">
        <f>B19</f>
        <v>公共配套设施</v>
      </c>
      <c r="R19" s="1508" t="s">
        <v>8</v>
      </c>
      <c r="S19" s="1509">
        <f>F19</f>
        <v>100</v>
      </c>
      <c r="T19" s="1508" t="s">
        <v>8</v>
      </c>
      <c r="U19" s="1509">
        <f>H19</f>
        <v>100</v>
      </c>
      <c r="V19" s="1508" t="s">
        <v>8</v>
      </c>
      <c r="W19" s="1509">
        <f>J19</f>
        <v>100</v>
      </c>
      <c r="X19" s="1502"/>
      <c r="Y19" s="3511"/>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1"/>
      <c r="Q20" s="1507"/>
      <c r="R20" s="1508"/>
      <c r="S20" s="1509"/>
      <c r="T20" s="1508"/>
      <c r="U20" s="1509"/>
      <c r="V20" s="1508"/>
      <c r="W20" s="1509"/>
      <c r="X20" s="1502"/>
      <c r="Y20" s="3511"/>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1"/>
      <c r="Q21" s="2430" t="str">
        <f>B21</f>
        <v>基础设施水平</v>
      </c>
      <c r="R21" s="1508" t="s">
        <v>8</v>
      </c>
      <c r="S21" s="1509">
        <f>F21</f>
        <v>100</v>
      </c>
      <c r="T21" s="1508" t="s">
        <v>8</v>
      </c>
      <c r="U21" s="1509">
        <f>H21</f>
        <v>100</v>
      </c>
      <c r="V21" s="1508" t="s">
        <v>8</v>
      </c>
      <c r="W21" s="1509">
        <f>J21</f>
        <v>100</v>
      </c>
      <c r="X21" s="2432"/>
      <c r="Y21" s="3511"/>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1"/>
      <c r="Q22" s="2430"/>
      <c r="R22" s="1508"/>
      <c r="S22" s="1509"/>
      <c r="T22" s="1508"/>
      <c r="U22" s="1509"/>
      <c r="V22" s="1508"/>
      <c r="W22" s="1509"/>
      <c r="X22" s="2432"/>
      <c r="Y22" s="3511"/>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1"/>
      <c r="Q23" s="1507" t="str">
        <f>B23</f>
        <v>环境质量</v>
      </c>
      <c r="R23" s="1508" t="s">
        <v>8</v>
      </c>
      <c r="S23" s="1509">
        <f>F23</f>
        <v>100</v>
      </c>
      <c r="T23" s="1508" t="s">
        <v>8</v>
      </c>
      <c r="U23" s="1509">
        <f>H23</f>
        <v>100</v>
      </c>
      <c r="V23" s="1508" t="s">
        <v>8</v>
      </c>
      <c r="W23" s="1509">
        <f>J23</f>
        <v>100</v>
      </c>
      <c r="X23" s="1502"/>
      <c r="Y23" s="3511"/>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1"/>
      <c r="Q24" s="1507"/>
      <c r="R24" s="1508"/>
      <c r="S24" s="1509"/>
      <c r="T24" s="1508"/>
      <c r="U24" s="1509"/>
      <c r="V24" s="1508"/>
      <c r="W24" s="1509"/>
      <c r="X24" s="1502"/>
      <c r="Y24" s="3511"/>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1"/>
      <c r="Q25" s="1507" t="str">
        <f>B25</f>
        <v>毗邻道路的类型与等级</v>
      </c>
      <c r="R25" s="1508" t="s">
        <v>8</v>
      </c>
      <c r="S25" s="1509">
        <f>F25</f>
        <v>100</v>
      </c>
      <c r="T25" s="1508" t="s">
        <v>8</v>
      </c>
      <c r="U25" s="1509">
        <f>H25</f>
        <v>100</v>
      </c>
      <c r="V25" s="1508" t="s">
        <v>8</v>
      </c>
      <c r="W25" s="1509">
        <f>J25</f>
        <v>100</v>
      </c>
      <c r="X25" s="1502"/>
      <c r="Y25" s="3511"/>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1"/>
      <c r="Q26" s="1507"/>
      <c r="R26" s="1508"/>
      <c r="S26" s="1509"/>
      <c r="T26" s="1508"/>
      <c r="U26" s="1509"/>
      <c r="V26" s="1508"/>
      <c r="W26" s="1509"/>
      <c r="X26" s="1502"/>
      <c r="Y26" s="3511"/>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1"/>
      <c r="Q27" s="1507" t="str">
        <f t="shared" ref="Q27:Q47" si="11">B27</f>
        <v>楼层</v>
      </c>
      <c r="R27" s="1508" t="s">
        <v>8</v>
      </c>
      <c r="S27" s="1509">
        <f>F27</f>
        <v>100</v>
      </c>
      <c r="T27" s="1508" t="s">
        <v>8</v>
      </c>
      <c r="U27" s="1509">
        <f>H27</f>
        <v>100</v>
      </c>
      <c r="V27" s="1508" t="s">
        <v>8</v>
      </c>
      <c r="W27" s="1509">
        <f>J27</f>
        <v>100</v>
      </c>
      <c r="X27" s="1502"/>
      <c r="Y27" s="3511"/>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1"/>
      <c r="Q28" s="1134" t="str">
        <f t="shared" si="11"/>
        <v>朝向</v>
      </c>
      <c r="R28" s="1503" t="s">
        <v>8</v>
      </c>
      <c r="S28" s="1504">
        <f>F28</f>
        <v>100</v>
      </c>
      <c r="T28" s="1503" t="s">
        <v>8</v>
      </c>
      <c r="U28" s="1504">
        <f>H28</f>
        <v>100</v>
      </c>
      <c r="V28" s="1503" t="s">
        <v>8</v>
      </c>
      <c r="W28" s="1504">
        <f>J28</f>
        <v>100</v>
      </c>
      <c r="X28" s="1505"/>
      <c r="Y28" s="3511"/>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1"/>
      <c r="Q29" s="1507">
        <f t="shared" si="11"/>
        <v>111</v>
      </c>
      <c r="R29" s="1508" t="s">
        <v>8</v>
      </c>
      <c r="S29" s="1509">
        <f t="shared" ref="S29:S47" si="12">F29</f>
        <v>100</v>
      </c>
      <c r="T29" s="1508" t="s">
        <v>8</v>
      </c>
      <c r="U29" s="1509">
        <f t="shared" ref="U29:U47" si="13">H29</f>
        <v>100</v>
      </c>
      <c r="V29" s="1508" t="s">
        <v>8</v>
      </c>
      <c r="W29" s="1509">
        <f t="shared" ref="W29:W47" si="14">J29</f>
        <v>100</v>
      </c>
      <c r="X29" s="1502"/>
      <c r="Y29" s="3511"/>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1"/>
      <c r="Q30" s="1507">
        <f t="shared" si="11"/>
        <v>111</v>
      </c>
      <c r="R30" s="1508" t="s">
        <v>8</v>
      </c>
      <c r="S30" s="1509">
        <f t="shared" si="12"/>
        <v>100</v>
      </c>
      <c r="T30" s="1508" t="s">
        <v>8</v>
      </c>
      <c r="U30" s="1509">
        <f t="shared" si="13"/>
        <v>100</v>
      </c>
      <c r="V30" s="1508" t="s">
        <v>8</v>
      </c>
      <c r="W30" s="1509">
        <f t="shared" si="14"/>
        <v>100</v>
      </c>
      <c r="X30" s="1502"/>
      <c r="Y30" s="3511"/>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1"/>
      <c r="Q31" s="1507">
        <f t="shared" si="11"/>
        <v>111</v>
      </c>
      <c r="R31" s="1508" t="s">
        <v>8</v>
      </c>
      <c r="S31" s="1509">
        <f t="shared" si="12"/>
        <v>100</v>
      </c>
      <c r="T31" s="1508" t="s">
        <v>8</v>
      </c>
      <c r="U31" s="1509">
        <f t="shared" si="13"/>
        <v>100</v>
      </c>
      <c r="V31" s="1508" t="s">
        <v>8</v>
      </c>
      <c r="W31" s="1509">
        <f t="shared" si="14"/>
        <v>100</v>
      </c>
      <c r="X31" s="1502"/>
      <c r="Y31" s="3511"/>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1"/>
      <c r="Q32" s="1507">
        <f t="shared" si="11"/>
        <v>111</v>
      </c>
      <c r="R32" s="1508" t="s">
        <v>8</v>
      </c>
      <c r="S32" s="1509">
        <f t="shared" si="12"/>
        <v>100</v>
      </c>
      <c r="T32" s="1508" t="s">
        <v>8</v>
      </c>
      <c r="U32" s="1509">
        <f t="shared" si="13"/>
        <v>100</v>
      </c>
      <c r="V32" s="1508" t="s">
        <v>8</v>
      </c>
      <c r="W32" s="1509">
        <f t="shared" si="14"/>
        <v>100</v>
      </c>
      <c r="X32" s="1502"/>
      <c r="Y32" s="3511"/>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2" t="s">
        <v>544</v>
      </c>
      <c r="Q33" s="1507" t="str">
        <f t="shared" si="11"/>
        <v>建筑类型</v>
      </c>
      <c r="R33" s="1508" t="s">
        <v>8</v>
      </c>
      <c r="S33" s="1509">
        <f t="shared" si="12"/>
        <v>100</v>
      </c>
      <c r="T33" s="1508" t="s">
        <v>8</v>
      </c>
      <c r="U33" s="1509">
        <f t="shared" si="13"/>
        <v>100</v>
      </c>
      <c r="V33" s="1508" t="s">
        <v>8</v>
      </c>
      <c r="W33" s="1509">
        <f t="shared" si="14"/>
        <v>100</v>
      </c>
      <c r="X33" s="1502"/>
      <c r="Y33" s="3513"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3"/>
      <c r="Q34" s="1536" t="str">
        <f t="shared" si="11"/>
        <v>项目建筑规模</v>
      </c>
      <c r="R34" s="1512" t="s">
        <v>8</v>
      </c>
      <c r="S34" s="1513" t="e">
        <f t="shared" si="12"/>
        <v>#N/A</v>
      </c>
      <c r="T34" s="1512" t="s">
        <v>8</v>
      </c>
      <c r="U34" s="1513" t="e">
        <f t="shared" si="13"/>
        <v>#N/A</v>
      </c>
      <c r="V34" s="1512" t="s">
        <v>8</v>
      </c>
      <c r="W34" s="1513" t="e">
        <f t="shared" si="14"/>
        <v>#N/A</v>
      </c>
      <c r="X34" s="1514"/>
      <c r="Y34" s="3513"/>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3"/>
      <c r="Q35" s="1507" t="str">
        <f t="shared" si="11"/>
        <v>建筑结构</v>
      </c>
      <c r="R35" s="1508" t="s">
        <v>8</v>
      </c>
      <c r="S35" s="1509">
        <f t="shared" si="12"/>
        <v>100</v>
      </c>
      <c r="T35" s="1508" t="s">
        <v>8</v>
      </c>
      <c r="U35" s="1509">
        <f t="shared" si="13"/>
        <v>100</v>
      </c>
      <c r="V35" s="1508" t="s">
        <v>8</v>
      </c>
      <c r="W35" s="1509">
        <f t="shared" si="14"/>
        <v>100</v>
      </c>
      <c r="X35" s="1502"/>
      <c r="Y35" s="3513"/>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3"/>
      <c r="Q36" s="1507" t="str">
        <f t="shared" si="11"/>
        <v>公共部分装修</v>
      </c>
      <c r="R36" s="1508" t="s">
        <v>8</v>
      </c>
      <c r="S36" s="1509">
        <f t="shared" si="12"/>
        <v>100</v>
      </c>
      <c r="T36" s="1508" t="s">
        <v>8</v>
      </c>
      <c r="U36" s="1509">
        <f t="shared" si="13"/>
        <v>100</v>
      </c>
      <c r="V36" s="1508" t="s">
        <v>8</v>
      </c>
      <c r="W36" s="1509">
        <f t="shared" si="14"/>
        <v>100</v>
      </c>
      <c r="X36" s="1502"/>
      <c r="Y36" s="3513"/>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3"/>
      <c r="Q37" s="1507" t="str">
        <f t="shared" si="11"/>
        <v>成新度</v>
      </c>
      <c r="R37" s="1508" t="s">
        <v>8</v>
      </c>
      <c r="S37" s="1509" t="e">
        <f t="shared" si="12"/>
        <v>#N/A</v>
      </c>
      <c r="T37" s="1508" t="s">
        <v>8</v>
      </c>
      <c r="U37" s="1509" t="e">
        <f t="shared" si="13"/>
        <v>#N/A</v>
      </c>
      <c r="V37" s="1508" t="s">
        <v>8</v>
      </c>
      <c r="W37" s="1509" t="e">
        <f t="shared" si="14"/>
        <v>#N/A</v>
      </c>
      <c r="X37" s="1502"/>
      <c r="Y37" s="3513"/>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3"/>
      <c r="Q38" s="1134" t="str">
        <f t="shared" si="11"/>
        <v>写字楼等级</v>
      </c>
      <c r="R38" s="1503" t="s">
        <v>8</v>
      </c>
      <c r="S38" s="1504">
        <f t="shared" si="12"/>
        <v>100</v>
      </c>
      <c r="T38" s="1503" t="s">
        <v>8</v>
      </c>
      <c r="U38" s="1504">
        <f t="shared" si="13"/>
        <v>100</v>
      </c>
      <c r="V38" s="1503" t="s">
        <v>8</v>
      </c>
      <c r="W38" s="1504">
        <f t="shared" si="14"/>
        <v>100</v>
      </c>
      <c r="X38" s="1505"/>
      <c r="Y38" s="3513"/>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3" t="s">
        <v>544</v>
      </c>
      <c r="Q39" s="1507" t="str">
        <f t="shared" si="11"/>
        <v>物业管理</v>
      </c>
      <c r="R39" s="1508" t="s">
        <v>8</v>
      </c>
      <c r="S39" s="1509">
        <f t="shared" si="12"/>
        <v>100</v>
      </c>
      <c r="T39" s="1508" t="s">
        <v>8</v>
      </c>
      <c r="U39" s="1509">
        <f t="shared" si="13"/>
        <v>100</v>
      </c>
      <c r="V39" s="1508" t="s">
        <v>8</v>
      </c>
      <c r="W39" s="1509">
        <f t="shared" si="14"/>
        <v>100</v>
      </c>
      <c r="X39" s="1502"/>
      <c r="Y39" s="3513"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3"/>
      <c r="Q40" s="1507" t="str">
        <f t="shared" si="11"/>
        <v>市政基础设施</v>
      </c>
      <c r="R40" s="1508" t="s">
        <v>8</v>
      </c>
      <c r="S40" s="1509">
        <f t="shared" si="12"/>
        <v>100</v>
      </c>
      <c r="T40" s="1508" t="s">
        <v>8</v>
      </c>
      <c r="U40" s="1509">
        <f t="shared" si="13"/>
        <v>100</v>
      </c>
      <c r="V40" s="1508" t="s">
        <v>8</v>
      </c>
      <c r="W40" s="1509">
        <f t="shared" si="14"/>
        <v>100</v>
      </c>
      <c r="X40" s="1502"/>
      <c r="Y40" s="3513"/>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3"/>
      <c r="Q41" s="1507" t="str">
        <f t="shared" si="11"/>
        <v>层高</v>
      </c>
      <c r="R41" s="1508" t="s">
        <v>8</v>
      </c>
      <c r="S41" s="1509">
        <f t="shared" si="12"/>
        <v>100</v>
      </c>
      <c r="T41" s="1508" t="s">
        <v>8</v>
      </c>
      <c r="U41" s="1509">
        <f t="shared" si="13"/>
        <v>100</v>
      </c>
      <c r="V41" s="1508" t="s">
        <v>8</v>
      </c>
      <c r="W41" s="1509">
        <f t="shared" si="14"/>
        <v>100</v>
      </c>
      <c r="X41" s="1502"/>
      <c r="Y41" s="3513"/>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3"/>
      <c r="Q42" s="1536" t="str">
        <f t="shared" si="11"/>
        <v>单套建筑面积</v>
      </c>
      <c r="R42" s="1512" t="s">
        <v>8</v>
      </c>
      <c r="S42" s="1513">
        <f t="shared" si="12"/>
        <v>100</v>
      </c>
      <c r="T42" s="1512" t="s">
        <v>8</v>
      </c>
      <c r="U42" s="1513">
        <f t="shared" si="13"/>
        <v>100</v>
      </c>
      <c r="V42" s="1512" t="s">
        <v>8</v>
      </c>
      <c r="W42" s="1513">
        <f t="shared" si="14"/>
        <v>100</v>
      </c>
      <c r="X42" s="1514"/>
      <c r="Y42" s="3513"/>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3"/>
      <c r="Q43" s="1507" t="str">
        <f t="shared" si="11"/>
        <v>内部装修</v>
      </c>
      <c r="R43" s="1508" t="s">
        <v>8</v>
      </c>
      <c r="S43" s="1509">
        <f t="shared" si="12"/>
        <v>100</v>
      </c>
      <c r="T43" s="1508" t="s">
        <v>8</v>
      </c>
      <c r="U43" s="1509">
        <f t="shared" si="13"/>
        <v>100</v>
      </c>
      <c r="V43" s="1508" t="s">
        <v>8</v>
      </c>
      <c r="W43" s="1509">
        <f t="shared" si="14"/>
        <v>100</v>
      </c>
      <c r="X43" s="1502"/>
      <c r="Y43" s="3513"/>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3"/>
      <c r="Q44" s="1507" t="str">
        <f t="shared" si="11"/>
        <v>内部装修维护情况</v>
      </c>
      <c r="R44" s="1508" t="s">
        <v>8</v>
      </c>
      <c r="S44" s="1509">
        <f t="shared" si="12"/>
        <v>100</v>
      </c>
      <c r="T44" s="1508" t="s">
        <v>8</v>
      </c>
      <c r="U44" s="1509">
        <f t="shared" si="13"/>
        <v>100</v>
      </c>
      <c r="V44" s="1508" t="s">
        <v>8</v>
      </c>
      <c r="W44" s="1509">
        <f t="shared" si="14"/>
        <v>100</v>
      </c>
      <c r="X44" s="1502"/>
      <c r="Y44" s="3513"/>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3"/>
      <c r="Q45" s="1134">
        <f t="shared" si="11"/>
        <v>111</v>
      </c>
      <c r="R45" s="1503" t="s">
        <v>8</v>
      </c>
      <c r="S45" s="1504">
        <f t="shared" si="12"/>
        <v>100</v>
      </c>
      <c r="T45" s="1503" t="s">
        <v>8</v>
      </c>
      <c r="U45" s="1504">
        <f t="shared" si="13"/>
        <v>100</v>
      </c>
      <c r="V45" s="1503" t="s">
        <v>8</v>
      </c>
      <c r="W45" s="1504">
        <f t="shared" si="14"/>
        <v>100</v>
      </c>
      <c r="X45" s="1505"/>
      <c r="Y45" s="3513"/>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3"/>
      <c r="Q46" s="1507">
        <f t="shared" si="11"/>
        <v>111</v>
      </c>
      <c r="R46" s="1508" t="s">
        <v>8</v>
      </c>
      <c r="S46" s="1509">
        <f t="shared" si="12"/>
        <v>100</v>
      </c>
      <c r="T46" s="1508" t="s">
        <v>8</v>
      </c>
      <c r="U46" s="1509">
        <f t="shared" si="13"/>
        <v>100</v>
      </c>
      <c r="V46" s="1508" t="s">
        <v>8</v>
      </c>
      <c r="W46" s="1509">
        <f t="shared" si="14"/>
        <v>100</v>
      </c>
      <c r="X46" s="1502"/>
      <c r="Y46" s="3513"/>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95"/>
      <c r="Q47" s="1507">
        <f t="shared" si="11"/>
        <v>111</v>
      </c>
      <c r="R47" s="1508" t="s">
        <v>8</v>
      </c>
      <c r="S47" s="1509">
        <f t="shared" si="12"/>
        <v>100</v>
      </c>
      <c r="T47" s="1508" t="s">
        <v>8</v>
      </c>
      <c r="U47" s="1509">
        <f t="shared" si="13"/>
        <v>100</v>
      </c>
      <c r="V47" s="1508" t="s">
        <v>8</v>
      </c>
      <c r="W47" s="1509">
        <f t="shared" si="14"/>
        <v>100</v>
      </c>
      <c r="X47" s="1502"/>
      <c r="Y47" s="3595"/>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74" t="str">
        <f>A48</f>
        <v>成交单价（元/平方米）</v>
      </c>
      <c r="Q48" s="3476"/>
      <c r="R48" s="3594">
        <f>E48</f>
        <v>0</v>
      </c>
      <c r="S48" s="3594"/>
      <c r="T48" s="3594">
        <f>G48</f>
        <v>0</v>
      </c>
      <c r="U48" s="3594"/>
      <c r="V48" s="3594">
        <f>I48</f>
        <v>0</v>
      </c>
      <c r="W48" s="3594"/>
      <c r="X48" s="1497"/>
      <c r="Y48" s="1516"/>
      <c r="Z48" s="1497"/>
      <c r="AA48" s="1497"/>
      <c r="AB48" s="1497"/>
      <c r="AC48" s="1497"/>
    </row>
    <row r="49" spans="1:29" ht="15.75" thickBot="1">
      <c r="A49" s="609" t="s">
        <v>2740</v>
      </c>
      <c r="B49" s="877"/>
      <c r="C49" s="2477" t="e">
        <f>R50</f>
        <v>#DIV/0!</v>
      </c>
      <c r="D49" s="3015" t="s">
        <v>2971</v>
      </c>
      <c r="E49" s="2478" t="e">
        <f>R49</f>
        <v>#DIV/0!</v>
      </c>
      <c r="F49" s="3016"/>
      <c r="G49" s="2477" t="e">
        <f>T49</f>
        <v>#DIV/0!</v>
      </c>
      <c r="H49" s="3016"/>
      <c r="I49" s="2478" t="e">
        <f>V49</f>
        <v>#DIV/0!</v>
      </c>
      <c r="J49" s="3016"/>
      <c r="K49" s="3024">
        <f>F49+H49+J49</f>
        <v>0</v>
      </c>
      <c r="L49" s="2027"/>
      <c r="M49" s="2017"/>
      <c r="N49" s="2017"/>
      <c r="O49" s="2017"/>
      <c r="P49" s="3474" t="str">
        <f>A49</f>
        <v>比较价格（元/平方米）</v>
      </c>
      <c r="Q49" s="3476"/>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596" t="str">
        <f>A50</f>
        <v>估价对象XX用房的比较价格（楼面单价，元/平方米）</v>
      </c>
      <c r="Q50" s="3474"/>
      <c r="R50" s="3593" t="e">
        <f>IF(F1="售价",ROUND(IF(D49="简单平均",AVERAGE(R49:V49),R49*F49+T49*H49+V49*J49),0),ROUND(IF(D49="简单平均",AVERAGE(R49:V49),R49*F49+T49*H49+V49*J49),1))</f>
        <v>#DIV/0!</v>
      </c>
      <c r="S50" s="3593"/>
      <c r="T50" s="3593"/>
      <c r="U50" s="3593"/>
      <c r="V50" s="3593"/>
      <c r="W50" s="3593"/>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2021-2</v>
      </c>
      <c r="D59" s="2522">
        <f>EDATE(C59,-1)</f>
        <v>44197</v>
      </c>
      <c r="E59" s="2522">
        <f t="shared" ref="E59:O59" si="16">EDATE(D59,-1)</f>
        <v>44166</v>
      </c>
      <c r="F59" s="2522">
        <f t="shared" si="16"/>
        <v>44136</v>
      </c>
      <c r="G59" s="2522">
        <f t="shared" si="16"/>
        <v>44105</v>
      </c>
      <c r="H59" s="2522">
        <f t="shared" si="16"/>
        <v>44075</v>
      </c>
      <c r="I59" s="2522">
        <f t="shared" si="16"/>
        <v>44044</v>
      </c>
      <c r="J59" s="2522">
        <f t="shared" si="16"/>
        <v>44013</v>
      </c>
      <c r="K59" s="2522">
        <f t="shared" si="16"/>
        <v>43983</v>
      </c>
      <c r="L59" s="2522">
        <f t="shared" si="16"/>
        <v>43952</v>
      </c>
      <c r="M59" s="2522">
        <f t="shared" si="16"/>
        <v>43922</v>
      </c>
      <c r="N59" s="2522">
        <f t="shared" si="16"/>
        <v>43891</v>
      </c>
      <c r="O59" s="2522">
        <f t="shared" si="16"/>
        <v>43862</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82" t="s">
        <v>516</v>
      </c>
      <c r="D4" s="3483"/>
      <c r="E4" s="3516" t="s">
        <v>517</v>
      </c>
      <c r="F4" s="3517"/>
      <c r="G4" s="3482" t="s">
        <v>518</v>
      </c>
      <c r="H4" s="3483"/>
      <c r="I4" s="3482" t="s">
        <v>519</v>
      </c>
      <c r="J4" s="3483"/>
      <c r="K4" s="508" t="s">
        <v>520</v>
      </c>
      <c r="L4" s="2016"/>
      <c r="M4" s="2017"/>
      <c r="N4" s="2017"/>
      <c r="O4" s="2017"/>
      <c r="P4" s="3484" t="s">
        <v>521</v>
      </c>
      <c r="Q4" s="3485"/>
      <c r="R4" s="3490" t="s">
        <v>517</v>
      </c>
      <c r="S4" s="3491"/>
      <c r="T4" s="3490" t="s">
        <v>518</v>
      </c>
      <c r="U4" s="3491"/>
      <c r="V4" s="3477" t="s">
        <v>519</v>
      </c>
      <c r="W4" s="3477"/>
      <c r="X4" s="1502"/>
      <c r="Y4" s="3490" t="s">
        <v>521</v>
      </c>
      <c r="Z4" s="3491"/>
      <c r="AA4" s="3479" t="s">
        <v>517</v>
      </c>
      <c r="AB4" s="3480" t="s">
        <v>518</v>
      </c>
      <c r="AC4" s="3479" t="s">
        <v>519</v>
      </c>
    </row>
    <row r="5" spans="1:29" ht="15">
      <c r="A5" s="509"/>
      <c r="B5" s="510"/>
      <c r="C5" s="3498" t="s">
        <v>2897</v>
      </c>
      <c r="D5" s="3499"/>
      <c r="E5" s="3518" t="s">
        <v>2898</v>
      </c>
      <c r="F5" s="3519"/>
      <c r="G5" s="3498" t="s">
        <v>2899</v>
      </c>
      <c r="H5" s="3499"/>
      <c r="I5" s="3498" t="s">
        <v>2900</v>
      </c>
      <c r="J5" s="3499"/>
      <c r="K5" s="508"/>
      <c r="L5" s="2016"/>
      <c r="M5" s="2017"/>
      <c r="N5" s="2017"/>
      <c r="O5" s="2017"/>
      <c r="P5" s="3486"/>
      <c r="Q5" s="3487"/>
      <c r="R5" s="3492"/>
      <c r="S5" s="3493"/>
      <c r="T5" s="3492"/>
      <c r="U5" s="3493"/>
      <c r="V5" s="3477"/>
      <c r="W5" s="3477"/>
      <c r="X5" s="1502"/>
      <c r="Y5" s="3492"/>
      <c r="Z5" s="3493"/>
      <c r="AA5" s="3480"/>
      <c r="AB5" s="3480"/>
      <c r="AC5" s="3480"/>
    </row>
    <row r="6" spans="1:29" ht="15.75" thickBot="1">
      <c r="A6" s="511"/>
      <c r="B6" s="512"/>
      <c r="C6" s="3496" t="s">
        <v>2901</v>
      </c>
      <c r="D6" s="3497"/>
      <c r="E6" s="3514" t="s">
        <v>2901</v>
      </c>
      <c r="F6" s="3515"/>
      <c r="G6" s="3496" t="s">
        <v>2901</v>
      </c>
      <c r="H6" s="3497"/>
      <c r="I6" s="3496" t="s">
        <v>2901</v>
      </c>
      <c r="J6" s="3497"/>
      <c r="K6" s="508" t="s">
        <v>522</v>
      </c>
      <c r="L6" s="2016"/>
      <c r="M6" s="2017"/>
      <c r="N6" s="2017"/>
      <c r="O6" s="2017"/>
      <c r="P6" s="3488"/>
      <c r="Q6" s="3489"/>
      <c r="R6" s="3492"/>
      <c r="S6" s="3493"/>
      <c r="T6" s="3494"/>
      <c r="U6" s="3495"/>
      <c r="V6" s="3477"/>
      <c r="W6" s="3477"/>
      <c r="X6" s="1502"/>
      <c r="Y6" s="3494"/>
      <c r="Z6" s="3495"/>
      <c r="AA6" s="3481"/>
      <c r="AB6" s="3481"/>
      <c r="AC6" s="3481"/>
    </row>
    <row r="7" spans="1:29" s="1203" customFormat="1" ht="15.75" thickBot="1">
      <c r="A7" s="2630"/>
      <c r="B7" s="2637" t="s">
        <v>523</v>
      </c>
      <c r="C7" s="513">
        <f>'数据-取费表'!B2</f>
        <v>44250</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7" t="s">
        <v>524</v>
      </c>
      <c r="Q7" s="3509"/>
      <c r="R7" s="1503" t="s">
        <v>8</v>
      </c>
      <c r="S7" s="1504">
        <f t="shared" ref="S7:S15" si="0">F7</f>
        <v>0</v>
      </c>
      <c r="T7" s="1503" t="s">
        <v>8</v>
      </c>
      <c r="U7" s="1504">
        <f t="shared" ref="U7:U15" si="1">H7</f>
        <v>0</v>
      </c>
      <c r="V7" s="1503" t="s">
        <v>8</v>
      </c>
      <c r="W7" s="1504">
        <f t="shared" ref="W7:W15" si="2">J7</f>
        <v>0</v>
      </c>
      <c r="X7" s="1505"/>
      <c r="Y7" s="3507" t="s">
        <v>524</v>
      </c>
      <c r="Z7" s="3508"/>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7" t="s">
        <v>527</v>
      </c>
      <c r="Q8" s="3508"/>
      <c r="R8" s="1503" t="s">
        <v>8</v>
      </c>
      <c r="S8" s="1504">
        <f t="shared" si="0"/>
        <v>0</v>
      </c>
      <c r="T8" s="1503" t="s">
        <v>8</v>
      </c>
      <c r="U8" s="1504">
        <f t="shared" si="1"/>
        <v>0</v>
      </c>
      <c r="V8" s="1503" t="s">
        <v>8</v>
      </c>
      <c r="W8" s="1504">
        <f t="shared" si="2"/>
        <v>0</v>
      </c>
      <c r="X8" s="1505"/>
      <c r="Y8" s="3507" t="s">
        <v>527</v>
      </c>
      <c r="Z8" s="3508"/>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2"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2"/>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2"/>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2"/>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2"/>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0" t="s">
        <v>534</v>
      </c>
      <c r="Q15" s="1507" t="str">
        <f t="shared" si="6"/>
        <v>产业集聚程度</v>
      </c>
      <c r="R15" s="1508" t="s">
        <v>8</v>
      </c>
      <c r="S15" s="1509">
        <f t="shared" si="0"/>
        <v>100</v>
      </c>
      <c r="T15" s="1508" t="s">
        <v>8</v>
      </c>
      <c r="U15" s="1509">
        <f t="shared" si="1"/>
        <v>100</v>
      </c>
      <c r="V15" s="1508" t="s">
        <v>8</v>
      </c>
      <c r="W15" s="1509">
        <f t="shared" si="2"/>
        <v>100</v>
      </c>
      <c r="X15" s="1502"/>
      <c r="Y15" s="3510"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1"/>
      <c r="Q16" s="1507"/>
      <c r="R16" s="1508"/>
      <c r="S16" s="1509"/>
      <c r="T16" s="1508"/>
      <c r="U16" s="1509"/>
      <c r="V16" s="1508"/>
      <c r="W16" s="1509"/>
      <c r="X16" s="1502"/>
      <c r="Y16" s="3511"/>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1"/>
      <c r="Q17" s="1507" t="str">
        <f>B17</f>
        <v>交通便捷度</v>
      </c>
      <c r="R17" s="1508" t="s">
        <v>8</v>
      </c>
      <c r="S17" s="1509">
        <f>F17</f>
        <v>100</v>
      </c>
      <c r="T17" s="1508" t="s">
        <v>8</v>
      </c>
      <c r="U17" s="1509">
        <f>H17</f>
        <v>100</v>
      </c>
      <c r="V17" s="1508" t="s">
        <v>8</v>
      </c>
      <c r="W17" s="1509">
        <f>J17</f>
        <v>100</v>
      </c>
      <c r="X17" s="1502"/>
      <c r="Y17" s="351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1"/>
      <c r="Q18" s="1507"/>
      <c r="R18" s="1508"/>
      <c r="S18" s="1509"/>
      <c r="T18" s="1508"/>
      <c r="U18" s="1509"/>
      <c r="V18" s="1508"/>
      <c r="W18" s="1509"/>
      <c r="X18" s="1502"/>
      <c r="Y18" s="3511"/>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1"/>
      <c r="Q19" s="1507" t="str">
        <f>B19</f>
        <v>公共配套设施</v>
      </c>
      <c r="R19" s="1508" t="s">
        <v>8</v>
      </c>
      <c r="S19" s="1509">
        <f>F19</f>
        <v>100</v>
      </c>
      <c r="T19" s="1508" t="s">
        <v>8</v>
      </c>
      <c r="U19" s="1509">
        <f>H19</f>
        <v>100</v>
      </c>
      <c r="V19" s="1508" t="s">
        <v>8</v>
      </c>
      <c r="W19" s="1509">
        <f>J19</f>
        <v>100</v>
      </c>
      <c r="X19" s="1502"/>
      <c r="Y19" s="3511"/>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1"/>
      <c r="Q20" s="1507"/>
      <c r="R20" s="1508"/>
      <c r="S20" s="1509"/>
      <c r="T20" s="1508"/>
      <c r="U20" s="1509"/>
      <c r="V20" s="1508"/>
      <c r="W20" s="1509"/>
      <c r="X20" s="1502"/>
      <c r="Y20" s="3511"/>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1"/>
      <c r="Q21" s="2430" t="str">
        <f>B21</f>
        <v>基础设施水平</v>
      </c>
      <c r="R21" s="1508" t="s">
        <v>8</v>
      </c>
      <c r="S21" s="1509">
        <f>F21</f>
        <v>100</v>
      </c>
      <c r="T21" s="1508" t="s">
        <v>8</v>
      </c>
      <c r="U21" s="1509">
        <f>H21</f>
        <v>100</v>
      </c>
      <c r="V21" s="1508" t="s">
        <v>8</v>
      </c>
      <c r="W21" s="1509">
        <f>J21</f>
        <v>100</v>
      </c>
      <c r="X21" s="2432"/>
      <c r="Y21" s="3511"/>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1"/>
      <c r="Q22" s="2430"/>
      <c r="R22" s="1508"/>
      <c r="S22" s="1509"/>
      <c r="T22" s="1508"/>
      <c r="U22" s="1509"/>
      <c r="V22" s="1508"/>
      <c r="W22" s="1509"/>
      <c r="X22" s="2432"/>
      <c r="Y22" s="3511"/>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1"/>
      <c r="Q23" s="1507" t="str">
        <f>B23</f>
        <v>环境质量</v>
      </c>
      <c r="R23" s="1508" t="s">
        <v>8</v>
      </c>
      <c r="S23" s="1509">
        <f>F23</f>
        <v>100</v>
      </c>
      <c r="T23" s="1508" t="s">
        <v>8</v>
      </c>
      <c r="U23" s="1509">
        <f>H23</f>
        <v>100</v>
      </c>
      <c r="V23" s="1508" t="s">
        <v>8</v>
      </c>
      <c r="W23" s="1509">
        <f>J23</f>
        <v>100</v>
      </c>
      <c r="X23" s="1502"/>
      <c r="Y23" s="3511"/>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1"/>
      <c r="Q24" s="1507"/>
      <c r="R24" s="1508"/>
      <c r="S24" s="1509"/>
      <c r="T24" s="1508"/>
      <c r="U24" s="1509"/>
      <c r="V24" s="1508"/>
      <c r="W24" s="1509"/>
      <c r="X24" s="1502"/>
      <c r="Y24" s="3511"/>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1"/>
      <c r="Q25" s="1507">
        <f>B25</f>
        <v>111</v>
      </c>
      <c r="R25" s="1508" t="s">
        <v>8</v>
      </c>
      <c r="S25" s="1509">
        <f>F25</f>
        <v>100</v>
      </c>
      <c r="T25" s="1508" t="s">
        <v>8</v>
      </c>
      <c r="U25" s="1509">
        <f>H25</f>
        <v>100</v>
      </c>
      <c r="V25" s="1508" t="s">
        <v>8</v>
      </c>
      <c r="W25" s="1509">
        <f>J25</f>
        <v>100</v>
      </c>
      <c r="X25" s="1502"/>
      <c r="Y25" s="3511"/>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1"/>
      <c r="Q26" s="1507">
        <f t="shared" ref="Q26:Q40" si="11">B26</f>
        <v>111</v>
      </c>
      <c r="R26" s="1508" t="s">
        <v>8</v>
      </c>
      <c r="S26" s="1509">
        <f>F26</f>
        <v>100</v>
      </c>
      <c r="T26" s="1508" t="s">
        <v>8</v>
      </c>
      <c r="U26" s="1509">
        <f>H26</f>
        <v>100</v>
      </c>
      <c r="V26" s="1508" t="s">
        <v>8</v>
      </c>
      <c r="W26" s="1509">
        <f>J26</f>
        <v>100</v>
      </c>
      <c r="X26" s="1502"/>
      <c r="Y26" s="3511"/>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1"/>
      <c r="Q27" s="1134">
        <f t="shared" si="11"/>
        <v>111</v>
      </c>
      <c r="R27" s="1503" t="s">
        <v>8</v>
      </c>
      <c r="S27" s="1504">
        <f>F27</f>
        <v>100</v>
      </c>
      <c r="T27" s="1503" t="s">
        <v>8</v>
      </c>
      <c r="U27" s="1504">
        <f>H27</f>
        <v>100</v>
      </c>
      <c r="V27" s="1503" t="s">
        <v>8</v>
      </c>
      <c r="W27" s="1504">
        <f>J27</f>
        <v>100</v>
      </c>
      <c r="X27" s="1505"/>
      <c r="Y27" s="3511"/>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1"/>
      <c r="Q28" s="1507">
        <f t="shared" si="11"/>
        <v>111</v>
      </c>
      <c r="R28" s="1508" t="s">
        <v>8</v>
      </c>
      <c r="S28" s="1509">
        <f t="shared" ref="S28:S40" si="12">F28</f>
        <v>100</v>
      </c>
      <c r="T28" s="1508" t="s">
        <v>8</v>
      </c>
      <c r="U28" s="1509">
        <f t="shared" ref="U28:U40" si="13">H28</f>
        <v>100</v>
      </c>
      <c r="V28" s="1508" t="s">
        <v>8</v>
      </c>
      <c r="W28" s="1509">
        <f t="shared" ref="W28:W40" si="14">J28</f>
        <v>100</v>
      </c>
      <c r="X28" s="1502"/>
      <c r="Y28" s="3511"/>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2" t="s">
        <v>544</v>
      </c>
      <c r="Q29" s="1507" t="str">
        <f t="shared" si="11"/>
        <v>建筑类型</v>
      </c>
      <c r="R29" s="1508" t="s">
        <v>8</v>
      </c>
      <c r="S29" s="1509">
        <f t="shared" si="12"/>
        <v>100</v>
      </c>
      <c r="T29" s="1508" t="s">
        <v>8</v>
      </c>
      <c r="U29" s="1509">
        <f t="shared" si="13"/>
        <v>100</v>
      </c>
      <c r="V29" s="1508" t="s">
        <v>8</v>
      </c>
      <c r="W29" s="1509">
        <f t="shared" si="14"/>
        <v>100</v>
      </c>
      <c r="X29" s="1502"/>
      <c r="Y29" s="3513"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3"/>
      <c r="Q30" s="1536" t="str">
        <f t="shared" si="11"/>
        <v>项目建筑规模</v>
      </c>
      <c r="R30" s="1512" t="s">
        <v>8</v>
      </c>
      <c r="S30" s="1513" t="e">
        <f t="shared" si="12"/>
        <v>#N/A</v>
      </c>
      <c r="T30" s="1512" t="s">
        <v>8</v>
      </c>
      <c r="U30" s="1513" t="e">
        <f t="shared" si="13"/>
        <v>#N/A</v>
      </c>
      <c r="V30" s="1512" t="s">
        <v>8</v>
      </c>
      <c r="W30" s="1513" t="e">
        <f t="shared" si="14"/>
        <v>#N/A</v>
      </c>
      <c r="X30" s="1514"/>
      <c r="Y30" s="3513"/>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3"/>
      <c r="Q31" s="1507" t="str">
        <f t="shared" si="11"/>
        <v>建筑结构</v>
      </c>
      <c r="R31" s="1508" t="s">
        <v>8</v>
      </c>
      <c r="S31" s="1509">
        <f t="shared" si="12"/>
        <v>100</v>
      </c>
      <c r="T31" s="1508" t="s">
        <v>8</v>
      </c>
      <c r="U31" s="1509">
        <f t="shared" si="13"/>
        <v>100</v>
      </c>
      <c r="V31" s="1508" t="s">
        <v>8</v>
      </c>
      <c r="W31" s="1509">
        <f t="shared" si="14"/>
        <v>100</v>
      </c>
      <c r="X31" s="1502"/>
      <c r="Y31" s="3513"/>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3"/>
      <c r="Q32" s="1507" t="str">
        <f t="shared" si="11"/>
        <v>公共部分装修</v>
      </c>
      <c r="R32" s="1508" t="s">
        <v>8</v>
      </c>
      <c r="S32" s="1509">
        <f t="shared" si="12"/>
        <v>100</v>
      </c>
      <c r="T32" s="1508" t="s">
        <v>8</v>
      </c>
      <c r="U32" s="1509">
        <f t="shared" si="13"/>
        <v>100</v>
      </c>
      <c r="V32" s="1508" t="s">
        <v>8</v>
      </c>
      <c r="W32" s="1509">
        <f t="shared" si="14"/>
        <v>100</v>
      </c>
      <c r="X32" s="1502"/>
      <c r="Y32" s="3513"/>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3"/>
      <c r="Q33" s="1507" t="str">
        <f t="shared" si="11"/>
        <v>成新度</v>
      </c>
      <c r="R33" s="1508" t="s">
        <v>8</v>
      </c>
      <c r="S33" s="1509" t="e">
        <f t="shared" si="12"/>
        <v>#N/A</v>
      </c>
      <c r="T33" s="1508" t="s">
        <v>8</v>
      </c>
      <c r="U33" s="1509" t="e">
        <f t="shared" si="13"/>
        <v>#N/A</v>
      </c>
      <c r="V33" s="1508" t="s">
        <v>8</v>
      </c>
      <c r="W33" s="1509" t="e">
        <f t="shared" si="14"/>
        <v>#N/A</v>
      </c>
      <c r="X33" s="1502"/>
      <c r="Y33" s="3513"/>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3"/>
      <c r="Q34" s="1134" t="str">
        <f t="shared" si="11"/>
        <v>物业管理</v>
      </c>
      <c r="R34" s="1503" t="s">
        <v>8</v>
      </c>
      <c r="S34" s="1504">
        <f t="shared" si="12"/>
        <v>100</v>
      </c>
      <c r="T34" s="1503" t="s">
        <v>8</v>
      </c>
      <c r="U34" s="1504">
        <f t="shared" si="13"/>
        <v>100</v>
      </c>
      <c r="V34" s="1503" t="s">
        <v>8</v>
      </c>
      <c r="W34" s="1504">
        <f t="shared" si="14"/>
        <v>100</v>
      </c>
      <c r="X34" s="1505"/>
      <c r="Y34" s="3513"/>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3" t="s">
        <v>544</v>
      </c>
      <c r="Q35" s="1507" t="str">
        <f t="shared" si="11"/>
        <v>市政基础设施</v>
      </c>
      <c r="R35" s="1508" t="s">
        <v>8</v>
      </c>
      <c r="S35" s="1509">
        <f t="shared" si="12"/>
        <v>100</v>
      </c>
      <c r="T35" s="1508" t="s">
        <v>8</v>
      </c>
      <c r="U35" s="1509">
        <f t="shared" si="13"/>
        <v>100</v>
      </c>
      <c r="V35" s="1508" t="s">
        <v>8</v>
      </c>
      <c r="W35" s="1509">
        <f t="shared" si="14"/>
        <v>100</v>
      </c>
      <c r="X35" s="1502"/>
      <c r="Y35" s="3513"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3"/>
      <c r="Q36" s="1507" t="str">
        <f t="shared" si="11"/>
        <v>内部装修</v>
      </c>
      <c r="R36" s="1508" t="s">
        <v>8</v>
      </c>
      <c r="S36" s="1509">
        <f t="shared" si="12"/>
        <v>100</v>
      </c>
      <c r="T36" s="1508" t="s">
        <v>8</v>
      </c>
      <c r="U36" s="1509">
        <f t="shared" si="13"/>
        <v>100</v>
      </c>
      <c r="V36" s="1508" t="s">
        <v>8</v>
      </c>
      <c r="W36" s="1509">
        <f t="shared" si="14"/>
        <v>100</v>
      </c>
      <c r="X36" s="1502"/>
      <c r="Y36" s="3513"/>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3"/>
      <c r="Q37" s="1507" t="str">
        <f t="shared" si="11"/>
        <v>内部装修状况</v>
      </c>
      <c r="R37" s="1508" t="s">
        <v>8</v>
      </c>
      <c r="S37" s="1509">
        <f t="shared" si="12"/>
        <v>100</v>
      </c>
      <c r="T37" s="1508" t="s">
        <v>8</v>
      </c>
      <c r="U37" s="1509">
        <f t="shared" si="13"/>
        <v>100</v>
      </c>
      <c r="V37" s="1508" t="s">
        <v>8</v>
      </c>
      <c r="W37" s="1509">
        <f t="shared" si="14"/>
        <v>100</v>
      </c>
      <c r="X37" s="1502"/>
      <c r="Y37" s="3513"/>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3"/>
      <c r="Q38" s="1536">
        <f t="shared" si="11"/>
        <v>111</v>
      </c>
      <c r="R38" s="1512" t="s">
        <v>8</v>
      </c>
      <c r="S38" s="1513">
        <f t="shared" si="12"/>
        <v>100</v>
      </c>
      <c r="T38" s="1512" t="s">
        <v>8</v>
      </c>
      <c r="U38" s="1513">
        <f t="shared" si="13"/>
        <v>100</v>
      </c>
      <c r="V38" s="1512" t="s">
        <v>8</v>
      </c>
      <c r="W38" s="1513">
        <f t="shared" si="14"/>
        <v>100</v>
      </c>
      <c r="X38" s="1514"/>
      <c r="Y38" s="3513"/>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3"/>
      <c r="Q39" s="1507">
        <f t="shared" si="11"/>
        <v>111</v>
      </c>
      <c r="R39" s="1508" t="s">
        <v>8</v>
      </c>
      <c r="S39" s="1509">
        <f t="shared" si="12"/>
        <v>100</v>
      </c>
      <c r="T39" s="1508" t="s">
        <v>8</v>
      </c>
      <c r="U39" s="1509">
        <f t="shared" si="13"/>
        <v>100</v>
      </c>
      <c r="V39" s="1508" t="s">
        <v>8</v>
      </c>
      <c r="W39" s="1509">
        <f t="shared" si="14"/>
        <v>100</v>
      </c>
      <c r="X39" s="1502"/>
      <c r="Y39" s="3513"/>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95"/>
      <c r="Q40" s="1507">
        <f t="shared" si="11"/>
        <v>111</v>
      </c>
      <c r="R40" s="1508" t="s">
        <v>8</v>
      </c>
      <c r="S40" s="1509">
        <f t="shared" si="12"/>
        <v>100</v>
      </c>
      <c r="T40" s="1508" t="s">
        <v>8</v>
      </c>
      <c r="U40" s="1509">
        <f t="shared" si="13"/>
        <v>100</v>
      </c>
      <c r="V40" s="1508" t="s">
        <v>8</v>
      </c>
      <c r="W40" s="1509">
        <f t="shared" si="14"/>
        <v>100</v>
      </c>
      <c r="X40" s="1502"/>
      <c r="Y40" s="3595"/>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6" t="str">
        <f>A41</f>
        <v>成交单价（元/平方米）</v>
      </c>
      <c r="Q41" s="3476"/>
      <c r="R41" s="3594">
        <f>E41</f>
        <v>0</v>
      </c>
      <c r="S41" s="3594"/>
      <c r="T41" s="3594">
        <f>G41</f>
        <v>0</v>
      </c>
      <c r="U41" s="3594"/>
      <c r="V41" s="3594">
        <f>I41</f>
        <v>0</v>
      </c>
      <c r="W41" s="3594"/>
      <c r="X41" s="1497"/>
      <c r="Y41" s="1516"/>
      <c r="Z41" s="1497"/>
      <c r="AA41" s="1497"/>
      <c r="AB41" s="1497"/>
      <c r="AC41" s="1497"/>
    </row>
    <row r="42" spans="1:29" ht="15.75" thickBot="1">
      <c r="A42" s="609" t="s">
        <v>2740</v>
      </c>
      <c r="B42" s="877"/>
      <c r="C42" s="2477" t="e">
        <f>R43</f>
        <v>#DIV/0!</v>
      </c>
      <c r="D42" s="3015" t="s">
        <v>2971</v>
      </c>
      <c r="E42" s="2478" t="e">
        <f>R42</f>
        <v>#DIV/0!</v>
      </c>
      <c r="F42" s="3016"/>
      <c r="G42" s="2477" t="e">
        <f>T42</f>
        <v>#DIV/0!</v>
      </c>
      <c r="H42" s="3016"/>
      <c r="I42" s="2478" t="e">
        <f>V42</f>
        <v>#DIV/0!</v>
      </c>
      <c r="J42" s="3016"/>
      <c r="K42" s="3024">
        <f>F42+H42+J42</f>
        <v>0</v>
      </c>
      <c r="L42" s="2027"/>
      <c r="M42" s="2028"/>
      <c r="N42" s="2017"/>
      <c r="O42" s="2028"/>
      <c r="P42" s="3476" t="str">
        <f>A42</f>
        <v>比较价格（元/平方米）</v>
      </c>
      <c r="Q42" s="3476"/>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473" t="str">
        <f>A43</f>
        <v>估价对象XX用房的比较价格（楼面单价，元/平方米）</v>
      </c>
      <c r="Q43" s="3474"/>
      <c r="R43" s="3593" t="e">
        <f>IF(F1="售价",ROUND(IF(D42="简单平均",AVERAGE(R42:V42),R42*F42+T42*H42+V42*J42),0),ROUND(IF(D42="简单平均",AVERAGE(R42:V42),R42*F42+T42*H42+V42*J42),1))</f>
        <v>#DIV/0!</v>
      </c>
      <c r="S43" s="3593"/>
      <c r="T43" s="3593"/>
      <c r="U43" s="3593"/>
      <c r="V43" s="3593"/>
      <c r="W43" s="3593"/>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2021-2</v>
      </c>
      <c r="D52" s="2522">
        <f>EDATE(C52,-1)</f>
        <v>44197</v>
      </c>
      <c r="E52" s="2522">
        <f t="shared" ref="E52:O52" si="16">EDATE(D52,-1)</f>
        <v>44166</v>
      </c>
      <c r="F52" s="2522">
        <f t="shared" si="16"/>
        <v>44136</v>
      </c>
      <c r="G52" s="2522">
        <f t="shared" si="16"/>
        <v>44105</v>
      </c>
      <c r="H52" s="2522">
        <f t="shared" si="16"/>
        <v>44075</v>
      </c>
      <c r="I52" s="2522">
        <f t="shared" si="16"/>
        <v>44044</v>
      </c>
      <c r="J52" s="2522">
        <f t="shared" si="16"/>
        <v>44013</v>
      </c>
      <c r="K52" s="2522">
        <f t="shared" si="16"/>
        <v>43983</v>
      </c>
      <c r="L52" s="2522">
        <f t="shared" si="16"/>
        <v>43952</v>
      </c>
      <c r="M52" s="2522">
        <f t="shared" si="16"/>
        <v>43922</v>
      </c>
      <c r="N52" s="2522">
        <f t="shared" si="16"/>
        <v>43891</v>
      </c>
      <c r="O52" s="2522">
        <f t="shared" si="16"/>
        <v>43862</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2" t="s">
        <v>792</v>
      </c>
      <c r="D4" s="3483"/>
      <c r="E4" s="3482" t="s">
        <v>793</v>
      </c>
      <c r="F4" s="3483"/>
      <c r="G4" s="3482" t="s">
        <v>794</v>
      </c>
      <c r="H4" s="3483"/>
      <c r="I4" s="3482" t="s">
        <v>795</v>
      </c>
      <c r="J4" s="3483"/>
      <c r="K4" s="508" t="s">
        <v>796</v>
      </c>
      <c r="L4" s="2016"/>
      <c r="M4" s="2017"/>
      <c r="N4" s="2017"/>
      <c r="O4" s="2017"/>
      <c r="P4" s="3484" t="s">
        <v>797</v>
      </c>
      <c r="Q4" s="3485"/>
      <c r="R4" s="3490" t="s">
        <v>793</v>
      </c>
      <c r="S4" s="3491"/>
      <c r="T4" s="3490" t="s">
        <v>794</v>
      </c>
      <c r="U4" s="3491"/>
      <c r="V4" s="3477" t="s">
        <v>795</v>
      </c>
      <c r="W4" s="3477"/>
      <c r="X4" s="1502"/>
      <c r="Y4" s="3490" t="s">
        <v>797</v>
      </c>
      <c r="Z4" s="3491"/>
      <c r="AA4" s="3479" t="s">
        <v>793</v>
      </c>
      <c r="AB4" s="3480" t="s">
        <v>794</v>
      </c>
      <c r="AC4" s="3479" t="s">
        <v>795</v>
      </c>
    </row>
    <row r="5" spans="1:29" ht="15">
      <c r="A5" s="509"/>
      <c r="B5" s="510"/>
      <c r="C5" s="3498" t="s">
        <v>2897</v>
      </c>
      <c r="D5" s="3499"/>
      <c r="E5" s="3498" t="s">
        <v>2898</v>
      </c>
      <c r="F5" s="3499"/>
      <c r="G5" s="3498" t="s">
        <v>2899</v>
      </c>
      <c r="H5" s="3499"/>
      <c r="I5" s="3498" t="s">
        <v>2900</v>
      </c>
      <c r="J5" s="3499"/>
      <c r="K5" s="508"/>
      <c r="L5" s="2016"/>
      <c r="M5" s="2017"/>
      <c r="N5" s="2017"/>
      <c r="O5" s="2017"/>
      <c r="P5" s="3486"/>
      <c r="Q5" s="3487"/>
      <c r="R5" s="3492"/>
      <c r="S5" s="3493"/>
      <c r="T5" s="3492"/>
      <c r="U5" s="3493"/>
      <c r="V5" s="3477"/>
      <c r="W5" s="3477"/>
      <c r="X5" s="1502"/>
      <c r="Y5" s="3492"/>
      <c r="Z5" s="3493"/>
      <c r="AA5" s="3480"/>
      <c r="AB5" s="3480"/>
      <c r="AC5" s="3480"/>
    </row>
    <row r="6" spans="1:29" ht="15.75" thickBot="1">
      <c r="A6" s="511"/>
      <c r="B6" s="512"/>
      <c r="C6" s="3496" t="s">
        <v>2901</v>
      </c>
      <c r="D6" s="3497"/>
      <c r="E6" s="3500" t="s">
        <v>2901</v>
      </c>
      <c r="F6" s="3501"/>
      <c r="G6" s="3496" t="s">
        <v>2901</v>
      </c>
      <c r="H6" s="3497"/>
      <c r="I6" s="3496" t="s">
        <v>2901</v>
      </c>
      <c r="J6" s="3497"/>
      <c r="K6" s="508" t="s">
        <v>522</v>
      </c>
      <c r="L6" s="2016"/>
      <c r="M6" s="2017"/>
      <c r="N6" s="2017"/>
      <c r="O6" s="2017"/>
      <c r="P6" s="3488"/>
      <c r="Q6" s="3489"/>
      <c r="R6" s="3492"/>
      <c r="S6" s="3493"/>
      <c r="T6" s="3494"/>
      <c r="U6" s="3495"/>
      <c r="V6" s="3477"/>
      <c r="W6" s="3477"/>
      <c r="X6" s="1502"/>
      <c r="Y6" s="3494"/>
      <c r="Z6" s="3495"/>
      <c r="AA6" s="3481"/>
      <c r="AB6" s="3481"/>
      <c r="AC6" s="3481"/>
    </row>
    <row r="7" spans="1:29" s="1203" customFormat="1" ht="15.75" thickBot="1">
      <c r="A7" s="2630"/>
      <c r="B7" s="2637" t="s">
        <v>523</v>
      </c>
      <c r="C7" s="513">
        <f>'数据-取费表'!B2</f>
        <v>44250</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7" t="s">
        <v>524</v>
      </c>
      <c r="Q7" s="3509"/>
      <c r="R7" s="1503" t="s">
        <v>8</v>
      </c>
      <c r="S7" s="1504">
        <f t="shared" ref="S7:S14" si="0">F7</f>
        <v>0</v>
      </c>
      <c r="T7" s="1503" t="s">
        <v>8</v>
      </c>
      <c r="U7" s="1504">
        <f t="shared" ref="U7:U14" si="1">H7</f>
        <v>0</v>
      </c>
      <c r="V7" s="1503" t="s">
        <v>8</v>
      </c>
      <c r="W7" s="1504">
        <f t="shared" ref="W7:W14" si="2">J7</f>
        <v>0</v>
      </c>
      <c r="X7" s="1505"/>
      <c r="Y7" s="3507" t="s">
        <v>524</v>
      </c>
      <c r="Z7" s="3508"/>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7" t="s">
        <v>527</v>
      </c>
      <c r="Q8" s="3508"/>
      <c r="R8" s="1503" t="s">
        <v>8</v>
      </c>
      <c r="S8" s="1504">
        <f t="shared" si="0"/>
        <v>0</v>
      </c>
      <c r="T8" s="1503" t="s">
        <v>8</v>
      </c>
      <c r="U8" s="1504">
        <f t="shared" si="1"/>
        <v>0</v>
      </c>
      <c r="V8" s="1503" t="s">
        <v>8</v>
      </c>
      <c r="W8" s="1504">
        <f t="shared" si="2"/>
        <v>0</v>
      </c>
      <c r="X8" s="1505"/>
      <c r="Y8" s="3507" t="s">
        <v>527</v>
      </c>
      <c r="Z8" s="3508"/>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2"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2"/>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2"/>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2"/>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2"/>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0" t="s">
        <v>534</v>
      </c>
      <c r="Q14" s="1507" t="str">
        <f t="shared" si="6"/>
        <v>交通便捷度</v>
      </c>
      <c r="R14" s="1508" t="s">
        <v>8</v>
      </c>
      <c r="S14" s="1509">
        <f t="shared" si="0"/>
        <v>100</v>
      </c>
      <c r="T14" s="1508" t="s">
        <v>8</v>
      </c>
      <c r="U14" s="1509">
        <f t="shared" si="1"/>
        <v>100</v>
      </c>
      <c r="V14" s="1508" t="s">
        <v>8</v>
      </c>
      <c r="W14" s="1509">
        <f t="shared" si="2"/>
        <v>100</v>
      </c>
      <c r="X14" s="1502"/>
      <c r="Y14" s="3510"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1"/>
      <c r="Q15" s="1507"/>
      <c r="R15" s="1508"/>
      <c r="S15" s="1509"/>
      <c r="T15" s="1508"/>
      <c r="U15" s="1509"/>
      <c r="V15" s="1508"/>
      <c r="W15" s="1509"/>
      <c r="X15" s="1502"/>
      <c r="Y15" s="3511"/>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1"/>
      <c r="Q16" s="1507" t="str">
        <f>B16</f>
        <v>公共配套设施</v>
      </c>
      <c r="R16" s="1508" t="s">
        <v>8</v>
      </c>
      <c r="S16" s="1509">
        <f>F16</f>
        <v>100</v>
      </c>
      <c r="T16" s="1508" t="s">
        <v>8</v>
      </c>
      <c r="U16" s="1509">
        <f>H16</f>
        <v>100</v>
      </c>
      <c r="V16" s="1508" t="s">
        <v>8</v>
      </c>
      <c r="W16" s="1509">
        <f>J16</f>
        <v>100</v>
      </c>
      <c r="X16" s="1502"/>
      <c r="Y16" s="3511"/>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1"/>
      <c r="Q17" s="1507"/>
      <c r="R17" s="1508"/>
      <c r="S17" s="1509"/>
      <c r="T17" s="1508"/>
      <c r="U17" s="1509"/>
      <c r="V17" s="1508"/>
      <c r="W17" s="1509"/>
      <c r="X17" s="1502"/>
      <c r="Y17" s="3511"/>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1"/>
      <c r="Q18" s="2430" t="str">
        <f>B18</f>
        <v>基础设施水平</v>
      </c>
      <c r="R18" s="1508" t="s">
        <v>8</v>
      </c>
      <c r="S18" s="1509">
        <f>F18</f>
        <v>100</v>
      </c>
      <c r="T18" s="1508" t="s">
        <v>8</v>
      </c>
      <c r="U18" s="1509">
        <f>H18</f>
        <v>100</v>
      </c>
      <c r="V18" s="1508" t="s">
        <v>8</v>
      </c>
      <c r="W18" s="1509">
        <f>J18</f>
        <v>100</v>
      </c>
      <c r="X18" s="2432"/>
      <c r="Y18" s="3511"/>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1"/>
      <c r="Q19" s="2430"/>
      <c r="R19" s="1508"/>
      <c r="S19" s="1509"/>
      <c r="T19" s="1508"/>
      <c r="U19" s="1509"/>
      <c r="V19" s="1508"/>
      <c r="W19" s="1509"/>
      <c r="X19" s="2432"/>
      <c r="Y19" s="3511"/>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1"/>
      <c r="Q20" s="1507" t="str">
        <f>B20</f>
        <v>自然及人文环境</v>
      </c>
      <c r="R20" s="1508" t="s">
        <v>8</v>
      </c>
      <c r="S20" s="1509">
        <f>F20</f>
        <v>100</v>
      </c>
      <c r="T20" s="1508" t="s">
        <v>8</v>
      </c>
      <c r="U20" s="1509">
        <f>H20</f>
        <v>100</v>
      </c>
      <c r="V20" s="1508" t="s">
        <v>8</v>
      </c>
      <c r="W20" s="1509">
        <f>J20</f>
        <v>100</v>
      </c>
      <c r="X20" s="1502"/>
      <c r="Y20" s="3511"/>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1"/>
      <c r="Q21" s="1507"/>
      <c r="R21" s="1508"/>
      <c r="S21" s="1509"/>
      <c r="T21" s="1508"/>
      <c r="U21" s="1509"/>
      <c r="V21" s="1508"/>
      <c r="W21" s="1509"/>
      <c r="X21" s="1502"/>
      <c r="Y21" s="3511"/>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1"/>
      <c r="Q22" s="1507" t="str">
        <f>B22</f>
        <v>楼层</v>
      </c>
      <c r="R22" s="1508" t="s">
        <v>8</v>
      </c>
      <c r="S22" s="1509">
        <f>F22</f>
        <v>100</v>
      </c>
      <c r="T22" s="1508" t="s">
        <v>8</v>
      </c>
      <c r="U22" s="1509">
        <f>H22</f>
        <v>100</v>
      </c>
      <c r="V22" s="1508" t="s">
        <v>8</v>
      </c>
      <c r="W22" s="1509">
        <f>J22</f>
        <v>100</v>
      </c>
      <c r="X22" s="1502"/>
      <c r="Y22" s="3511"/>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1"/>
      <c r="Q23" s="1507">
        <f>B23</f>
        <v>111</v>
      </c>
      <c r="R23" s="1508" t="s">
        <v>8</v>
      </c>
      <c r="S23" s="1509">
        <f>F23</f>
        <v>100</v>
      </c>
      <c r="T23" s="1508" t="s">
        <v>8</v>
      </c>
      <c r="U23" s="1509">
        <f>H23</f>
        <v>100</v>
      </c>
      <c r="V23" s="1508" t="s">
        <v>8</v>
      </c>
      <c r="W23" s="1509">
        <f>J23</f>
        <v>100</v>
      </c>
      <c r="X23" s="1502"/>
      <c r="Y23" s="3511"/>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1"/>
      <c r="Q24" s="1507">
        <f t="shared" ref="Q24:Q36" si="11">B24</f>
        <v>111</v>
      </c>
      <c r="R24" s="1508" t="s">
        <v>8</v>
      </c>
      <c r="S24" s="1509">
        <f>F24</f>
        <v>100</v>
      </c>
      <c r="T24" s="1508" t="s">
        <v>8</v>
      </c>
      <c r="U24" s="1509">
        <f>H24</f>
        <v>100</v>
      </c>
      <c r="V24" s="1508" t="s">
        <v>8</v>
      </c>
      <c r="W24" s="1509">
        <f>J24</f>
        <v>100</v>
      </c>
      <c r="X24" s="1502"/>
      <c r="Y24" s="3511"/>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1"/>
      <c r="Q25" s="1134">
        <f t="shared" si="11"/>
        <v>111</v>
      </c>
      <c r="R25" s="1503" t="s">
        <v>8</v>
      </c>
      <c r="S25" s="1504">
        <f>F25</f>
        <v>100</v>
      </c>
      <c r="T25" s="1503" t="s">
        <v>8</v>
      </c>
      <c r="U25" s="1504">
        <f>H25</f>
        <v>100</v>
      </c>
      <c r="V25" s="1503" t="s">
        <v>8</v>
      </c>
      <c r="W25" s="1504">
        <f>J25</f>
        <v>100</v>
      </c>
      <c r="X25" s="1505"/>
      <c r="Y25" s="3511"/>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2"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3"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3"/>
      <c r="Q27" s="1536" t="str">
        <f t="shared" si="11"/>
        <v>项目停车位配比</v>
      </c>
      <c r="R27" s="1512" t="s">
        <v>8</v>
      </c>
      <c r="S27" s="1513">
        <f t="shared" si="12"/>
        <v>100</v>
      </c>
      <c r="T27" s="1512" t="s">
        <v>8</v>
      </c>
      <c r="U27" s="1513">
        <f t="shared" si="13"/>
        <v>100</v>
      </c>
      <c r="V27" s="1512" t="s">
        <v>8</v>
      </c>
      <c r="W27" s="1513">
        <f t="shared" si="14"/>
        <v>100</v>
      </c>
      <c r="X27" s="1514"/>
      <c r="Y27" s="3513"/>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3"/>
      <c r="Q28" s="1507" t="str">
        <f t="shared" si="11"/>
        <v>公共部分装修</v>
      </c>
      <c r="R28" s="1508" t="s">
        <v>8</v>
      </c>
      <c r="S28" s="1509">
        <f t="shared" si="12"/>
        <v>100</v>
      </c>
      <c r="T28" s="1508" t="s">
        <v>8</v>
      </c>
      <c r="U28" s="1509">
        <f t="shared" si="13"/>
        <v>100</v>
      </c>
      <c r="V28" s="1508" t="s">
        <v>8</v>
      </c>
      <c r="W28" s="1509">
        <f t="shared" si="14"/>
        <v>100</v>
      </c>
      <c r="X28" s="1502"/>
      <c r="Y28" s="3513"/>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3"/>
      <c r="Q29" s="1507" t="str">
        <f t="shared" si="11"/>
        <v>成新率</v>
      </c>
      <c r="R29" s="1508" t="s">
        <v>8</v>
      </c>
      <c r="S29" s="1509" t="e">
        <f t="shared" si="12"/>
        <v>#N/A</v>
      </c>
      <c r="T29" s="1508" t="s">
        <v>8</v>
      </c>
      <c r="U29" s="1509" t="e">
        <f t="shared" si="13"/>
        <v>#N/A</v>
      </c>
      <c r="V29" s="1508" t="s">
        <v>8</v>
      </c>
      <c r="W29" s="1509" t="e">
        <f t="shared" si="14"/>
        <v>#N/A</v>
      </c>
      <c r="X29" s="1502"/>
      <c r="Y29" s="3513"/>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3"/>
      <c r="Q30" s="1507" t="str">
        <f t="shared" si="11"/>
        <v>物业等级</v>
      </c>
      <c r="R30" s="1508" t="s">
        <v>8</v>
      </c>
      <c r="S30" s="1509">
        <f t="shared" si="12"/>
        <v>100</v>
      </c>
      <c r="T30" s="1508" t="s">
        <v>8</v>
      </c>
      <c r="U30" s="1509">
        <f t="shared" si="13"/>
        <v>100</v>
      </c>
      <c r="V30" s="1508" t="s">
        <v>8</v>
      </c>
      <c r="W30" s="1509">
        <f t="shared" si="14"/>
        <v>100</v>
      </c>
      <c r="X30" s="1502"/>
      <c r="Y30" s="3513"/>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3"/>
      <c r="Q31" s="1134" t="str">
        <f t="shared" si="11"/>
        <v>停车位面积</v>
      </c>
      <c r="R31" s="1503" t="s">
        <v>8</v>
      </c>
      <c r="S31" s="1504" t="e">
        <f t="shared" si="12"/>
        <v>#N/A</v>
      </c>
      <c r="T31" s="1503" t="s">
        <v>8</v>
      </c>
      <c r="U31" s="1504" t="e">
        <f t="shared" si="13"/>
        <v>#N/A</v>
      </c>
      <c r="V31" s="1503" t="s">
        <v>8</v>
      </c>
      <c r="W31" s="1504" t="e">
        <f t="shared" si="14"/>
        <v>#N/A</v>
      </c>
      <c r="X31" s="1505"/>
      <c r="Y31" s="3513"/>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3" t="s">
        <v>544</v>
      </c>
      <c r="Q32" s="1507" t="str">
        <f t="shared" si="11"/>
        <v>车位类型</v>
      </c>
      <c r="R32" s="1508" t="s">
        <v>8</v>
      </c>
      <c r="S32" s="1509">
        <f t="shared" si="12"/>
        <v>100</v>
      </c>
      <c r="T32" s="1508" t="s">
        <v>8</v>
      </c>
      <c r="U32" s="1509">
        <f t="shared" si="13"/>
        <v>100</v>
      </c>
      <c r="V32" s="1508" t="s">
        <v>8</v>
      </c>
      <c r="W32" s="1509">
        <f t="shared" si="14"/>
        <v>100</v>
      </c>
      <c r="X32" s="1502"/>
      <c r="Y32" s="3513"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3"/>
      <c r="Q33" s="1507" t="str">
        <f t="shared" si="11"/>
        <v>是否直接入户</v>
      </c>
      <c r="R33" s="1508" t="s">
        <v>8</v>
      </c>
      <c r="S33" s="1509">
        <f t="shared" si="12"/>
        <v>100</v>
      </c>
      <c r="T33" s="1508" t="s">
        <v>8</v>
      </c>
      <c r="U33" s="1509">
        <f t="shared" si="13"/>
        <v>100</v>
      </c>
      <c r="V33" s="1508" t="s">
        <v>8</v>
      </c>
      <c r="W33" s="1509">
        <f t="shared" si="14"/>
        <v>100</v>
      </c>
      <c r="X33" s="1502"/>
      <c r="Y33" s="3513"/>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3"/>
      <c r="Q34" s="1507">
        <f t="shared" si="11"/>
        <v>111</v>
      </c>
      <c r="R34" s="1508" t="s">
        <v>8</v>
      </c>
      <c r="S34" s="1509">
        <f t="shared" si="12"/>
        <v>100</v>
      </c>
      <c r="T34" s="1508" t="s">
        <v>8</v>
      </c>
      <c r="U34" s="1509">
        <f t="shared" si="13"/>
        <v>100</v>
      </c>
      <c r="V34" s="1508" t="s">
        <v>8</v>
      </c>
      <c r="W34" s="1509">
        <f t="shared" si="14"/>
        <v>100</v>
      </c>
      <c r="X34" s="1502"/>
      <c r="Y34" s="3513"/>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3"/>
      <c r="Q35" s="1536">
        <f t="shared" si="11"/>
        <v>111</v>
      </c>
      <c r="R35" s="1512" t="s">
        <v>8</v>
      </c>
      <c r="S35" s="1513">
        <f t="shared" si="12"/>
        <v>100</v>
      </c>
      <c r="T35" s="1512" t="s">
        <v>8</v>
      </c>
      <c r="U35" s="1513">
        <f t="shared" si="13"/>
        <v>100</v>
      </c>
      <c r="V35" s="1512" t="s">
        <v>8</v>
      </c>
      <c r="W35" s="1513">
        <f t="shared" si="14"/>
        <v>100</v>
      </c>
      <c r="X35" s="1514"/>
      <c r="Y35" s="3513"/>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3"/>
      <c r="Q36" s="1507">
        <f t="shared" si="11"/>
        <v>111</v>
      </c>
      <c r="R36" s="1508" t="s">
        <v>8</v>
      </c>
      <c r="S36" s="1509">
        <f t="shared" si="12"/>
        <v>100</v>
      </c>
      <c r="T36" s="1508" t="s">
        <v>8</v>
      </c>
      <c r="U36" s="1509">
        <f t="shared" si="13"/>
        <v>100</v>
      </c>
      <c r="V36" s="1508" t="s">
        <v>8</v>
      </c>
      <c r="W36" s="1509">
        <f t="shared" si="14"/>
        <v>100</v>
      </c>
      <c r="X36" s="1502"/>
      <c r="Y36" s="3513"/>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76" t="str">
        <f>A37</f>
        <v>成交单价</v>
      </c>
      <c r="Q37" s="3476"/>
      <c r="R37" s="3594">
        <f>E37</f>
        <v>0</v>
      </c>
      <c r="S37" s="3594"/>
      <c r="T37" s="3594">
        <f>G37</f>
        <v>0</v>
      </c>
      <c r="U37" s="3594"/>
      <c r="V37" s="3594">
        <f>I37</f>
        <v>0</v>
      </c>
      <c r="W37" s="3594"/>
      <c r="X37" s="1497"/>
      <c r="Y37" s="1516"/>
      <c r="Z37" s="1497"/>
      <c r="AA37" s="1497"/>
      <c r="AB37" s="1497"/>
      <c r="AC37" s="1497"/>
    </row>
    <row r="38" spans="1:29" ht="15.75" thickBot="1">
      <c r="A38" s="609" t="s">
        <v>2740</v>
      </c>
      <c r="B38" s="877"/>
      <c r="C38" s="2477" t="e">
        <f>R39</f>
        <v>#DIV/0!</v>
      </c>
      <c r="D38" s="3015" t="s">
        <v>2971</v>
      </c>
      <c r="E38" s="2478" t="e">
        <f>R38</f>
        <v>#DIV/0!</v>
      </c>
      <c r="F38" s="3016"/>
      <c r="G38" s="2477" t="e">
        <f>T38</f>
        <v>#DIV/0!</v>
      </c>
      <c r="H38" s="3016"/>
      <c r="I38" s="2478" t="e">
        <f>V38</f>
        <v>#DIV/0!</v>
      </c>
      <c r="J38" s="3016"/>
      <c r="K38" s="3024">
        <f>F38+H38+J38</f>
        <v>0</v>
      </c>
      <c r="L38" s="2027"/>
      <c r="M38" s="2028"/>
      <c r="N38" s="2028"/>
      <c r="O38" s="2028"/>
      <c r="P38" s="3476" t="str">
        <f>A38</f>
        <v>比较价格（元/平方米）</v>
      </c>
      <c r="Q38" s="3476"/>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473" t="str">
        <f>A39</f>
        <v>估价对象XX用房的比较价格（楼面单价，元/平方米）</v>
      </c>
      <c r="Q39" s="3474"/>
      <c r="R39" s="3593" t="e">
        <f>IF(F1="售价",ROUND(IF(D38="简单平均",AVERAGE(R38:W38),R38*F38+T38*H38+V38*J38),0),ROUND(IF(D38="简单平均",AVERAGE(R38:V38),R38*F38+T38*H38+V38*J38),1))</f>
        <v>#DIV/0!</v>
      </c>
      <c r="S39" s="3593"/>
      <c r="T39" s="3593"/>
      <c r="U39" s="3593"/>
      <c r="V39" s="3593"/>
      <c r="W39" s="3593"/>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2021-2</v>
      </c>
      <c r="D48" s="2522">
        <f>EDATE(C48,-1)</f>
        <v>44197</v>
      </c>
      <c r="E48" s="2522">
        <f t="shared" ref="E48:O48" si="16">EDATE(D48,-1)</f>
        <v>44166</v>
      </c>
      <c r="F48" s="2522">
        <f t="shared" si="16"/>
        <v>44136</v>
      </c>
      <c r="G48" s="2522">
        <f t="shared" si="16"/>
        <v>44105</v>
      </c>
      <c r="H48" s="2522">
        <f t="shared" si="16"/>
        <v>44075</v>
      </c>
      <c r="I48" s="2522">
        <f t="shared" si="16"/>
        <v>44044</v>
      </c>
      <c r="J48" s="2522">
        <f t="shared" si="16"/>
        <v>44013</v>
      </c>
      <c r="K48" s="2522">
        <f t="shared" si="16"/>
        <v>43983</v>
      </c>
      <c r="L48" s="2522">
        <f t="shared" si="16"/>
        <v>43952</v>
      </c>
      <c r="M48" s="2522">
        <f t="shared" si="16"/>
        <v>43922</v>
      </c>
      <c r="N48" s="2522">
        <f t="shared" si="16"/>
        <v>43891</v>
      </c>
      <c r="O48" s="2522">
        <f t="shared" si="16"/>
        <v>43862</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五矿信托：</v>
      </c>
    </row>
    <row r="4" spans="1:4" ht="37.5">
      <c r="A4" s="1707" t="str">
        <f>"受贵公司委托，我公司对"&amp;项目基本情况!K2&amp;项目基本情况!B9&amp;"进行了预评估。"</f>
        <v>受贵公司委托，我公司对广西省柳州市柳东新区智和路以北L-14-34地块A地块出让国有建设用地使用权抵押价格进行了预评估。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柳州东城安居置业开发有限公司使用的、位于广西省柳州市柳东新区智和路以北L-14-34地块A地块出让国有建设用地使用权。根据《国有土地使用证》[]，估价对象（分摊）出让国有建设用地使用权面积为55043.06平方米。根据《建设工程规划许可证》[]、《出让合同》[]，估价对象规划建筑面积为219676.65平方米。</v>
      </c>
    </row>
    <row r="7" spans="1:4" ht="93.75">
      <c r="A7" s="2591" t="s">
        <v>2728</v>
      </c>
    </row>
    <row r="8" spans="1:4" ht="18.75">
      <c r="A8" s="1710" t="s">
        <v>1897</v>
      </c>
    </row>
    <row r="9" spans="1:4" ht="93.75">
      <c r="A9" s="1712" t="str">
        <f>IF(项目基本情况!B8="抵押",IF(项目基本情况!B5=项目基本情况!B6,定义!C51,定义!B51),定义!D51)</f>
        <v>柳州东城安居置业开发有限公司拟使用广西省柳州市柳东新区智和路以北L-14-34地块A地块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2021年2月23日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根据《国有土地使用证》[]，估价对象（分摊）出让国有建设用地使用权面积为55043.06平方米。根据《建设工程规划许可证》[]、《出让合同》[]，估价对象规划建筑面积为219676.65平方米。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2月23日，在规划利用条件下、设定土地开发程度为红线外“六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2" t="s">
        <v>792</v>
      </c>
      <c r="D4" s="3483"/>
      <c r="E4" s="3516" t="s">
        <v>793</v>
      </c>
      <c r="F4" s="3517"/>
      <c r="G4" s="3482" t="s">
        <v>794</v>
      </c>
      <c r="H4" s="3483"/>
      <c r="I4" s="3482" t="s">
        <v>795</v>
      </c>
      <c r="J4" s="3483"/>
      <c r="K4" s="508" t="s">
        <v>796</v>
      </c>
      <c r="L4" s="2016"/>
      <c r="M4" s="2017"/>
      <c r="N4" s="2017"/>
      <c r="O4" s="2017"/>
      <c r="P4" s="3484" t="s">
        <v>797</v>
      </c>
      <c r="Q4" s="3485"/>
      <c r="R4" s="3490" t="s">
        <v>793</v>
      </c>
      <c r="S4" s="3491"/>
      <c r="T4" s="3490" t="s">
        <v>794</v>
      </c>
      <c r="U4" s="3491"/>
      <c r="V4" s="3477" t="s">
        <v>795</v>
      </c>
      <c r="W4" s="3477"/>
      <c r="X4" s="1502"/>
      <c r="Y4" s="3490" t="s">
        <v>797</v>
      </c>
      <c r="Z4" s="3491"/>
      <c r="AA4" s="3479" t="s">
        <v>793</v>
      </c>
      <c r="AB4" s="3480" t="s">
        <v>794</v>
      </c>
      <c r="AC4" s="3479" t="s">
        <v>795</v>
      </c>
    </row>
    <row r="5" spans="1:29" ht="15">
      <c r="A5" s="509"/>
      <c r="B5" s="510"/>
      <c r="C5" s="3498" t="s">
        <v>2897</v>
      </c>
      <c r="D5" s="3499"/>
      <c r="E5" s="3518" t="s">
        <v>2898</v>
      </c>
      <c r="F5" s="3519"/>
      <c r="G5" s="3498" t="s">
        <v>2899</v>
      </c>
      <c r="H5" s="3499"/>
      <c r="I5" s="3498" t="s">
        <v>2900</v>
      </c>
      <c r="J5" s="3499"/>
      <c r="K5" s="508"/>
      <c r="L5" s="2016"/>
      <c r="M5" s="2017"/>
      <c r="N5" s="2017"/>
      <c r="O5" s="2017"/>
      <c r="P5" s="3486"/>
      <c r="Q5" s="3487"/>
      <c r="R5" s="3492"/>
      <c r="S5" s="3493"/>
      <c r="T5" s="3492"/>
      <c r="U5" s="3493"/>
      <c r="V5" s="3477"/>
      <c r="W5" s="3477"/>
      <c r="X5" s="1502"/>
      <c r="Y5" s="3492"/>
      <c r="Z5" s="3493"/>
      <c r="AA5" s="3480"/>
      <c r="AB5" s="3480"/>
      <c r="AC5" s="3480"/>
    </row>
    <row r="6" spans="1:29" ht="15.75" thickBot="1">
      <c r="A6" s="511"/>
      <c r="B6" s="512"/>
      <c r="C6" s="3496" t="s">
        <v>2901</v>
      </c>
      <c r="D6" s="3497"/>
      <c r="E6" s="3514" t="s">
        <v>2901</v>
      </c>
      <c r="F6" s="3515"/>
      <c r="G6" s="3496" t="s">
        <v>2901</v>
      </c>
      <c r="H6" s="3497"/>
      <c r="I6" s="3496" t="s">
        <v>2901</v>
      </c>
      <c r="J6" s="3497"/>
      <c r="K6" s="508" t="s">
        <v>522</v>
      </c>
      <c r="L6" s="2016"/>
      <c r="M6" s="2017"/>
      <c r="N6" s="2017"/>
      <c r="O6" s="2017"/>
      <c r="P6" s="3488"/>
      <c r="Q6" s="3489"/>
      <c r="R6" s="3492"/>
      <c r="S6" s="3493"/>
      <c r="T6" s="3494"/>
      <c r="U6" s="3495"/>
      <c r="V6" s="3477"/>
      <c r="W6" s="3477"/>
      <c r="X6" s="1502"/>
      <c r="Y6" s="3494"/>
      <c r="Z6" s="3495"/>
      <c r="AA6" s="3481"/>
      <c r="AB6" s="3481"/>
      <c r="AC6" s="3481"/>
    </row>
    <row r="7" spans="1:29" s="1203" customFormat="1" ht="15.75" thickBot="1">
      <c r="A7" s="2630"/>
      <c r="B7" s="2637" t="s">
        <v>523</v>
      </c>
      <c r="C7" s="513">
        <f>'数据-取费表'!B2</f>
        <v>44250</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7" t="s">
        <v>524</v>
      </c>
      <c r="Q7" s="3509"/>
      <c r="R7" s="1503" t="s">
        <v>8</v>
      </c>
      <c r="S7" s="1504">
        <f t="shared" ref="S7:S14" si="0">F7</f>
        <v>0</v>
      </c>
      <c r="T7" s="1503" t="s">
        <v>8</v>
      </c>
      <c r="U7" s="1504">
        <f t="shared" ref="U7:U14" si="1">H7</f>
        <v>0</v>
      </c>
      <c r="V7" s="1503" t="s">
        <v>8</v>
      </c>
      <c r="W7" s="1504">
        <f t="shared" ref="W7:W14" si="2">J7</f>
        <v>0</v>
      </c>
      <c r="X7" s="1505"/>
      <c r="Y7" s="3507" t="s">
        <v>524</v>
      </c>
      <c r="Z7" s="3508"/>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7" t="s">
        <v>527</v>
      </c>
      <c r="Q8" s="3508"/>
      <c r="R8" s="1503" t="s">
        <v>8</v>
      </c>
      <c r="S8" s="1504">
        <f t="shared" si="0"/>
        <v>0</v>
      </c>
      <c r="T8" s="1503" t="s">
        <v>8</v>
      </c>
      <c r="U8" s="1504">
        <f t="shared" si="1"/>
        <v>0</v>
      </c>
      <c r="V8" s="1503" t="s">
        <v>8</v>
      </c>
      <c r="W8" s="1504">
        <f t="shared" si="2"/>
        <v>0</v>
      </c>
      <c r="X8" s="1505"/>
      <c r="Y8" s="3507" t="s">
        <v>527</v>
      </c>
      <c r="Z8" s="3508"/>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2"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2"/>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2"/>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2"/>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2"/>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0" t="s">
        <v>534</v>
      </c>
      <c r="Q14" s="1507" t="str">
        <f t="shared" si="6"/>
        <v>交通便捷度</v>
      </c>
      <c r="R14" s="1508" t="s">
        <v>8</v>
      </c>
      <c r="S14" s="1509">
        <f t="shared" si="0"/>
        <v>100</v>
      </c>
      <c r="T14" s="1508" t="s">
        <v>8</v>
      </c>
      <c r="U14" s="1509">
        <f t="shared" si="1"/>
        <v>100</v>
      </c>
      <c r="V14" s="1508" t="s">
        <v>8</v>
      </c>
      <c r="W14" s="1509">
        <f t="shared" si="2"/>
        <v>100</v>
      </c>
      <c r="X14" s="1502"/>
      <c r="Y14" s="3510"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1"/>
      <c r="Q15" s="1507"/>
      <c r="R15" s="1508"/>
      <c r="S15" s="1509"/>
      <c r="T15" s="1508"/>
      <c r="U15" s="1509"/>
      <c r="V15" s="1508"/>
      <c r="W15" s="1509"/>
      <c r="X15" s="1502"/>
      <c r="Y15" s="3511"/>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1"/>
      <c r="Q16" s="1507" t="str">
        <f>B16</f>
        <v>公共配套设施</v>
      </c>
      <c r="R16" s="1508" t="s">
        <v>8</v>
      </c>
      <c r="S16" s="1509">
        <f>F16</f>
        <v>100</v>
      </c>
      <c r="T16" s="1508" t="s">
        <v>8</v>
      </c>
      <c r="U16" s="1509">
        <f>H16</f>
        <v>100</v>
      </c>
      <c r="V16" s="1508" t="s">
        <v>8</v>
      </c>
      <c r="W16" s="1509">
        <f>J16</f>
        <v>100</v>
      </c>
      <c r="X16" s="1502"/>
      <c r="Y16" s="3511"/>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1"/>
      <c r="Q17" s="1507"/>
      <c r="R17" s="1508"/>
      <c r="S17" s="1509"/>
      <c r="T17" s="1508"/>
      <c r="U17" s="1509"/>
      <c r="V17" s="1508"/>
      <c r="W17" s="1509"/>
      <c r="X17" s="1502"/>
      <c r="Y17" s="3511"/>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1"/>
      <c r="Q18" s="2430" t="str">
        <f>B18</f>
        <v>基础设施水平</v>
      </c>
      <c r="R18" s="1508" t="s">
        <v>8</v>
      </c>
      <c r="S18" s="1509">
        <f>F18</f>
        <v>100</v>
      </c>
      <c r="T18" s="1508" t="s">
        <v>8</v>
      </c>
      <c r="U18" s="1509">
        <f>H18</f>
        <v>100</v>
      </c>
      <c r="V18" s="1508" t="s">
        <v>8</v>
      </c>
      <c r="W18" s="1509">
        <f>J18</f>
        <v>100</v>
      </c>
      <c r="X18" s="2432"/>
      <c r="Y18" s="3511"/>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1"/>
      <c r="Q19" s="2430"/>
      <c r="R19" s="1508"/>
      <c r="S19" s="1509"/>
      <c r="T19" s="1508"/>
      <c r="U19" s="1509"/>
      <c r="V19" s="1508"/>
      <c r="W19" s="1509"/>
      <c r="X19" s="2432"/>
      <c r="Y19" s="3511"/>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1"/>
      <c r="Q20" s="1507" t="str">
        <f>B20</f>
        <v>自然及人文环境</v>
      </c>
      <c r="R20" s="1508" t="s">
        <v>8</v>
      </c>
      <c r="S20" s="1509">
        <f>F20</f>
        <v>100</v>
      </c>
      <c r="T20" s="1508" t="s">
        <v>8</v>
      </c>
      <c r="U20" s="1509">
        <f>H20</f>
        <v>100</v>
      </c>
      <c r="V20" s="1508" t="s">
        <v>8</v>
      </c>
      <c r="W20" s="1509">
        <f>J20</f>
        <v>100</v>
      </c>
      <c r="X20" s="1502"/>
      <c r="Y20" s="3511"/>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1"/>
      <c r="Q21" s="1507"/>
      <c r="R21" s="1508"/>
      <c r="S21" s="1509"/>
      <c r="T21" s="1508"/>
      <c r="U21" s="1509"/>
      <c r="V21" s="1508"/>
      <c r="W21" s="1509"/>
      <c r="X21" s="1502"/>
      <c r="Y21" s="3511"/>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1"/>
      <c r="Q22" s="1507" t="str">
        <f>B22</f>
        <v>楼层</v>
      </c>
      <c r="R22" s="1508" t="s">
        <v>8</v>
      </c>
      <c r="S22" s="1509">
        <f>F22</f>
        <v>100</v>
      </c>
      <c r="T22" s="1508" t="s">
        <v>8</v>
      </c>
      <c r="U22" s="1509">
        <f>H22</f>
        <v>100</v>
      </c>
      <c r="V22" s="1508" t="s">
        <v>8</v>
      </c>
      <c r="W22" s="1509">
        <f>J22</f>
        <v>100</v>
      </c>
      <c r="X22" s="1502"/>
      <c r="Y22" s="3511"/>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1"/>
      <c r="Q23" s="1507">
        <f>B23</f>
        <v>111</v>
      </c>
      <c r="R23" s="1508" t="s">
        <v>8</v>
      </c>
      <c r="S23" s="1509">
        <f>F23</f>
        <v>100</v>
      </c>
      <c r="T23" s="1508" t="s">
        <v>8</v>
      </c>
      <c r="U23" s="1509">
        <f>H23</f>
        <v>100</v>
      </c>
      <c r="V23" s="1508" t="s">
        <v>8</v>
      </c>
      <c r="W23" s="1509">
        <f>J23</f>
        <v>100</v>
      </c>
      <c r="X23" s="1502"/>
      <c r="Y23" s="3511"/>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1"/>
      <c r="Q24" s="1507">
        <f t="shared" ref="Q24:Q34" si="11">B24</f>
        <v>111</v>
      </c>
      <c r="R24" s="1508" t="s">
        <v>8</v>
      </c>
      <c r="S24" s="1509">
        <f>F24</f>
        <v>100</v>
      </c>
      <c r="T24" s="1508" t="s">
        <v>8</v>
      </c>
      <c r="U24" s="1509">
        <f>H24</f>
        <v>100</v>
      </c>
      <c r="V24" s="1508" t="s">
        <v>8</v>
      </c>
      <c r="W24" s="1509">
        <f>J24</f>
        <v>100</v>
      </c>
      <c r="X24" s="1502"/>
      <c r="Y24" s="3511"/>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1"/>
      <c r="Q25" s="1134">
        <f t="shared" si="11"/>
        <v>111</v>
      </c>
      <c r="R25" s="1503" t="s">
        <v>8</v>
      </c>
      <c r="S25" s="1504">
        <f>F25</f>
        <v>100</v>
      </c>
      <c r="T25" s="1503" t="s">
        <v>8</v>
      </c>
      <c r="U25" s="1504">
        <f>H25</f>
        <v>100</v>
      </c>
      <c r="V25" s="1503" t="s">
        <v>8</v>
      </c>
      <c r="W25" s="1504">
        <f>J25</f>
        <v>100</v>
      </c>
      <c r="X25" s="1505"/>
      <c r="Y25" s="3511"/>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2"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3"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3"/>
      <c r="Q27" s="1536" t="str">
        <f t="shared" si="11"/>
        <v>成新率</v>
      </c>
      <c r="R27" s="1512" t="s">
        <v>8</v>
      </c>
      <c r="S27" s="1513" t="e">
        <f t="shared" si="12"/>
        <v>#N/A</v>
      </c>
      <c r="T27" s="1512" t="s">
        <v>8</v>
      </c>
      <c r="U27" s="1513" t="e">
        <f t="shared" si="13"/>
        <v>#N/A</v>
      </c>
      <c r="V27" s="1512" t="s">
        <v>8</v>
      </c>
      <c r="W27" s="1513" t="e">
        <f t="shared" si="14"/>
        <v>#N/A</v>
      </c>
      <c r="X27" s="1514"/>
      <c r="Y27" s="3513"/>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3"/>
      <c r="Q28" s="1507" t="str">
        <f t="shared" si="11"/>
        <v>物业等级</v>
      </c>
      <c r="R28" s="1508" t="s">
        <v>8</v>
      </c>
      <c r="S28" s="1509">
        <f t="shared" si="12"/>
        <v>100</v>
      </c>
      <c r="T28" s="1508" t="s">
        <v>8</v>
      </c>
      <c r="U28" s="1509">
        <f t="shared" si="13"/>
        <v>100</v>
      </c>
      <c r="V28" s="1508" t="s">
        <v>8</v>
      </c>
      <c r="W28" s="1509">
        <f t="shared" si="14"/>
        <v>100</v>
      </c>
      <c r="X28" s="1502"/>
      <c r="Y28" s="3513"/>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3"/>
      <c r="Q29" s="1507" t="str">
        <f t="shared" si="11"/>
        <v>有无电梯</v>
      </c>
      <c r="R29" s="1508" t="s">
        <v>8</v>
      </c>
      <c r="S29" s="1509">
        <f t="shared" si="12"/>
        <v>100</v>
      </c>
      <c r="T29" s="1508" t="s">
        <v>8</v>
      </c>
      <c r="U29" s="1509">
        <f t="shared" si="13"/>
        <v>100</v>
      </c>
      <c r="V29" s="1508" t="s">
        <v>8</v>
      </c>
      <c r="W29" s="1509">
        <f t="shared" si="14"/>
        <v>100</v>
      </c>
      <c r="X29" s="1502"/>
      <c r="Y29" s="3513"/>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3"/>
      <c r="Q30" s="1507" t="str">
        <f t="shared" si="11"/>
        <v>建筑面积</v>
      </c>
      <c r="R30" s="1508" t="s">
        <v>8</v>
      </c>
      <c r="S30" s="1509" t="e">
        <f t="shared" si="12"/>
        <v>#N/A</v>
      </c>
      <c r="T30" s="1508" t="s">
        <v>8</v>
      </c>
      <c r="U30" s="1509" t="e">
        <f t="shared" si="13"/>
        <v>#N/A</v>
      </c>
      <c r="V30" s="1508" t="s">
        <v>8</v>
      </c>
      <c r="W30" s="1509" t="e">
        <f t="shared" si="14"/>
        <v>#N/A</v>
      </c>
      <c r="X30" s="1502"/>
      <c r="Y30" s="3513"/>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3"/>
      <c r="Q31" s="1134" t="str">
        <f t="shared" si="11"/>
        <v>是否封闭</v>
      </c>
      <c r="R31" s="1503" t="s">
        <v>8</v>
      </c>
      <c r="S31" s="1504">
        <f t="shared" si="12"/>
        <v>100</v>
      </c>
      <c r="T31" s="1503" t="s">
        <v>8</v>
      </c>
      <c r="U31" s="1504">
        <f t="shared" si="13"/>
        <v>100</v>
      </c>
      <c r="V31" s="1503" t="s">
        <v>8</v>
      </c>
      <c r="W31" s="1504">
        <f t="shared" si="14"/>
        <v>100</v>
      </c>
      <c r="X31" s="1505"/>
      <c r="Y31" s="3513"/>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3" t="s">
        <v>544</v>
      </c>
      <c r="Q32" s="1507">
        <f t="shared" si="11"/>
        <v>111</v>
      </c>
      <c r="R32" s="1508" t="s">
        <v>8</v>
      </c>
      <c r="S32" s="1509">
        <f t="shared" si="12"/>
        <v>100</v>
      </c>
      <c r="T32" s="1508" t="s">
        <v>8</v>
      </c>
      <c r="U32" s="1509">
        <f t="shared" si="13"/>
        <v>100</v>
      </c>
      <c r="V32" s="1508" t="s">
        <v>8</v>
      </c>
      <c r="W32" s="1509">
        <f t="shared" si="14"/>
        <v>100</v>
      </c>
      <c r="X32" s="1502"/>
      <c r="Y32" s="3513"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3"/>
      <c r="Q33" s="1507">
        <f t="shared" si="11"/>
        <v>111</v>
      </c>
      <c r="R33" s="1508" t="s">
        <v>8</v>
      </c>
      <c r="S33" s="1509">
        <f t="shared" si="12"/>
        <v>100</v>
      </c>
      <c r="T33" s="1508" t="s">
        <v>8</v>
      </c>
      <c r="U33" s="1509">
        <f t="shared" si="13"/>
        <v>100</v>
      </c>
      <c r="V33" s="1508" t="s">
        <v>8</v>
      </c>
      <c r="W33" s="1509">
        <f t="shared" si="14"/>
        <v>100</v>
      </c>
      <c r="X33" s="1502"/>
      <c r="Y33" s="3513"/>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3"/>
      <c r="Q34" s="1507">
        <f t="shared" si="11"/>
        <v>111</v>
      </c>
      <c r="R34" s="1508" t="s">
        <v>8</v>
      </c>
      <c r="S34" s="1509">
        <f t="shared" si="12"/>
        <v>100</v>
      </c>
      <c r="T34" s="1508" t="s">
        <v>8</v>
      </c>
      <c r="U34" s="1509">
        <f t="shared" si="13"/>
        <v>100</v>
      </c>
      <c r="V34" s="1508" t="s">
        <v>8</v>
      </c>
      <c r="W34" s="1509">
        <f t="shared" si="14"/>
        <v>100</v>
      </c>
      <c r="X34" s="1502"/>
      <c r="Y34" s="3513"/>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6" t="str">
        <f>A35</f>
        <v>成交单价（元/平方米）</v>
      </c>
      <c r="Q35" s="3476"/>
      <c r="R35" s="3594">
        <f>E35</f>
        <v>0</v>
      </c>
      <c r="S35" s="3594"/>
      <c r="T35" s="3594">
        <f>G35</f>
        <v>0</v>
      </c>
      <c r="U35" s="3594"/>
      <c r="V35" s="3594">
        <f>I35</f>
        <v>0</v>
      </c>
      <c r="W35" s="3594"/>
      <c r="X35" s="1497"/>
      <c r="Y35" s="1516"/>
      <c r="Z35" s="1497"/>
      <c r="AA35" s="1497"/>
      <c r="AB35" s="1497"/>
      <c r="AC35" s="1497"/>
    </row>
    <row r="36" spans="1:29" ht="15.75" thickBot="1">
      <c r="A36" s="609" t="s">
        <v>2740</v>
      </c>
      <c r="B36" s="877"/>
      <c r="C36" s="2477" t="e">
        <f>R37</f>
        <v>#DIV/0!</v>
      </c>
      <c r="D36" s="3015" t="s">
        <v>2972</v>
      </c>
      <c r="E36" s="2478" t="e">
        <f>R36</f>
        <v>#DIV/0!</v>
      </c>
      <c r="F36" s="3016"/>
      <c r="G36" s="2477" t="e">
        <f>T36</f>
        <v>#DIV/0!</v>
      </c>
      <c r="H36" s="3016"/>
      <c r="I36" s="2478" t="e">
        <f>V36</f>
        <v>#DIV/0!</v>
      </c>
      <c r="J36" s="3016"/>
      <c r="K36" s="3024">
        <f>F36+H36+J36</f>
        <v>0</v>
      </c>
      <c r="L36" s="2027"/>
      <c r="M36" s="2028"/>
      <c r="N36" s="2017"/>
      <c r="O36" s="2028"/>
      <c r="P36" s="3476" t="str">
        <f>A36</f>
        <v>比较价格（元/平方米）</v>
      </c>
      <c r="Q36" s="3476"/>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473" t="str">
        <f>A37</f>
        <v>估价对象XX用房的比较价格（楼面单价，元/平方米）</v>
      </c>
      <c r="Q37" s="3474"/>
      <c r="R37" s="3593" t="e">
        <f>IF(F1="售价",ROUND(IF(D36="简单平均",AVERAGE(R36:W36),R36*F36+T36*H36+V36*J36),0),ROUND(IF(D36="简单平均",AVERAGE(R36:V36),R36*F36+T36*H36+V36*J36),1))</f>
        <v>#DIV/0!</v>
      </c>
      <c r="S37" s="3593"/>
      <c r="T37" s="3593"/>
      <c r="U37" s="3593"/>
      <c r="V37" s="3593"/>
      <c r="W37" s="3593"/>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2021-2</v>
      </c>
      <c r="D46" s="2522">
        <f>EDATE(C46,-1)</f>
        <v>44197</v>
      </c>
      <c r="E46" s="2522">
        <f t="shared" ref="E46:O46" si="16">EDATE(D46,-1)</f>
        <v>44166</v>
      </c>
      <c r="F46" s="2522">
        <f t="shared" si="16"/>
        <v>44136</v>
      </c>
      <c r="G46" s="2522">
        <f t="shared" si="16"/>
        <v>44105</v>
      </c>
      <c r="H46" s="2522">
        <f t="shared" si="16"/>
        <v>44075</v>
      </c>
      <c r="I46" s="2522">
        <f t="shared" si="16"/>
        <v>44044</v>
      </c>
      <c r="J46" s="2522">
        <f t="shared" si="16"/>
        <v>44013</v>
      </c>
      <c r="K46" s="2522">
        <f t="shared" si="16"/>
        <v>43983</v>
      </c>
      <c r="L46" s="2522">
        <f t="shared" si="16"/>
        <v>43952</v>
      </c>
      <c r="M46" s="2522">
        <f t="shared" si="16"/>
        <v>43922</v>
      </c>
      <c r="N46" s="2522">
        <f t="shared" si="16"/>
        <v>43891</v>
      </c>
      <c r="O46" s="2522">
        <f t="shared" si="16"/>
        <v>43862</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C7:Q3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3" t="s">
        <v>2292</v>
      </c>
      <c r="D1" s="3604"/>
      <c r="E1" s="3604"/>
      <c r="F1" s="3604"/>
      <c r="G1" s="3604"/>
      <c r="H1" s="3604"/>
      <c r="I1" s="3604"/>
      <c r="J1" s="3604"/>
      <c r="K1" s="3604"/>
      <c r="L1" s="3604"/>
      <c r="M1" s="3604"/>
      <c r="N1" s="3604"/>
      <c r="O1" s="3604"/>
      <c r="P1" s="3604"/>
      <c r="Q1" s="3604"/>
      <c r="R1" s="3604"/>
      <c r="S1" s="3605"/>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0" t="s">
        <v>20</v>
      </c>
      <c r="D22" s="3601"/>
      <c r="E22" s="3601"/>
      <c r="F22" s="3601"/>
      <c r="G22" s="3601"/>
      <c r="H22" s="3601"/>
      <c r="I22" s="3601"/>
      <c r="J22" s="3601"/>
      <c r="K22" s="3601"/>
      <c r="L22" s="3601"/>
      <c r="M22" s="3601"/>
      <c r="N22" s="3601"/>
      <c r="O22" s="3601"/>
      <c r="P22" s="3601"/>
      <c r="Q22" s="3602"/>
      <c r="R22" s="484" t="e">
        <f>ROUND(S22*10000/B22,0)</f>
        <v>#DIV/0!</v>
      </c>
      <c r="S22" s="53">
        <f>SUM(S24:S10000)</f>
        <v>0</v>
      </c>
    </row>
    <row r="23" spans="1:45" s="1543" customFormat="1" ht="24">
      <c r="A23" s="17" t="s">
        <v>824</v>
      </c>
      <c r="B23" s="2862"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44250</v>
      </c>
      <c r="H1" s="2656">
        <f>IF(C1&gt;C13,0,MATCH(C1,C$13:C$104,-1))+IF(SUMIF(C13:C104,C1,D13:D104)=0,13,12)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2</v>
      </c>
      <c r="D2" s="2718" t="s">
        <v>2768</v>
      </c>
      <c r="E2" s="2721">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6" ht="14.25">
      <c r="A17" s="2701"/>
      <c r="B17" s="2702" t="s">
        <v>3003</v>
      </c>
      <c r="C17" s="2711">
        <v>43697</v>
      </c>
      <c r="D17" s="3279">
        <v>4.25</v>
      </c>
      <c r="E17" s="3279">
        <v>4.25</v>
      </c>
      <c r="F17" s="3279">
        <v>4.25</v>
      </c>
      <c r="G17" s="3279">
        <v>4.25</v>
      </c>
      <c r="H17" s="3279">
        <v>4.8499999999999996</v>
      </c>
      <c r="I17" s="3279"/>
      <c r="J17" s="3279"/>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6" ht="15">
      <c r="B18" s="2708"/>
      <c r="C18" s="2709">
        <v>42242</v>
      </c>
      <c r="D18" s="2708">
        <v>4.5999999999999996</v>
      </c>
      <c r="E18" s="2708">
        <v>4.5999999999999996</v>
      </c>
      <c r="F18" s="2708">
        <v>5</v>
      </c>
      <c r="G18" s="2708">
        <v>5</v>
      </c>
      <c r="H18" s="2708">
        <v>5.15</v>
      </c>
      <c r="I18" s="2708">
        <v>2.75</v>
      </c>
      <c r="J18" s="2708">
        <v>3.25</v>
      </c>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1:26">
      <c r="B19" s="2708"/>
      <c r="C19" s="2709">
        <v>42183</v>
      </c>
      <c r="D19" s="2708">
        <v>4.8499999999999996</v>
      </c>
      <c r="E19" s="2708">
        <v>4.8499999999999996</v>
      </c>
      <c r="F19" s="2708">
        <v>5.25</v>
      </c>
      <c r="G19" s="2708">
        <v>5.25</v>
      </c>
      <c r="H19" s="2708">
        <v>5.4</v>
      </c>
      <c r="I19" s="2708">
        <v>3</v>
      </c>
      <c r="J19" s="2708">
        <v>3.5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6">
      <c r="B20" s="2708"/>
      <c r="C20" s="2709">
        <v>42135</v>
      </c>
      <c r="D20" s="2708">
        <v>5.0999999999999996</v>
      </c>
      <c r="E20" s="2708">
        <v>5.0999999999999996</v>
      </c>
      <c r="F20" s="2708">
        <v>5.5</v>
      </c>
      <c r="G20" s="2708">
        <v>5.5</v>
      </c>
      <c r="H20" s="2708">
        <v>5.65</v>
      </c>
      <c r="I20" s="2708">
        <v>3.25</v>
      </c>
      <c r="J20" s="2708">
        <v>3.75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6">
      <c r="B21" s="2708"/>
      <c r="C21" s="2709">
        <v>42064</v>
      </c>
      <c r="D21" s="2708">
        <v>5.35</v>
      </c>
      <c r="E21" s="2708">
        <v>5.35</v>
      </c>
      <c r="F21" s="2708">
        <v>5.75</v>
      </c>
      <c r="G21" s="2708">
        <v>5.75</v>
      </c>
      <c r="H21" s="2708">
        <v>5.9</v>
      </c>
      <c r="I21" s="2708"/>
      <c r="J21" s="2708"/>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6">
      <c r="B22" s="2708"/>
      <c r="C22" s="2709">
        <v>41965</v>
      </c>
      <c r="D22" s="2708">
        <v>5.6</v>
      </c>
      <c r="E22" s="2708">
        <v>5.6</v>
      </c>
      <c r="F22" s="2708">
        <v>6</v>
      </c>
      <c r="G22" s="2708">
        <v>6</v>
      </c>
      <c r="H22" s="2708">
        <v>6.15</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6">
      <c r="B23" s="2708"/>
      <c r="C23" s="2709">
        <v>41096</v>
      </c>
      <c r="D23" s="2708">
        <v>5.6</v>
      </c>
      <c r="E23" s="2708">
        <v>6</v>
      </c>
      <c r="F23" s="2708">
        <v>6.15</v>
      </c>
      <c r="G23" s="2708">
        <v>6.4</v>
      </c>
      <c r="H23" s="2708">
        <v>6.55</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6">
      <c r="B24" s="2708"/>
      <c r="C24" s="2709">
        <v>41068</v>
      </c>
      <c r="D24" s="2708">
        <v>5.85</v>
      </c>
      <c r="E24" s="2708">
        <v>6.31</v>
      </c>
      <c r="F24" s="2708">
        <v>6.4</v>
      </c>
      <c r="G24" s="2708">
        <v>6.65</v>
      </c>
      <c r="H24" s="2708">
        <v>6.8</v>
      </c>
      <c r="I24" s="2708">
        <v>4.2</v>
      </c>
      <c r="J24" s="2708">
        <v>4.7</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6">
      <c r="B25" s="2708"/>
      <c r="C25" s="2709">
        <v>40731</v>
      </c>
      <c r="D25" s="2708">
        <v>6.1</v>
      </c>
      <c r="E25" s="2708">
        <v>6.56</v>
      </c>
      <c r="F25" s="2708">
        <v>6.65</v>
      </c>
      <c r="G25" s="2708">
        <v>6.9</v>
      </c>
      <c r="H25" s="2708">
        <v>7.05</v>
      </c>
      <c r="I25" s="2708">
        <v>4.45</v>
      </c>
      <c r="J25" s="2708">
        <v>4.9000000000000004</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6">
      <c r="B26" s="2708"/>
      <c r="C26" s="2709">
        <v>40639</v>
      </c>
      <c r="D26" s="2708">
        <v>5.85</v>
      </c>
      <c r="E26" s="2708">
        <v>6.31</v>
      </c>
      <c r="F26" s="2708">
        <v>6.4</v>
      </c>
      <c r="G26" s="2708">
        <v>6.65</v>
      </c>
      <c r="H26" s="2708">
        <v>6.8</v>
      </c>
      <c r="I26" s="2708">
        <v>4.2</v>
      </c>
      <c r="J26" s="2708">
        <v>4.7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6">
      <c r="B27" s="2708"/>
      <c r="C27" s="2709">
        <v>40583</v>
      </c>
      <c r="D27" s="2708">
        <v>5.6</v>
      </c>
      <c r="E27" s="2708">
        <v>6.06</v>
      </c>
      <c r="F27" s="2708">
        <v>6.1</v>
      </c>
      <c r="G27" s="2708">
        <v>6.45</v>
      </c>
      <c r="H27" s="2708">
        <v>6.6</v>
      </c>
      <c r="I27" s="2708">
        <v>4</v>
      </c>
      <c r="J27" s="2708">
        <v>4.5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6">
      <c r="B28" s="2708"/>
      <c r="C28" s="2709">
        <v>40538</v>
      </c>
      <c r="D28" s="2708">
        <v>5.35</v>
      </c>
      <c r="E28" s="2708">
        <v>5.81</v>
      </c>
      <c r="F28" s="2708">
        <v>5.85</v>
      </c>
      <c r="G28" s="2708">
        <v>6.22</v>
      </c>
      <c r="H28" s="2708">
        <v>6.4</v>
      </c>
      <c r="I28" s="2708">
        <v>3.75</v>
      </c>
      <c r="J28" s="2708">
        <v>4.3</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6">
      <c r="B29" s="2708"/>
      <c r="C29" s="2709">
        <v>40471</v>
      </c>
      <c r="D29" s="2708">
        <v>5.0999999999999996</v>
      </c>
      <c r="E29" s="2708">
        <v>5.56</v>
      </c>
      <c r="F29" s="2708">
        <v>5.6</v>
      </c>
      <c r="G29" s="2708">
        <v>5.96</v>
      </c>
      <c r="H29" s="2708">
        <v>6.14</v>
      </c>
      <c r="I29" s="2708">
        <v>3.5</v>
      </c>
      <c r="J29" s="2708">
        <v>4.05</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6">
      <c r="B30" s="2708"/>
      <c r="C30" s="2709">
        <v>39805</v>
      </c>
      <c r="D30" s="2708">
        <v>4.8600000000000003</v>
      </c>
      <c r="E30" s="2708">
        <v>5.31</v>
      </c>
      <c r="F30" s="2708">
        <v>5.4</v>
      </c>
      <c r="G30" s="2708">
        <v>5.76</v>
      </c>
      <c r="H30" s="2708">
        <v>5.94</v>
      </c>
      <c r="I30" s="2708">
        <v>3.33</v>
      </c>
      <c r="J30" s="2708">
        <v>3.87</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6">
      <c r="B31" s="2708"/>
      <c r="C31" s="2709">
        <v>39779</v>
      </c>
      <c r="D31" s="2708">
        <v>5.04</v>
      </c>
      <c r="E31" s="2708">
        <v>5.58</v>
      </c>
      <c r="F31" s="2708">
        <v>5.67</v>
      </c>
      <c r="G31" s="2708">
        <v>5.94</v>
      </c>
      <c r="H31" s="2708">
        <v>6.12</v>
      </c>
      <c r="I31" s="2708">
        <v>3.51</v>
      </c>
      <c r="J31" s="2708">
        <v>4.05</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6">
      <c r="B32" s="2708"/>
      <c r="C32" s="2709">
        <v>39751</v>
      </c>
      <c r="D32" s="2708">
        <v>6.03</v>
      </c>
      <c r="E32" s="2708">
        <v>6.66</v>
      </c>
      <c r="F32" s="2708">
        <v>6.75</v>
      </c>
      <c r="G32" s="2708">
        <v>7.02</v>
      </c>
      <c r="H32" s="2708">
        <v>7.2</v>
      </c>
      <c r="I32" s="2708">
        <v>4.05</v>
      </c>
      <c r="J32" s="2708">
        <v>4.59</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11">
        <v>39748</v>
      </c>
      <c r="D33" s="2708">
        <v>6.12</v>
      </c>
      <c r="E33" s="2708">
        <v>6.93</v>
      </c>
      <c r="F33" s="2708">
        <v>7.02</v>
      </c>
      <c r="G33" s="2708">
        <v>7.29</v>
      </c>
      <c r="H33" s="2708">
        <v>7.47</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39730</v>
      </c>
      <c r="D34" s="2708">
        <v>6.12</v>
      </c>
      <c r="E34" s="2708">
        <v>6.93</v>
      </c>
      <c r="F34" s="2708">
        <v>7.02</v>
      </c>
      <c r="G34" s="2708">
        <v>7.29</v>
      </c>
      <c r="H34" s="2708">
        <v>7.47</v>
      </c>
      <c r="I34" s="2708">
        <v>4.32</v>
      </c>
      <c r="J34" s="2708">
        <v>4.8600000000000003</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39707</v>
      </c>
      <c r="D35" s="2708">
        <v>6.21</v>
      </c>
      <c r="E35" s="2708">
        <v>7.2</v>
      </c>
      <c r="F35" s="2708">
        <v>7.29</v>
      </c>
      <c r="G35" s="2708">
        <v>7.56</v>
      </c>
      <c r="H35" s="2708">
        <v>7.74</v>
      </c>
      <c r="I35" s="2708">
        <v>4.59</v>
      </c>
      <c r="J35" s="2708">
        <v>5.13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39437</v>
      </c>
      <c r="D36" s="2708">
        <v>6.57</v>
      </c>
      <c r="E36" s="2708">
        <v>7.47</v>
      </c>
      <c r="F36" s="2708">
        <v>7.56</v>
      </c>
      <c r="G36" s="2708">
        <v>7.74</v>
      </c>
      <c r="H36" s="2708">
        <v>7.83</v>
      </c>
      <c r="I36" s="2708">
        <v>4.7699999999999996</v>
      </c>
      <c r="J36" s="2708">
        <v>5.22</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39340</v>
      </c>
      <c r="D37" s="2708">
        <v>6.48</v>
      </c>
      <c r="E37" s="2708">
        <v>7.29</v>
      </c>
      <c r="F37" s="2708">
        <v>7.47</v>
      </c>
      <c r="G37" s="2708">
        <v>7.65</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39316</v>
      </c>
      <c r="D38" s="2708">
        <v>6.21</v>
      </c>
      <c r="E38" s="2708">
        <v>7.02</v>
      </c>
      <c r="F38" s="2708">
        <v>7.2</v>
      </c>
      <c r="G38" s="2708">
        <v>7.38</v>
      </c>
      <c r="H38" s="2708">
        <v>7.56</v>
      </c>
      <c r="I38" s="2708">
        <v>4.59</v>
      </c>
      <c r="J38" s="2708">
        <v>5.04</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39284</v>
      </c>
      <c r="D39" s="2708">
        <v>6.03</v>
      </c>
      <c r="E39" s="2708">
        <v>6.84</v>
      </c>
      <c r="F39" s="2708">
        <v>7.02</v>
      </c>
      <c r="G39" s="2708">
        <v>7.2</v>
      </c>
      <c r="H39" s="2708">
        <v>7.38</v>
      </c>
      <c r="I39" s="2708">
        <v>4.5</v>
      </c>
      <c r="J39" s="2708">
        <v>4.95</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39221</v>
      </c>
      <c r="D40" s="2708">
        <v>5.85</v>
      </c>
      <c r="E40" s="2708">
        <v>6.57</v>
      </c>
      <c r="F40" s="2708">
        <v>6.75</v>
      </c>
      <c r="G40" s="2708">
        <v>6.93</v>
      </c>
      <c r="H40" s="2708">
        <v>7.2</v>
      </c>
      <c r="I40" s="2708">
        <v>4.41</v>
      </c>
      <c r="J40" s="2708">
        <v>4.8600000000000003</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39159</v>
      </c>
      <c r="D41" s="2708">
        <v>5.67</v>
      </c>
      <c r="E41" s="2708">
        <v>6.39</v>
      </c>
      <c r="F41" s="2708">
        <v>6.57</v>
      </c>
      <c r="G41" s="2708">
        <v>6.75</v>
      </c>
      <c r="H41" s="2708">
        <v>7.11</v>
      </c>
      <c r="I41" s="2708">
        <v>4.32</v>
      </c>
      <c r="J41" s="2708">
        <v>4.7699999999999996</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38948</v>
      </c>
      <c r="D42" s="2708">
        <v>5.58</v>
      </c>
      <c r="E42" s="2708">
        <v>6.12</v>
      </c>
      <c r="F42" s="2708">
        <v>6.3</v>
      </c>
      <c r="G42" s="2708">
        <v>6.48</v>
      </c>
      <c r="H42" s="2708">
        <v>6.84</v>
      </c>
      <c r="I42" s="2708">
        <v>4.1399999999999997</v>
      </c>
      <c r="J42" s="2708">
        <v>4.59</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38835</v>
      </c>
      <c r="D43" s="2708">
        <v>5.4</v>
      </c>
      <c r="E43" s="2708">
        <v>5.85</v>
      </c>
      <c r="F43" s="2708">
        <v>6.03</v>
      </c>
      <c r="G43" s="2708">
        <v>6.12</v>
      </c>
      <c r="H43" s="2708">
        <v>6.39</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38428</v>
      </c>
      <c r="D44" s="2708">
        <v>5.22</v>
      </c>
      <c r="E44" s="2708">
        <v>5.58</v>
      </c>
      <c r="F44" s="2708">
        <v>5.76</v>
      </c>
      <c r="G44" s="2708">
        <v>5.85</v>
      </c>
      <c r="H44" s="2708">
        <v>6.12</v>
      </c>
      <c r="I44" s="2708">
        <v>3.96</v>
      </c>
      <c r="J44" s="2708">
        <v>4.41</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38289</v>
      </c>
      <c r="D45" s="2708">
        <v>5.22</v>
      </c>
      <c r="E45" s="2708">
        <v>5.58</v>
      </c>
      <c r="F45" s="2708">
        <v>5.76</v>
      </c>
      <c r="G45" s="2708">
        <v>5.85</v>
      </c>
      <c r="H45" s="2708">
        <v>6.12</v>
      </c>
      <c r="I45" s="2708">
        <v>3.78</v>
      </c>
      <c r="J45" s="2708">
        <v>4.2300000000000004</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37308</v>
      </c>
      <c r="D46" s="2708">
        <v>5.04</v>
      </c>
      <c r="E46" s="2708">
        <v>5.31</v>
      </c>
      <c r="F46" s="2708">
        <v>5.49</v>
      </c>
      <c r="G46" s="2708">
        <v>5.58</v>
      </c>
      <c r="H46" s="2708">
        <v>5.76</v>
      </c>
      <c r="I46" s="2708">
        <v>3.6</v>
      </c>
      <c r="J46" s="2708">
        <v>4.05</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36321</v>
      </c>
      <c r="D47" s="2708">
        <v>5.58</v>
      </c>
      <c r="E47" s="2708">
        <v>5.85</v>
      </c>
      <c r="F47" s="2708">
        <v>5.94</v>
      </c>
      <c r="G47" s="2708">
        <v>6.03</v>
      </c>
      <c r="H47" s="2708">
        <v>6.21</v>
      </c>
      <c r="I47" s="2708">
        <v>4.1399999999999997</v>
      </c>
      <c r="J47" s="2708">
        <v>4.59</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36136</v>
      </c>
      <c r="D48" s="2708">
        <v>6.12</v>
      </c>
      <c r="E48" s="2708">
        <v>6.39</v>
      </c>
      <c r="F48" s="2708">
        <v>6.66</v>
      </c>
      <c r="G48" s="2708">
        <v>7.2</v>
      </c>
      <c r="H48" s="2708">
        <v>7.56</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35977</v>
      </c>
      <c r="D49" s="2708">
        <v>6.57</v>
      </c>
      <c r="E49" s="2708">
        <v>6.93</v>
      </c>
      <c r="F49" s="2708">
        <v>7.11</v>
      </c>
      <c r="G49" s="2708">
        <v>7.65</v>
      </c>
      <c r="H49" s="2708">
        <v>8.01</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35879</v>
      </c>
      <c r="D50" s="2708">
        <v>7.02</v>
      </c>
      <c r="E50" s="2708">
        <v>7.92</v>
      </c>
      <c r="F50" s="2708">
        <v>9</v>
      </c>
      <c r="G50" s="2708">
        <v>9.7200000000000006</v>
      </c>
      <c r="H50" s="2708">
        <v>10.35</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35726</v>
      </c>
      <c r="D51" s="2708">
        <v>7.65</v>
      </c>
      <c r="E51" s="2708">
        <v>8.64</v>
      </c>
      <c r="F51" s="2708">
        <v>9.36</v>
      </c>
      <c r="G51" s="2708">
        <v>9.9</v>
      </c>
      <c r="H51" s="2708">
        <v>10.53</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35300</v>
      </c>
      <c r="D52" s="2708">
        <v>9.18</v>
      </c>
      <c r="E52" s="2708">
        <v>10.08</v>
      </c>
      <c r="F52" s="2708">
        <v>10.98</v>
      </c>
      <c r="G52" s="2708">
        <v>11.7</v>
      </c>
      <c r="H52" s="2708">
        <v>12.42</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35186</v>
      </c>
      <c r="D53" s="2708">
        <v>9.7200000000000006</v>
      </c>
      <c r="E53" s="2708">
        <v>10.98</v>
      </c>
      <c r="F53" s="2708">
        <v>13.14</v>
      </c>
      <c r="G53" s="2708">
        <v>14.94</v>
      </c>
      <c r="H53" s="2708">
        <v>15.12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34881</v>
      </c>
      <c r="D54" s="2708">
        <v>10.08</v>
      </c>
      <c r="E54" s="2708">
        <v>12.06</v>
      </c>
      <c r="F54" s="2708">
        <v>13.5</v>
      </c>
      <c r="G54" s="2708">
        <v>15.12</v>
      </c>
      <c r="H54" s="2708">
        <v>15.3</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34700</v>
      </c>
      <c r="D55" s="2708">
        <v>9</v>
      </c>
      <c r="E55" s="2708">
        <v>10.98</v>
      </c>
      <c r="F55" s="2708">
        <v>12.96</v>
      </c>
      <c r="G55" s="2708">
        <v>14.58</v>
      </c>
      <c r="H55" s="2708">
        <v>14.76</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34161</v>
      </c>
      <c r="D56" s="2708">
        <v>9</v>
      </c>
      <c r="E56" s="2708">
        <v>10.98</v>
      </c>
      <c r="F56" s="2708">
        <v>12.24</v>
      </c>
      <c r="G56" s="2708">
        <v>13.86</v>
      </c>
      <c r="H56" s="2708">
        <v>14.04</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34104</v>
      </c>
      <c r="D57" s="2708">
        <v>8.82</v>
      </c>
      <c r="E57" s="2708">
        <v>9.36</v>
      </c>
      <c r="F57" s="2708">
        <v>10.8</v>
      </c>
      <c r="G57" s="2708">
        <v>12.06</v>
      </c>
      <c r="H57" s="2708">
        <v>12.24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33349</v>
      </c>
      <c r="D58" s="2708">
        <v>8.1</v>
      </c>
      <c r="E58" s="2708">
        <v>8.64</v>
      </c>
      <c r="F58" s="2708">
        <v>9</v>
      </c>
      <c r="G58" s="2708">
        <v>9.5399999999999991</v>
      </c>
      <c r="H58" s="2708">
        <v>9.7200000000000006</v>
      </c>
      <c r="I58" s="2708">
        <v>0</v>
      </c>
      <c r="J58" s="2708">
        <v>0</v>
      </c>
    </row>
    <row r="59" spans="2:26">
      <c r="B59" s="2708"/>
      <c r="C59" s="2709">
        <v>33318</v>
      </c>
      <c r="D59" s="2708">
        <v>9</v>
      </c>
      <c r="E59" s="2708">
        <v>10.08</v>
      </c>
      <c r="F59" s="2708">
        <v>10.8</v>
      </c>
      <c r="G59" s="2708">
        <v>11.52</v>
      </c>
      <c r="H59" s="2708">
        <v>11.88</v>
      </c>
      <c r="I59" s="2708" t="s">
        <v>2797</v>
      </c>
      <c r="J59" s="2708" t="s">
        <v>2797</v>
      </c>
    </row>
    <row r="60" spans="2:26">
      <c r="B60" s="2708"/>
      <c r="C60" s="2709">
        <v>33106</v>
      </c>
      <c r="D60" s="2708">
        <v>8.64</v>
      </c>
      <c r="E60" s="2708">
        <v>9.36</v>
      </c>
      <c r="F60" s="2708">
        <v>10.08</v>
      </c>
      <c r="G60" s="2708">
        <v>10.8</v>
      </c>
      <c r="H60" s="2708">
        <v>11.16</v>
      </c>
      <c r="I60" s="2708">
        <v>0</v>
      </c>
      <c r="J60" s="2708">
        <v>0</v>
      </c>
    </row>
    <row r="61" spans="2:26">
      <c r="B61" s="2708"/>
      <c r="C61" s="2709">
        <v>32540</v>
      </c>
      <c r="D61" s="2708">
        <v>11.34</v>
      </c>
      <c r="E61" s="2708">
        <v>11.34</v>
      </c>
      <c r="F61" s="2708">
        <v>12.78</v>
      </c>
      <c r="G61" s="2708">
        <v>14.4</v>
      </c>
      <c r="H61" s="2708">
        <v>19.260000000000002</v>
      </c>
      <c r="I61" s="2708">
        <v>0</v>
      </c>
      <c r="J61" s="2708">
        <v>0</v>
      </c>
    </row>
    <row r="62" spans="2:26">
      <c r="B62" s="2708"/>
      <c r="C62" s="2709"/>
      <c r="D62" s="2708"/>
      <c r="E62" s="2708"/>
      <c r="F62" s="2708"/>
      <c r="G62" s="2708"/>
      <c r="H62" s="2708"/>
      <c r="I62" s="2708"/>
      <c r="J62" s="2708"/>
    </row>
    <row r="63" spans="2:26">
      <c r="B63" s="2712"/>
      <c r="C63" s="2713"/>
      <c r="D63" s="2712"/>
      <c r="E63" s="2712"/>
      <c r="F63" s="2712"/>
      <c r="G63" s="2712"/>
      <c r="H63" s="2712"/>
      <c r="I63" s="2712"/>
      <c r="J63" s="2712"/>
    </row>
    <row r="64" spans="2:26">
      <c r="B64" s="2712"/>
      <c r="C64" s="2713"/>
      <c r="D64" s="2712"/>
      <c r="E64" s="2712"/>
      <c r="F64" s="2712"/>
      <c r="G64" s="2712"/>
      <c r="H64" s="2712"/>
      <c r="I64" s="2712"/>
      <c r="J64" s="2712"/>
    </row>
    <row r="65" spans="2:10">
      <c r="B65" s="2712"/>
      <c r="C65" s="2713"/>
      <c r="D65" s="2712"/>
      <c r="E65" s="2712"/>
      <c r="F65" s="2712"/>
      <c r="G65" s="2712"/>
      <c r="H65" s="2712"/>
      <c r="I65" s="2712"/>
      <c r="J65" s="2712"/>
    </row>
    <row r="66" spans="2:10">
      <c r="B66" s="2659"/>
      <c r="C66" s="2659"/>
      <c r="D66" s="2659"/>
      <c r="E66" s="2659"/>
      <c r="F66" s="2659"/>
      <c r="G66" s="2659"/>
      <c r="H66" s="2659"/>
      <c r="I66" s="2659"/>
      <c r="J66" s="2659"/>
    </row>
    <row r="67" spans="2:10">
      <c r="B67" s="2659"/>
      <c r="C67" s="2659"/>
      <c r="D67" s="2659"/>
      <c r="E67" s="2659"/>
      <c r="F67" s="2659"/>
      <c r="G67" s="2659"/>
      <c r="H67" s="2659"/>
      <c r="I67" s="2659"/>
      <c r="J67"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1" t="s">
        <v>2027</v>
      </c>
      <c r="B1" s="3301"/>
      <c r="C1" s="3301"/>
      <c r="D1" s="3301"/>
      <c r="E1" s="3301"/>
      <c r="F1" s="3301"/>
      <c r="G1" s="3301"/>
      <c r="H1" s="3301"/>
      <c r="I1" s="3301"/>
      <c r="J1" s="3301"/>
      <c r="K1" s="3301"/>
      <c r="L1" s="3301"/>
      <c r="M1" s="3301"/>
      <c r="N1" s="3301"/>
      <c r="O1" s="3301"/>
      <c r="P1" s="3301"/>
      <c r="Q1" s="3301"/>
      <c r="R1" s="3301"/>
    </row>
    <row r="2" spans="1:18">
      <c r="A2" s="1723" t="s">
        <v>2029</v>
      </c>
      <c r="B2" s="1723"/>
      <c r="C2" s="1723"/>
      <c r="D2" s="1723"/>
      <c r="E2" s="1723"/>
      <c r="F2" s="1723"/>
      <c r="G2" s="1723"/>
      <c r="H2" s="1723"/>
      <c r="I2" s="1724"/>
      <c r="J2" s="1724"/>
      <c r="K2" s="1725" t="str">
        <f>"估价期日："&amp;TEXT(项目基本情况!D3,"yyyy年m月d日;;")</f>
        <v>估价期日：2021年2月23日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2" t="s">
        <v>2018</v>
      </c>
      <c r="B3" s="3302" t="s">
        <v>2711</v>
      </c>
      <c r="C3" s="3303" t="s">
        <v>2019</v>
      </c>
      <c r="D3" s="3302" t="s">
        <v>2715</v>
      </c>
      <c r="E3" s="3297" t="s">
        <v>2020</v>
      </c>
      <c r="F3" s="3297"/>
      <c r="G3" s="3297"/>
      <c r="H3" s="3297" t="s">
        <v>2021</v>
      </c>
      <c r="I3" s="3297"/>
      <c r="J3" s="3297"/>
      <c r="K3" s="3303" t="s">
        <v>2022</v>
      </c>
      <c r="L3" s="3303" t="s">
        <v>2023</v>
      </c>
      <c r="M3" s="3302" t="s">
        <v>2712</v>
      </c>
      <c r="N3" s="3304" t="str">
        <f>"（分摊）"&amp;项目基本情况!B16&amp;"国有建设用地使用权面积/㎡"</f>
        <v>（分摊）出让国有建设用地使用权面积/㎡</v>
      </c>
      <c r="O3" s="3302" t="s">
        <v>2052</v>
      </c>
      <c r="P3" s="3303" t="s">
        <v>2032</v>
      </c>
      <c r="Q3" s="3303" t="s">
        <v>2053</v>
      </c>
      <c r="R3" s="3303" t="s">
        <v>2024</v>
      </c>
    </row>
    <row r="4" spans="1:18" ht="36.75" customHeight="1">
      <c r="A4" s="3302"/>
      <c r="B4" s="3302"/>
      <c r="C4" s="3303"/>
      <c r="D4" s="3302"/>
      <c r="E4" s="2492" t="s">
        <v>2031</v>
      </c>
      <c r="F4" s="2492" t="s">
        <v>2724</v>
      </c>
      <c r="G4" s="2492" t="s">
        <v>2025</v>
      </c>
      <c r="H4" s="2492" t="s">
        <v>2026</v>
      </c>
      <c r="I4" s="2492" t="s">
        <v>2725</v>
      </c>
      <c r="J4" s="2492" t="s">
        <v>2025</v>
      </c>
      <c r="K4" s="3303"/>
      <c r="L4" s="3303"/>
      <c r="M4" s="3302"/>
      <c r="N4" s="3304"/>
      <c r="O4" s="3302"/>
      <c r="P4" s="3303"/>
      <c r="Q4" s="3303"/>
      <c r="R4" s="3303"/>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红线外六通、宗地红线内</v>
      </c>
      <c r="L5" s="1726" t="str">
        <f>"红线外"&amp;项目基本情况!T40&amp;"、宗地红线内场地"&amp;项目基本情况!D36</f>
        <v>红线外六通、宗地红线内场地</v>
      </c>
      <c r="M5" s="1726">
        <f>IF(项目基本情况!B16="出让",项目基本情况!D20,"——")</f>
        <v>0</v>
      </c>
      <c r="N5" s="1726">
        <f>项目基本情况!C22</f>
        <v>55043.06</v>
      </c>
      <c r="O5" s="1726">
        <f>项目基本情况!C21</f>
        <v>219676.65000000002</v>
      </c>
      <c r="P5" s="1726">
        <f ca="1">结果表!E42</f>
        <v>1599</v>
      </c>
      <c r="Q5" s="1726">
        <f ca="1">结果表!D42</f>
        <v>401</v>
      </c>
      <c r="R5" s="1727">
        <f ca="1">结果表!C42</f>
        <v>8800</v>
      </c>
    </row>
    <row r="6" spans="1:18">
      <c r="A6" s="3298" t="str">
        <f>IF(项目基本情况!B9="市场价格","——","抵押价格")</f>
        <v>抵押价格</v>
      </c>
      <c r="B6" s="3299"/>
      <c r="C6" s="3299"/>
      <c r="D6" s="3299"/>
      <c r="E6" s="3299"/>
      <c r="F6" s="3299"/>
      <c r="G6" s="3299"/>
      <c r="H6" s="3299"/>
      <c r="I6" s="3299"/>
      <c r="J6" s="3299"/>
      <c r="K6" s="3299"/>
      <c r="L6" s="3299"/>
      <c r="M6" s="3299"/>
      <c r="N6" s="3299"/>
      <c r="O6" s="3299"/>
      <c r="P6" s="3299"/>
      <c r="Q6" s="3300"/>
      <c r="R6" s="1728">
        <f ca="1">结果表!O39</f>
        <v>8800</v>
      </c>
    </row>
    <row r="7" spans="1:18">
      <c r="A7" s="3298" t="str">
        <f>IF(项目基本情况!B9="市场价格","——",IF(项目基本情况!E8="已注销及未注销","抵押担保权已注销时的抵押价格","——"))</f>
        <v>——</v>
      </c>
      <c r="B7" s="3299"/>
      <c r="C7" s="3299"/>
      <c r="D7" s="3299"/>
      <c r="E7" s="3299"/>
      <c r="F7" s="3299"/>
      <c r="G7" s="3299"/>
      <c r="H7" s="3299"/>
      <c r="I7" s="3299"/>
      <c r="J7" s="3299"/>
      <c r="K7" s="3299"/>
      <c r="L7" s="3299"/>
      <c r="M7" s="3299"/>
      <c r="N7" s="3299"/>
      <c r="O7" s="3299"/>
      <c r="P7" s="3299"/>
      <c r="Q7" s="3300"/>
      <c r="R7" s="1728" t="str">
        <f>结果表!O40</f>
        <v>——</v>
      </c>
    </row>
    <row r="8" spans="1:18">
      <c r="A8" s="3298" t="str">
        <f>IF(项目基本情况!B9="市场价格","——",项目基本情况!E9)</f>
        <v>——</v>
      </c>
      <c r="B8" s="3299"/>
      <c r="C8" s="3299"/>
      <c r="D8" s="3299"/>
      <c r="E8" s="3299"/>
      <c r="F8" s="3299"/>
      <c r="G8" s="3299"/>
      <c r="H8" s="3299"/>
      <c r="I8" s="3299"/>
      <c r="J8" s="3299"/>
      <c r="K8" s="3299"/>
      <c r="L8" s="3299"/>
      <c r="M8" s="3299"/>
      <c r="N8" s="3299"/>
      <c r="O8" s="3299"/>
      <c r="P8" s="3299"/>
      <c r="Q8" s="3300"/>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06" t="s">
        <v>2054</v>
      </c>
      <c r="B1" s="3306"/>
      <c r="C1" s="3306"/>
      <c r="D1" s="3306"/>
    </row>
    <row r="2" spans="1:4" ht="47.25" customHeight="1">
      <c r="A2" s="3307" t="str">
        <f>"1.权利限制："&amp;项目基本情况!L24&amp;"未设定租赁等其他他项权利。"</f>
        <v>1.权利限制：根据估价对象《不动产权证书》原件、《国有土地使用权》复印件，截至估价期日，估价对象抵押权未见登记。未设定租赁等其他他项权利。</v>
      </c>
      <c r="B2" s="3307"/>
      <c r="C2" s="3307"/>
      <c r="D2" s="3307"/>
    </row>
    <row r="3" spans="1:4" ht="48" customHeight="1">
      <c r="A3" s="3306"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306"/>
      <c r="C3" s="3306"/>
      <c r="D3" s="3306"/>
    </row>
    <row r="4" spans="1:4" ht="36.75" customHeight="1">
      <c r="A4" s="3306" t="str">
        <f>"3.估价规划限制条件：详见"&amp;项目基本情况!E21&amp;"。"</f>
        <v>3.估价规划限制条件：详见《建设工程规划许可证》[]、《出让合同》[]。</v>
      </c>
      <c r="B4" s="3306"/>
      <c r="C4" s="3306"/>
      <c r="D4" s="3306"/>
    </row>
    <row r="5" spans="1:4">
      <c r="A5" s="3305" t="s">
        <v>2055</v>
      </c>
      <c r="B5" s="3305"/>
      <c r="C5" s="3305"/>
      <c r="D5" s="3305"/>
    </row>
    <row r="6" spans="1:4">
      <c r="A6" s="3306" t="s">
        <v>2033</v>
      </c>
      <c r="B6" s="3306"/>
      <c r="C6" s="3306"/>
      <c r="D6" s="3306"/>
    </row>
    <row r="7" spans="1:4" ht="33" customHeight="1">
      <c r="A7" s="3306" t="s">
        <v>2555</v>
      </c>
      <c r="B7" s="3306"/>
      <c r="C7" s="3306"/>
      <c r="D7" s="3306"/>
    </row>
    <row r="8" spans="1:4" ht="32.25" customHeight="1">
      <c r="A8" s="33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6"/>
      <c r="C8" s="3306"/>
      <c r="D8" s="3306"/>
    </row>
    <row r="9" spans="1:4" ht="33.75" customHeight="1">
      <c r="A9" s="33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6"/>
      <c r="C9" s="3306"/>
      <c r="D9" s="3306"/>
    </row>
    <row r="10" spans="1:4">
      <c r="A10" s="3306" t="str">
        <f>IF(项目基本情况!B8="抵押","4.估价师所知悉的法定优先受偿款情况为：","——")</f>
        <v>4.估价师所知悉的法定优先受偿款情况为：</v>
      </c>
      <c r="B10" s="3306"/>
      <c r="C10" s="3306"/>
      <c r="D10" s="3306"/>
    </row>
    <row r="11" spans="1:4" ht="37.5" customHeight="1">
      <c r="A11" s="33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8"/>
      <c r="C11" s="3308"/>
      <c r="D11" s="3308"/>
    </row>
    <row r="12" spans="1:4" ht="168" customHeight="1">
      <c r="A12" s="3305" t="s">
        <v>2057</v>
      </c>
      <c r="B12" s="3305"/>
      <c r="C12" s="3305"/>
      <c r="D12" s="3305"/>
    </row>
    <row r="13" spans="1:4">
      <c r="A13" s="3309" t="s">
        <v>2726</v>
      </c>
      <c r="B13" s="3309"/>
      <c r="C13" s="3309"/>
      <c r="D13" s="3309"/>
    </row>
    <row r="14" spans="1:4">
      <c r="A14" s="3308" t="str">
        <f>IF(项目基本情况!B8="抵押","综上，"&amp;结果表!K47,"——")</f>
        <v>综上，本次评估不存在估价师知悉的法定优先受偿款</v>
      </c>
      <c r="B14" s="3308"/>
      <c r="C14" s="3308"/>
      <c r="D14" s="3308"/>
    </row>
    <row r="15" spans="1:4" ht="58.5" customHeight="1">
      <c r="A15" s="33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6"/>
      <c r="C15" s="3306"/>
      <c r="D15" s="3306"/>
    </row>
    <row r="16" spans="1:4" ht="70.5" customHeight="1">
      <c r="A16" s="33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6"/>
      <c r="C16" s="3306"/>
      <c r="D16" s="3306"/>
    </row>
    <row r="17" spans="1:4">
      <c r="A17" s="3306" t="s">
        <v>2682</v>
      </c>
      <c r="B17" s="3306"/>
      <c r="C17" s="3306"/>
      <c r="D17" s="3306"/>
    </row>
    <row r="18" spans="1:4">
      <c r="A18" s="3306" t="s">
        <v>2674</v>
      </c>
      <c r="B18" s="3306"/>
      <c r="C18" s="3306"/>
      <c r="D18" s="3306"/>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06" t="s">
        <v>2679</v>
      </c>
      <c r="B23" s="3306"/>
      <c r="C23" s="3306"/>
      <c r="D23" s="3306"/>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7" t="s">
        <v>53</v>
      </c>
      <c r="B15" s="3318" t="s">
        <v>838</v>
      </c>
      <c r="C15" s="3314"/>
    </row>
    <row r="16" spans="1:7" ht="14.25">
      <c r="A16" s="3317"/>
      <c r="B16" s="3315" t="s">
        <v>54</v>
      </c>
      <c r="C16" s="1155" t="s">
        <v>53</v>
      </c>
    </row>
    <row r="17" spans="1:3" ht="14.25">
      <c r="A17" s="3317"/>
      <c r="B17" s="3315"/>
      <c r="C17" s="1155" t="s">
        <v>55</v>
      </c>
    </row>
    <row r="18" spans="1:3" ht="14.25">
      <c r="A18" s="3317"/>
      <c r="B18" s="3315"/>
      <c r="C18" s="1155" t="s">
        <v>56</v>
      </c>
    </row>
    <row r="19" spans="1:3" ht="14.25">
      <c r="A19" s="3317"/>
      <c r="B19" s="3313" t="s">
        <v>57</v>
      </c>
      <c r="C19" s="3314"/>
    </row>
    <row r="20" spans="1:3" ht="14.25">
      <c r="A20" s="1156" t="s">
        <v>58</v>
      </c>
      <c r="B20" s="1157"/>
      <c r="C20" s="1158"/>
    </row>
    <row r="21" spans="1:3" ht="14.25">
      <c r="A21" s="3316" t="s">
        <v>59</v>
      </c>
      <c r="B21" s="3313" t="s">
        <v>60</v>
      </c>
      <c r="C21" s="3314"/>
    </row>
    <row r="22" spans="1:3" ht="14.25">
      <c r="A22" s="3316"/>
      <c r="B22" s="3313" t="s">
        <v>61</v>
      </c>
      <c r="C22" s="3314"/>
    </row>
    <row r="23" spans="1:3" ht="14.25">
      <c r="A23" s="3316"/>
      <c r="B23" s="3313" t="s">
        <v>62</v>
      </c>
      <c r="C23" s="3314"/>
    </row>
    <row r="24" spans="1:3" ht="14.25">
      <c r="A24" s="3316"/>
      <c r="B24" s="3319" t="s">
        <v>63</v>
      </c>
      <c r="C24" s="1159" t="s">
        <v>829</v>
      </c>
    </row>
    <row r="25" spans="1:3" ht="14.25">
      <c r="A25" s="3316"/>
      <c r="B25" s="3320"/>
      <c r="C25" s="1159" t="s">
        <v>830</v>
      </c>
    </row>
    <row r="26" spans="1:3" ht="14.25">
      <c r="A26" s="3316"/>
      <c r="B26" s="3320"/>
      <c r="C26" s="1159" t="s">
        <v>831</v>
      </c>
    </row>
    <row r="27" spans="1:3" ht="14.25">
      <c r="A27" s="3316"/>
      <c r="B27" s="3320"/>
      <c r="C27" s="1159" t="s">
        <v>832</v>
      </c>
    </row>
    <row r="28" spans="1:3" ht="14.25">
      <c r="A28" s="3316"/>
      <c r="B28" s="3320"/>
      <c r="C28" s="1159" t="s">
        <v>833</v>
      </c>
    </row>
    <row r="29" spans="1:3" ht="14.25">
      <c r="A29" s="3316"/>
      <c r="B29" s="3320"/>
      <c r="C29" s="1159" t="s">
        <v>834</v>
      </c>
    </row>
    <row r="30" spans="1:3" ht="14.25">
      <c r="A30" s="3316"/>
      <c r="B30" s="3320"/>
      <c r="C30" s="1159" t="s">
        <v>835</v>
      </c>
    </row>
    <row r="31" spans="1:3" ht="14.25">
      <c r="A31" s="3316"/>
      <c r="B31" s="3320"/>
      <c r="C31" s="1159" t="s">
        <v>836</v>
      </c>
    </row>
    <row r="32" spans="1:3" ht="14.25">
      <c r="A32" s="3316"/>
      <c r="B32" s="3320"/>
      <c r="C32" s="1159" t="s">
        <v>1637</v>
      </c>
    </row>
    <row r="33" spans="1:3" ht="14.25">
      <c r="A33" s="3316"/>
      <c r="B33" s="3310" t="s">
        <v>1643</v>
      </c>
      <c r="C33" s="1159" t="s">
        <v>1638</v>
      </c>
    </row>
    <row r="34" spans="1:3" ht="14.25">
      <c r="A34" s="3316"/>
      <c r="B34" s="3311"/>
      <c r="C34" s="1164" t="s">
        <v>1639</v>
      </c>
    </row>
    <row r="35" spans="1:3" ht="14.25">
      <c r="A35" s="3316"/>
      <c r="B35" s="3311"/>
      <c r="C35" s="1165" t="s">
        <v>1640</v>
      </c>
    </row>
    <row r="36" spans="1:3" ht="14.25">
      <c r="A36" s="3316"/>
      <c r="B36" s="3311"/>
      <c r="C36" s="1165" t="s">
        <v>1641</v>
      </c>
    </row>
    <row r="37" spans="1:3" ht="14.25">
      <c r="A37" s="3316"/>
      <c r="B37" s="3312"/>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5" sqref="D25"/>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44258</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2945</v>
      </c>
      <c r="B12" s="3031">
        <f ca="1">IF(C12&lt;B2,"已过期",1120040230)</f>
        <v>1120040230</v>
      </c>
      <c r="C12" s="3034">
        <v>44864</v>
      </c>
      <c r="D12" s="3042" t="s">
        <v>2946</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2960</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24" t="s">
        <v>1915</v>
      </c>
      <c r="B17" s="3325"/>
      <c r="C17" s="3325"/>
      <c r="D17" s="3325"/>
      <c r="E17" s="3325"/>
      <c r="F17" s="3325"/>
      <c r="G17" s="3035"/>
    </row>
    <row r="18" spans="1:7" ht="20.25" customHeight="1">
      <c r="A18" s="3321" t="s">
        <v>1916</v>
      </c>
      <c r="B18" s="3321"/>
      <c r="C18" s="3322"/>
      <c r="D18" s="3323" t="s">
        <v>1917</v>
      </c>
      <c r="E18" s="3321"/>
      <c r="F18" s="3321"/>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2959</v>
      </c>
      <c r="F21" s="3039">
        <v>44012</v>
      </c>
      <c r="G21" s="3027"/>
    </row>
    <row r="22" spans="1:7" ht="20.25" customHeight="1">
      <c r="A22" s="3026"/>
      <c r="B22" s="3026"/>
      <c r="C22" s="3040"/>
      <c r="D22" s="3048"/>
      <c r="E22" s="3049"/>
      <c r="F22" s="3041" t="s">
        <v>2973</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2921</v>
      </c>
      <c r="C18" s="1493"/>
    </row>
    <row r="19" spans="1:3">
      <c r="A19" s="8" t="s">
        <v>120</v>
      </c>
      <c r="B19" s="2793" t="s">
        <v>2928</v>
      </c>
      <c r="C19" s="1493"/>
    </row>
    <row r="20" spans="1:3">
      <c r="A20" s="8" t="s">
        <v>121</v>
      </c>
      <c r="B20" s="2793" t="s">
        <v>2974</v>
      </c>
      <c r="C20" s="1493"/>
    </row>
    <row r="21" spans="1:3">
      <c r="A21" s="8" t="s">
        <v>122</v>
      </c>
      <c r="B21" s="8" t="s">
        <v>3082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柳州东城安居置业开发有限公司拟使用广西省柳州市柳东新区智和路以北L-14-34地块A地块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26"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23日，在规划利用条件下、设定土地开发程度为红线外“六通”、宗地内场地，设定用途为，剩余土地使用年限为的出让国有建设用地使用权价格。</v>
      </c>
      <c r="D53" s="1686"/>
      <c r="E53" s="1686"/>
    </row>
    <row r="54" spans="1:5">
      <c r="A54" s="3326"/>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26"/>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26"/>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26"/>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2021-03-03T08:51:19Z</dcterms:modified>
</cp:coreProperties>
</file>