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8" activeTab="3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租约" sheetId="78" r:id="rId17"/>
    <sheet name="估价对象房地状况" sheetId="20" r:id="rId18"/>
    <sheet name="系统读取表" sheetId="74" r:id="rId19"/>
    <sheet name="结果表" sheetId="9" r:id="rId20"/>
    <sheet name="成本法" sheetId="68" state="hidden" r:id="rId21"/>
    <sheet name="成本法 (元)" sheetId="69" state="hidden" r:id="rId22"/>
    <sheet name="土地比较法-住宅、综合" sheetId="39" state="hidden" r:id="rId23"/>
    <sheet name="假设开发法" sheetId="12" state="hidden" r:id="rId24"/>
    <sheet name="收益法 (元)" sheetId="67" state="hidden" r:id="rId25"/>
    <sheet name="酒店收入计算" sheetId="66" state="hidden" r:id="rId26"/>
    <sheet name="比较法-商业" sheetId="33" r:id="rId27"/>
    <sheet name="商业" sheetId="82" r:id="rId28"/>
    <sheet name="收益法" sheetId="15" r:id="rId29"/>
    <sheet name="典型户型修正 (商业)" sheetId="80" r:id="rId30"/>
    <sheet name="结果表 (办公)" sheetId="81" r:id="rId31"/>
    <sheet name="比较法-住宅" sheetId="21"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公寓" sheetId="83" r:id="rId43"/>
    <sheet name="收益法 (办公)" sheetId="79" r:id="rId44"/>
    <sheet name="典型户型修正"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汇总）" sheetId="70" state="hidden" r:id="rId51"/>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43">'收益法 (办公)'!$A$1:$AK$69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9">'典型户型修正 (商业)'!$5:$5</definedName>
    <definedName name="一修多修正项2">典型户型修正!$5:$5</definedName>
    <definedName name="一修多修正项3" localSheetId="29">'典型户型修正 (商业)'!$7:$7</definedName>
    <definedName name="一修多修正项3">典型户型修正!$7:$7</definedName>
    <definedName name="一修多修正项4" localSheetId="29">'典型户型修正 (商业)'!$9:$9</definedName>
    <definedName name="一修多修正项4">典型户型修正!$9:$9</definedName>
    <definedName name="一修多修正项5" localSheetId="29">'典型户型修正 (商业)'!$11:$11</definedName>
    <definedName name="一修多修正项5">典型户型修正!$11:$11</definedName>
    <definedName name="一修多修正项6" localSheetId="29">'典型户型修正 (商业)'!$13:$13</definedName>
    <definedName name="一修多修正项6">典型户型修正!$13:$13</definedName>
    <definedName name="一修多修正项7" localSheetId="29">'典型户型修正 (商业)'!$15:$15</definedName>
    <definedName name="一修多修正项7">典型户型修正!$15:$15</definedName>
    <definedName name="一修多修正项8" localSheetId="29">'典型户型修正 (商业)'!$17:$17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41" i="21"/>
  <c r="C37" i="21"/>
  <c r="I7" i="21"/>
  <c r="G7" i="21"/>
  <c r="E7" i="21"/>
  <c r="C42" i="34"/>
  <c r="C40" i="33"/>
  <c r="G36" i="33"/>
  <c r="I36" i="33"/>
  <c r="N6" i="1"/>
  <c r="C36" i="33"/>
  <c r="I7" i="33"/>
  <c r="G7" i="33"/>
  <c r="E7" i="33"/>
  <c r="Y6" i="1" l="1"/>
  <c r="B15" i="74"/>
  <c r="B14" i="74"/>
  <c r="C37" i="34"/>
  <c r="G37" i="34" s="1"/>
  <c r="N7" i="1"/>
  <c r="Y7" i="1" s="1"/>
  <c r="F12" i="78"/>
  <c r="F11" i="78"/>
  <c r="F10" i="78"/>
  <c r="F9" i="78"/>
  <c r="F8" i="78"/>
  <c r="F7" i="78"/>
  <c r="F6" i="78"/>
  <c r="F5" i="78"/>
  <c r="F4" i="78"/>
  <c r="F3" i="78"/>
  <c r="F2" i="78"/>
  <c r="E37" i="34" l="1"/>
  <c r="I37" i="34"/>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6" i="8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M18" i="81"/>
  <c r="B118" i="81" s="1"/>
  <c r="L18" i="81"/>
  <c r="D17" i="81"/>
  <c r="C17" i="81"/>
  <c r="C18" i="81" s="1"/>
  <c r="D18" i="81" s="1"/>
  <c r="L4" i="81"/>
  <c r="K4" i="81"/>
  <c r="H1" i="81"/>
  <c r="R524" i="80"/>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R475" i="80"/>
  <c r="S475" i="80" s="1"/>
  <c r="Q475" i="80"/>
  <c r="O475" i="80"/>
  <c r="M475" i="80"/>
  <c r="K475" i="80"/>
  <c r="I475" i="80"/>
  <c r="G475" i="80"/>
  <c r="C475" i="80"/>
  <c r="R474" i="80"/>
  <c r="S474" i="80" s="1"/>
  <c r="Q474" i="80"/>
  <c r="O474" i="80"/>
  <c r="M474" i="80"/>
  <c r="K474" i="80"/>
  <c r="I474" i="80"/>
  <c r="G474" i="80"/>
  <c r="C474" i="80"/>
  <c r="R473" i="80"/>
  <c r="S473" i="80" s="1"/>
  <c r="Q473" i="80"/>
  <c r="O473" i="80"/>
  <c r="M473" i="80"/>
  <c r="K473" i="80"/>
  <c r="I473" i="80"/>
  <c r="G473" i="80"/>
  <c r="C473" i="80"/>
  <c r="R472" i="80"/>
  <c r="S472" i="80" s="1"/>
  <c r="Q472" i="80"/>
  <c r="O472" i="80"/>
  <c r="M472" i="80"/>
  <c r="K472" i="80"/>
  <c r="I472" i="80"/>
  <c r="G472" i="80"/>
  <c r="C472" i="80"/>
  <c r="R471" i="80"/>
  <c r="S471" i="80" s="1"/>
  <c r="Q471" i="80"/>
  <c r="O471" i="80"/>
  <c r="M471" i="80"/>
  <c r="K471" i="80"/>
  <c r="I471" i="80"/>
  <c r="G471" i="80"/>
  <c r="C471" i="80"/>
  <c r="R470" i="80"/>
  <c r="S470" i="80" s="1"/>
  <c r="Q470" i="80"/>
  <c r="O470" i="80"/>
  <c r="M470" i="80"/>
  <c r="K470" i="80"/>
  <c r="I470" i="80"/>
  <c r="G470" i="80"/>
  <c r="C470" i="80"/>
  <c r="R469" i="80"/>
  <c r="S469" i="80" s="1"/>
  <c r="Q469" i="80"/>
  <c r="O469" i="80"/>
  <c r="M469" i="80"/>
  <c r="K469" i="80"/>
  <c r="I469" i="80"/>
  <c r="G469" i="80"/>
  <c r="C469" i="80"/>
  <c r="R468" i="80"/>
  <c r="S468" i="80" s="1"/>
  <c r="Q468" i="80"/>
  <c r="O468" i="80"/>
  <c r="M468" i="80"/>
  <c r="K468" i="80"/>
  <c r="I468" i="80"/>
  <c r="G468" i="80"/>
  <c r="C468" i="80"/>
  <c r="R467" i="80"/>
  <c r="S467" i="80" s="1"/>
  <c r="Q467" i="80"/>
  <c r="O467" i="80"/>
  <c r="M467" i="80"/>
  <c r="K467" i="80"/>
  <c r="I467" i="80"/>
  <c r="G467" i="80"/>
  <c r="C467" i="80"/>
  <c r="R466" i="80"/>
  <c r="S466" i="80" s="1"/>
  <c r="Q466" i="80"/>
  <c r="O466" i="80"/>
  <c r="M466" i="80"/>
  <c r="K466" i="80"/>
  <c r="I466" i="80"/>
  <c r="G466" i="80"/>
  <c r="C466" i="80"/>
  <c r="R465" i="80"/>
  <c r="S465" i="80" s="1"/>
  <c r="Q465" i="80"/>
  <c r="O465" i="80"/>
  <c r="M465" i="80"/>
  <c r="K465" i="80"/>
  <c r="I465" i="80"/>
  <c r="G465" i="80"/>
  <c r="C465" i="80"/>
  <c r="R464" i="80"/>
  <c r="S464" i="80" s="1"/>
  <c r="Q464" i="80"/>
  <c r="O464" i="80"/>
  <c r="M464" i="80"/>
  <c r="K464" i="80"/>
  <c r="I464" i="80"/>
  <c r="G464" i="80"/>
  <c r="C464" i="80"/>
  <c r="R463" i="80"/>
  <c r="S463" i="80" s="1"/>
  <c r="Q463" i="80"/>
  <c r="O463" i="80"/>
  <c r="M463" i="80"/>
  <c r="K463" i="80"/>
  <c r="I463" i="80"/>
  <c r="G463" i="80"/>
  <c r="C463" i="80"/>
  <c r="R462" i="80"/>
  <c r="S462" i="80" s="1"/>
  <c r="Q462" i="80"/>
  <c r="O462" i="80"/>
  <c r="M462" i="80"/>
  <c r="K462" i="80"/>
  <c r="I462" i="80"/>
  <c r="G462" i="80"/>
  <c r="C462" i="80"/>
  <c r="R461" i="80"/>
  <c r="S461" i="80" s="1"/>
  <c r="Q461" i="80"/>
  <c r="O461" i="80"/>
  <c r="M461" i="80"/>
  <c r="K461" i="80"/>
  <c r="I461" i="80"/>
  <c r="G461" i="80"/>
  <c r="C461" i="80"/>
  <c r="R460" i="80"/>
  <c r="S460" i="80" s="1"/>
  <c r="Q460" i="80"/>
  <c r="O460" i="80"/>
  <c r="M460" i="80"/>
  <c r="K460" i="80"/>
  <c r="I460" i="80"/>
  <c r="G460" i="80"/>
  <c r="C460" i="80"/>
  <c r="R459" i="80"/>
  <c r="S459" i="80" s="1"/>
  <c r="Q459" i="80"/>
  <c r="O459" i="80"/>
  <c r="M459" i="80"/>
  <c r="K459" i="80"/>
  <c r="I459" i="80"/>
  <c r="G459" i="80"/>
  <c r="C459" i="80"/>
  <c r="R458" i="80"/>
  <c r="S458" i="80" s="1"/>
  <c r="Q458" i="80"/>
  <c r="O458" i="80"/>
  <c r="M458" i="80"/>
  <c r="K458" i="80"/>
  <c r="I458" i="80"/>
  <c r="G458" i="80"/>
  <c r="C458" i="80"/>
  <c r="R457" i="80"/>
  <c r="S457" i="80" s="1"/>
  <c r="Q457" i="80"/>
  <c r="O457" i="80"/>
  <c r="M457" i="80"/>
  <c r="K457" i="80"/>
  <c r="I457" i="80"/>
  <c r="G457" i="80"/>
  <c r="C457" i="80"/>
  <c r="R456" i="80"/>
  <c r="S456" i="80" s="1"/>
  <c r="Q456" i="80"/>
  <c r="O456" i="80"/>
  <c r="M456" i="80"/>
  <c r="K456" i="80"/>
  <c r="I456" i="80"/>
  <c r="G456" i="80"/>
  <c r="C456" i="80"/>
  <c r="R455" i="80"/>
  <c r="S455" i="80" s="1"/>
  <c r="Q455" i="80"/>
  <c r="O455" i="80"/>
  <c r="M455" i="80"/>
  <c r="K455" i="80"/>
  <c r="I455" i="80"/>
  <c r="G455" i="80"/>
  <c r="C455" i="80"/>
  <c r="R454" i="80"/>
  <c r="S454" i="80" s="1"/>
  <c r="Q454" i="80"/>
  <c r="O454" i="80"/>
  <c r="M454" i="80"/>
  <c r="K454" i="80"/>
  <c r="I454" i="80"/>
  <c r="G454" i="80"/>
  <c r="C454" i="80"/>
  <c r="R453" i="80"/>
  <c r="S453" i="80" s="1"/>
  <c r="Q453" i="80"/>
  <c r="O453" i="80"/>
  <c r="M453" i="80"/>
  <c r="K453" i="80"/>
  <c r="I453" i="80"/>
  <c r="G453" i="80"/>
  <c r="C453" i="80"/>
  <c r="R452" i="80"/>
  <c r="S452" i="80" s="1"/>
  <c r="Q452" i="80"/>
  <c r="O452" i="80"/>
  <c r="M452" i="80"/>
  <c r="K452" i="80"/>
  <c r="I452" i="80"/>
  <c r="G452" i="80"/>
  <c r="C452" i="80"/>
  <c r="R451" i="80"/>
  <c r="S451" i="80" s="1"/>
  <c r="Q451" i="80"/>
  <c r="O451" i="80"/>
  <c r="M451" i="80"/>
  <c r="K451" i="80"/>
  <c r="I451" i="80"/>
  <c r="G451" i="80"/>
  <c r="C451" i="80"/>
  <c r="R450" i="80"/>
  <c r="S450" i="80" s="1"/>
  <c r="Q450" i="80"/>
  <c r="O450" i="80"/>
  <c r="M450" i="80"/>
  <c r="K450" i="80"/>
  <c r="I450" i="80"/>
  <c r="G450" i="80"/>
  <c r="C450" i="80"/>
  <c r="R449" i="80"/>
  <c r="S449" i="80" s="1"/>
  <c r="Q449" i="80"/>
  <c r="O449" i="80"/>
  <c r="M449" i="80"/>
  <c r="K449" i="80"/>
  <c r="I449" i="80"/>
  <c r="G449" i="80"/>
  <c r="C449" i="80"/>
  <c r="R448" i="80"/>
  <c r="S448" i="80" s="1"/>
  <c r="Q448" i="80"/>
  <c r="O448" i="80"/>
  <c r="M448" i="80"/>
  <c r="K448" i="80"/>
  <c r="I448" i="80"/>
  <c r="G448" i="80"/>
  <c r="C448" i="80"/>
  <c r="R447" i="80"/>
  <c r="S447" i="80" s="1"/>
  <c r="Q447" i="80"/>
  <c r="O447" i="80"/>
  <c r="M447" i="80"/>
  <c r="K447" i="80"/>
  <c r="I447" i="80"/>
  <c r="G447" i="80"/>
  <c r="C447" i="80"/>
  <c r="R446" i="80"/>
  <c r="S446" i="80" s="1"/>
  <c r="Q446" i="80"/>
  <c r="O446" i="80"/>
  <c r="M446" i="80"/>
  <c r="K446" i="80"/>
  <c r="I446" i="80"/>
  <c r="G446" i="80"/>
  <c r="C446" i="80"/>
  <c r="R445" i="80"/>
  <c r="S445" i="80" s="1"/>
  <c r="Q445" i="80"/>
  <c r="O445" i="80"/>
  <c r="M445" i="80"/>
  <c r="K445" i="80"/>
  <c r="I445" i="80"/>
  <c r="G445" i="80"/>
  <c r="C445" i="80"/>
  <c r="R444" i="80"/>
  <c r="S444" i="80" s="1"/>
  <c r="Q444" i="80"/>
  <c r="O444" i="80"/>
  <c r="M444" i="80"/>
  <c r="K444" i="80"/>
  <c r="I444" i="80"/>
  <c r="G444" i="80"/>
  <c r="C444" i="80"/>
  <c r="R443" i="80"/>
  <c r="S443" i="80" s="1"/>
  <c r="Q443" i="80"/>
  <c r="O443" i="80"/>
  <c r="M443" i="80"/>
  <c r="K443" i="80"/>
  <c r="I443" i="80"/>
  <c r="G443" i="80"/>
  <c r="C443" i="80"/>
  <c r="R442" i="80"/>
  <c r="S442" i="80" s="1"/>
  <c r="Q442" i="80"/>
  <c r="O442" i="80"/>
  <c r="M442" i="80"/>
  <c r="K442" i="80"/>
  <c r="I442" i="80"/>
  <c r="G442" i="80"/>
  <c r="C442" i="80"/>
  <c r="R441" i="80"/>
  <c r="S441" i="80" s="1"/>
  <c r="Q441" i="80"/>
  <c r="O441" i="80"/>
  <c r="M441" i="80"/>
  <c r="K441" i="80"/>
  <c r="I441" i="80"/>
  <c r="G441" i="80"/>
  <c r="C441" i="80"/>
  <c r="R440" i="80"/>
  <c r="S440" i="80" s="1"/>
  <c r="Q440" i="80"/>
  <c r="O440" i="80"/>
  <c r="M440" i="80"/>
  <c r="K440" i="80"/>
  <c r="I440" i="80"/>
  <c r="G440" i="80"/>
  <c r="C440" i="80"/>
  <c r="R439" i="80"/>
  <c r="S439" i="80" s="1"/>
  <c r="Q439" i="80"/>
  <c r="O439" i="80"/>
  <c r="M439" i="80"/>
  <c r="K439" i="80"/>
  <c r="I439" i="80"/>
  <c r="G439" i="80"/>
  <c r="C439" i="80"/>
  <c r="R438" i="80"/>
  <c r="S438" i="80" s="1"/>
  <c r="Q438" i="80"/>
  <c r="O438" i="80"/>
  <c r="M438" i="80"/>
  <c r="K438" i="80"/>
  <c r="I438" i="80"/>
  <c r="G438" i="80"/>
  <c r="C438" i="80"/>
  <c r="R437" i="80"/>
  <c r="S437" i="80" s="1"/>
  <c r="Q437" i="80"/>
  <c r="O437" i="80"/>
  <c r="M437" i="80"/>
  <c r="K437" i="80"/>
  <c r="I437" i="80"/>
  <c r="G437" i="80"/>
  <c r="C437" i="80"/>
  <c r="R436" i="80"/>
  <c r="S436" i="80" s="1"/>
  <c r="Q436" i="80"/>
  <c r="O436" i="80"/>
  <c r="M436" i="80"/>
  <c r="K436" i="80"/>
  <c r="I436" i="80"/>
  <c r="G436" i="80"/>
  <c r="C436" i="80"/>
  <c r="R435" i="80"/>
  <c r="S435" i="80" s="1"/>
  <c r="Q435" i="80"/>
  <c r="O435" i="80"/>
  <c r="M435" i="80"/>
  <c r="K435" i="80"/>
  <c r="I435" i="80"/>
  <c r="G435" i="80"/>
  <c r="C435" i="80"/>
  <c r="R434" i="80"/>
  <c r="S434" i="80" s="1"/>
  <c r="Q434" i="80"/>
  <c r="O434" i="80"/>
  <c r="M434" i="80"/>
  <c r="K434" i="80"/>
  <c r="I434" i="80"/>
  <c r="G434" i="80"/>
  <c r="C434" i="80"/>
  <c r="R433" i="80"/>
  <c r="S433" i="80" s="1"/>
  <c r="Q433" i="80"/>
  <c r="O433" i="80"/>
  <c r="M433" i="80"/>
  <c r="K433" i="80"/>
  <c r="I433" i="80"/>
  <c r="G433" i="80"/>
  <c r="C433" i="80"/>
  <c r="R432" i="80"/>
  <c r="S432" i="80" s="1"/>
  <c r="Q432" i="80"/>
  <c r="O432" i="80"/>
  <c r="M432" i="80"/>
  <c r="K432" i="80"/>
  <c r="I432" i="80"/>
  <c r="G432" i="80"/>
  <c r="C432" i="80"/>
  <c r="R431" i="80"/>
  <c r="S431" i="80" s="1"/>
  <c r="Q431" i="80"/>
  <c r="O431" i="80"/>
  <c r="M431" i="80"/>
  <c r="K431" i="80"/>
  <c r="I431" i="80"/>
  <c r="G431" i="80"/>
  <c r="C431" i="80"/>
  <c r="R430" i="80"/>
  <c r="S430" i="80" s="1"/>
  <c r="Q430" i="80"/>
  <c r="O430" i="80"/>
  <c r="M430" i="80"/>
  <c r="K430" i="80"/>
  <c r="I430" i="80"/>
  <c r="G430" i="80"/>
  <c r="C430" i="80"/>
  <c r="R429" i="80"/>
  <c r="S429" i="80" s="1"/>
  <c r="Q429" i="80"/>
  <c r="O429" i="80"/>
  <c r="M429" i="80"/>
  <c r="K429" i="80"/>
  <c r="I429" i="80"/>
  <c r="G429" i="80"/>
  <c r="C429" i="80"/>
  <c r="R428" i="80"/>
  <c r="S428" i="80" s="1"/>
  <c r="Q428" i="80"/>
  <c r="O428" i="80"/>
  <c r="M428" i="80"/>
  <c r="K428" i="80"/>
  <c r="I428" i="80"/>
  <c r="G428" i="80"/>
  <c r="C428" i="80"/>
  <c r="R427" i="80"/>
  <c r="S427" i="80" s="1"/>
  <c r="Q427" i="80"/>
  <c r="O427" i="80"/>
  <c r="M427" i="80"/>
  <c r="K427" i="80"/>
  <c r="I427" i="80"/>
  <c r="G427" i="80"/>
  <c r="C427" i="80"/>
  <c r="R426" i="80"/>
  <c r="S426" i="80" s="1"/>
  <c r="Q426" i="80"/>
  <c r="O426" i="80"/>
  <c r="M426" i="80"/>
  <c r="K426" i="80"/>
  <c r="I426" i="80"/>
  <c r="G426" i="80"/>
  <c r="C426" i="80"/>
  <c r="R425" i="80"/>
  <c r="S425" i="80" s="1"/>
  <c r="Q425" i="80"/>
  <c r="O425" i="80"/>
  <c r="M425" i="80"/>
  <c r="K425" i="80"/>
  <c r="I425" i="80"/>
  <c r="G425" i="80"/>
  <c r="C425" i="80"/>
  <c r="R424" i="80"/>
  <c r="S424" i="80" s="1"/>
  <c r="Q424" i="80"/>
  <c r="O424" i="80"/>
  <c r="M424" i="80"/>
  <c r="K424" i="80"/>
  <c r="I424" i="80"/>
  <c r="G424" i="80"/>
  <c r="C424" i="80"/>
  <c r="R423" i="80"/>
  <c r="S423" i="80" s="1"/>
  <c r="Q423" i="80"/>
  <c r="O423" i="80"/>
  <c r="M423" i="80"/>
  <c r="K423" i="80"/>
  <c r="I423" i="80"/>
  <c r="G423" i="80"/>
  <c r="C423" i="80"/>
  <c r="R422" i="80"/>
  <c r="S422" i="80" s="1"/>
  <c r="Q422" i="80"/>
  <c r="O422" i="80"/>
  <c r="M422" i="80"/>
  <c r="K422" i="80"/>
  <c r="I422" i="80"/>
  <c r="G422" i="80"/>
  <c r="C422" i="80"/>
  <c r="R421" i="80"/>
  <c r="S421" i="80" s="1"/>
  <c r="Q421" i="80"/>
  <c r="O421" i="80"/>
  <c r="M421" i="80"/>
  <c r="K421" i="80"/>
  <c r="I421" i="80"/>
  <c r="G421" i="80"/>
  <c r="C421" i="80"/>
  <c r="R420" i="80"/>
  <c r="S420" i="80" s="1"/>
  <c r="Q420" i="80"/>
  <c r="O420" i="80"/>
  <c r="M420" i="80"/>
  <c r="K420" i="80"/>
  <c r="I420" i="80"/>
  <c r="G420" i="80"/>
  <c r="C420" i="80"/>
  <c r="R419" i="80"/>
  <c r="S419" i="80" s="1"/>
  <c r="Q419" i="80"/>
  <c r="O419" i="80"/>
  <c r="M419" i="80"/>
  <c r="K419" i="80"/>
  <c r="I419" i="80"/>
  <c r="G419" i="80"/>
  <c r="C419" i="80"/>
  <c r="R418" i="80"/>
  <c r="S418" i="80" s="1"/>
  <c r="Q418" i="80"/>
  <c r="O418" i="80"/>
  <c r="M418" i="80"/>
  <c r="K418" i="80"/>
  <c r="I418" i="80"/>
  <c r="G418" i="80"/>
  <c r="C418" i="80"/>
  <c r="R417" i="80"/>
  <c r="S417" i="80" s="1"/>
  <c r="Q417" i="80"/>
  <c r="O417" i="80"/>
  <c r="M417" i="80"/>
  <c r="K417" i="80"/>
  <c r="I417" i="80"/>
  <c r="G417" i="80"/>
  <c r="C417" i="80"/>
  <c r="R416" i="80"/>
  <c r="S416" i="80" s="1"/>
  <c r="Q416" i="80"/>
  <c r="O416" i="80"/>
  <c r="M416" i="80"/>
  <c r="K416" i="80"/>
  <c r="I416" i="80"/>
  <c r="G416" i="80"/>
  <c r="C416" i="80"/>
  <c r="R415" i="80"/>
  <c r="S415" i="80" s="1"/>
  <c r="Q415" i="80"/>
  <c r="O415" i="80"/>
  <c r="M415" i="80"/>
  <c r="K415" i="80"/>
  <c r="I415" i="80"/>
  <c r="G415" i="80"/>
  <c r="C415" i="80"/>
  <c r="R414" i="80"/>
  <c r="S414" i="80" s="1"/>
  <c r="Q414" i="80"/>
  <c r="O414" i="80"/>
  <c r="M414" i="80"/>
  <c r="K414" i="80"/>
  <c r="I414" i="80"/>
  <c r="G414" i="80"/>
  <c r="C414" i="80"/>
  <c r="R413" i="80"/>
  <c r="S413" i="80" s="1"/>
  <c r="Q413" i="80"/>
  <c r="O413" i="80"/>
  <c r="M413" i="80"/>
  <c r="K413" i="80"/>
  <c r="I413" i="80"/>
  <c r="G413" i="80"/>
  <c r="C413" i="80"/>
  <c r="R412" i="80"/>
  <c r="S412" i="80" s="1"/>
  <c r="Q412" i="80"/>
  <c r="O412" i="80"/>
  <c r="M412" i="80"/>
  <c r="K412" i="80"/>
  <c r="I412" i="80"/>
  <c r="G412" i="80"/>
  <c r="C412" i="80"/>
  <c r="R411" i="80"/>
  <c r="S411" i="80" s="1"/>
  <c r="Q411" i="80"/>
  <c r="O411" i="80"/>
  <c r="M411" i="80"/>
  <c r="K411" i="80"/>
  <c r="I411" i="80"/>
  <c r="G411" i="80"/>
  <c r="C411" i="80"/>
  <c r="R410" i="80"/>
  <c r="S410" i="80" s="1"/>
  <c r="Q410" i="80"/>
  <c r="O410" i="80"/>
  <c r="M410" i="80"/>
  <c r="K410" i="80"/>
  <c r="I410" i="80"/>
  <c r="G410" i="80"/>
  <c r="C410" i="80"/>
  <c r="R409" i="80"/>
  <c r="S409" i="80" s="1"/>
  <c r="Q409" i="80"/>
  <c r="O409" i="80"/>
  <c r="M409" i="80"/>
  <c r="K409" i="80"/>
  <c r="I409" i="80"/>
  <c r="G409" i="80"/>
  <c r="C409" i="80"/>
  <c r="R408" i="80"/>
  <c r="S408" i="80" s="1"/>
  <c r="Q408" i="80"/>
  <c r="O408" i="80"/>
  <c r="M408" i="80"/>
  <c r="K408" i="80"/>
  <c r="I408" i="80"/>
  <c r="G408" i="80"/>
  <c r="C408" i="80"/>
  <c r="R407" i="80"/>
  <c r="S407" i="80" s="1"/>
  <c r="Q407" i="80"/>
  <c r="O407" i="80"/>
  <c r="M407" i="80"/>
  <c r="K407" i="80"/>
  <c r="I407" i="80"/>
  <c r="G407" i="80"/>
  <c r="C407" i="80"/>
  <c r="R406" i="80"/>
  <c r="S406" i="80" s="1"/>
  <c r="Q406" i="80"/>
  <c r="O406" i="80"/>
  <c r="M406" i="80"/>
  <c r="K406" i="80"/>
  <c r="I406" i="80"/>
  <c r="G406" i="80"/>
  <c r="C406" i="80"/>
  <c r="R405" i="80"/>
  <c r="S405" i="80" s="1"/>
  <c r="Q405" i="80"/>
  <c r="O405" i="80"/>
  <c r="M405" i="80"/>
  <c r="K405" i="80"/>
  <c r="I405" i="80"/>
  <c r="G405" i="80"/>
  <c r="C405" i="80"/>
  <c r="R404" i="80"/>
  <c r="S404" i="80" s="1"/>
  <c r="Q404" i="80"/>
  <c r="O404" i="80"/>
  <c r="M404" i="80"/>
  <c r="K404" i="80"/>
  <c r="I404" i="80"/>
  <c r="G404" i="80"/>
  <c r="C404" i="80"/>
  <c r="R403" i="80"/>
  <c r="S403" i="80" s="1"/>
  <c r="Q403" i="80"/>
  <c r="O403" i="80"/>
  <c r="M403" i="80"/>
  <c r="K403" i="80"/>
  <c r="I403" i="80"/>
  <c r="G403" i="80"/>
  <c r="C403" i="80"/>
  <c r="R402" i="80"/>
  <c r="S402" i="80" s="1"/>
  <c r="Q402" i="80"/>
  <c r="O402" i="80"/>
  <c r="M402" i="80"/>
  <c r="K402" i="80"/>
  <c r="I402" i="80"/>
  <c r="G402" i="80"/>
  <c r="C402" i="80"/>
  <c r="R401" i="80"/>
  <c r="S401" i="80" s="1"/>
  <c r="Q401" i="80"/>
  <c r="O401" i="80"/>
  <c r="M401" i="80"/>
  <c r="K401" i="80"/>
  <c r="I401" i="80"/>
  <c r="G401" i="80"/>
  <c r="C401" i="80"/>
  <c r="R400" i="80"/>
  <c r="S400" i="80" s="1"/>
  <c r="Q400" i="80"/>
  <c r="O400" i="80"/>
  <c r="M400" i="80"/>
  <c r="K400" i="80"/>
  <c r="I400" i="80"/>
  <c r="G400" i="80"/>
  <c r="C400" i="80"/>
  <c r="R399" i="80"/>
  <c r="S399" i="80" s="1"/>
  <c r="Q399" i="80"/>
  <c r="O399" i="80"/>
  <c r="M399" i="80"/>
  <c r="K399" i="80"/>
  <c r="I399" i="80"/>
  <c r="G399" i="80"/>
  <c r="C399" i="80"/>
  <c r="R398" i="80"/>
  <c r="S398" i="80" s="1"/>
  <c r="Q398" i="80"/>
  <c r="O398" i="80"/>
  <c r="M398" i="80"/>
  <c r="K398" i="80"/>
  <c r="I398" i="80"/>
  <c r="G398" i="80"/>
  <c r="C398" i="80"/>
  <c r="R397" i="80"/>
  <c r="S397" i="80" s="1"/>
  <c r="Q397" i="80"/>
  <c r="O397" i="80"/>
  <c r="M397" i="80"/>
  <c r="K397" i="80"/>
  <c r="I397" i="80"/>
  <c r="G397" i="80"/>
  <c r="C397" i="80"/>
  <c r="R396" i="80"/>
  <c r="S396" i="80" s="1"/>
  <c r="Q396" i="80"/>
  <c r="O396" i="80"/>
  <c r="M396" i="80"/>
  <c r="K396" i="80"/>
  <c r="I396" i="80"/>
  <c r="G396" i="80"/>
  <c r="C396" i="80"/>
  <c r="R395" i="80"/>
  <c r="S395" i="80" s="1"/>
  <c r="Q395" i="80"/>
  <c r="O395" i="80"/>
  <c r="M395" i="80"/>
  <c r="K395" i="80"/>
  <c r="I395" i="80"/>
  <c r="G395" i="80"/>
  <c r="C395" i="80"/>
  <c r="R394" i="80"/>
  <c r="S394" i="80" s="1"/>
  <c r="Q394" i="80"/>
  <c r="O394" i="80"/>
  <c r="M394" i="80"/>
  <c r="K394" i="80"/>
  <c r="I394" i="80"/>
  <c r="G394" i="80"/>
  <c r="C394" i="80"/>
  <c r="R393" i="80"/>
  <c r="S393" i="80" s="1"/>
  <c r="Q393" i="80"/>
  <c r="O393" i="80"/>
  <c r="M393" i="80"/>
  <c r="K393" i="80"/>
  <c r="I393" i="80"/>
  <c r="G393" i="80"/>
  <c r="C393" i="80"/>
  <c r="R392" i="80"/>
  <c r="S392" i="80" s="1"/>
  <c r="Q392" i="80"/>
  <c r="O392" i="80"/>
  <c r="M392" i="80"/>
  <c r="K392" i="80"/>
  <c r="I392" i="80"/>
  <c r="G392" i="80"/>
  <c r="C392" i="80"/>
  <c r="R391" i="80"/>
  <c r="S391" i="80" s="1"/>
  <c r="Q391" i="80"/>
  <c r="O391" i="80"/>
  <c r="M391" i="80"/>
  <c r="K391" i="80"/>
  <c r="I391" i="80"/>
  <c r="G391" i="80"/>
  <c r="C391" i="80"/>
  <c r="R390" i="80"/>
  <c r="S390" i="80" s="1"/>
  <c r="Q390" i="80"/>
  <c r="O390" i="80"/>
  <c r="M390" i="80"/>
  <c r="K390" i="80"/>
  <c r="I390" i="80"/>
  <c r="G390" i="80"/>
  <c r="C390" i="80"/>
  <c r="R389" i="80"/>
  <c r="S389" i="80" s="1"/>
  <c r="Q389" i="80"/>
  <c r="O389" i="80"/>
  <c r="M389" i="80"/>
  <c r="K389" i="80"/>
  <c r="I389" i="80"/>
  <c r="G389" i="80"/>
  <c r="C389" i="80"/>
  <c r="R388" i="80"/>
  <c r="S388" i="80" s="1"/>
  <c r="Q388" i="80"/>
  <c r="O388" i="80"/>
  <c r="M388" i="80"/>
  <c r="K388" i="80"/>
  <c r="I388" i="80"/>
  <c r="G388" i="80"/>
  <c r="C388" i="80"/>
  <c r="R387" i="80"/>
  <c r="S387" i="80" s="1"/>
  <c r="Q387" i="80"/>
  <c r="O387" i="80"/>
  <c r="M387" i="80"/>
  <c r="K387" i="80"/>
  <c r="I387" i="80"/>
  <c r="G387" i="80"/>
  <c r="C387" i="80"/>
  <c r="R386" i="80"/>
  <c r="S386" i="80" s="1"/>
  <c r="Q386" i="80"/>
  <c r="O386" i="80"/>
  <c r="M386" i="80"/>
  <c r="K386" i="80"/>
  <c r="I386" i="80"/>
  <c r="G386" i="80"/>
  <c r="C386" i="80"/>
  <c r="R385" i="80"/>
  <c r="S385" i="80" s="1"/>
  <c r="Q385" i="80"/>
  <c r="O385" i="80"/>
  <c r="M385" i="80"/>
  <c r="K385" i="80"/>
  <c r="I385" i="80"/>
  <c r="G385" i="80"/>
  <c r="C385" i="80"/>
  <c r="R384" i="80"/>
  <c r="S384" i="80" s="1"/>
  <c r="Q384" i="80"/>
  <c r="O384" i="80"/>
  <c r="M384" i="80"/>
  <c r="K384" i="80"/>
  <c r="I384" i="80"/>
  <c r="G384" i="80"/>
  <c r="C384" i="80"/>
  <c r="R383" i="80"/>
  <c r="S383" i="80" s="1"/>
  <c r="Q383" i="80"/>
  <c r="O383" i="80"/>
  <c r="M383" i="80"/>
  <c r="K383" i="80"/>
  <c r="I383" i="80"/>
  <c r="G383" i="80"/>
  <c r="C383" i="80"/>
  <c r="R382" i="80"/>
  <c r="S382" i="80" s="1"/>
  <c r="Q382" i="80"/>
  <c r="O382" i="80"/>
  <c r="M382" i="80"/>
  <c r="K382" i="80"/>
  <c r="I382" i="80"/>
  <c r="G382" i="80"/>
  <c r="C382" i="80"/>
  <c r="R381" i="80"/>
  <c r="S381" i="80" s="1"/>
  <c r="Q381" i="80"/>
  <c r="O381" i="80"/>
  <c r="M381" i="80"/>
  <c r="K381" i="80"/>
  <c r="I381" i="80"/>
  <c r="G381" i="80"/>
  <c r="C381" i="80"/>
  <c r="R380" i="80"/>
  <c r="S380" i="80" s="1"/>
  <c r="Q380" i="80"/>
  <c r="O380" i="80"/>
  <c r="M380" i="80"/>
  <c r="K380" i="80"/>
  <c r="I380" i="80"/>
  <c r="G380" i="80"/>
  <c r="C380" i="80"/>
  <c r="R379" i="80"/>
  <c r="S379" i="80" s="1"/>
  <c r="Q379" i="80"/>
  <c r="O379" i="80"/>
  <c r="M379" i="80"/>
  <c r="K379" i="80"/>
  <c r="I379" i="80"/>
  <c r="G379" i="80"/>
  <c r="C379" i="80"/>
  <c r="R378" i="80"/>
  <c r="S378" i="80" s="1"/>
  <c r="Q378" i="80"/>
  <c r="O378" i="80"/>
  <c r="M378" i="80"/>
  <c r="K378" i="80"/>
  <c r="I378" i="80"/>
  <c r="G378" i="80"/>
  <c r="C378" i="80"/>
  <c r="R377" i="80"/>
  <c r="S377" i="80" s="1"/>
  <c r="Q377" i="80"/>
  <c r="O377" i="80"/>
  <c r="M377" i="80"/>
  <c r="K377" i="80"/>
  <c r="I377" i="80"/>
  <c r="G377" i="80"/>
  <c r="C377" i="80"/>
  <c r="R376" i="80"/>
  <c r="S376" i="80" s="1"/>
  <c r="Q376" i="80"/>
  <c r="O376" i="80"/>
  <c r="M376" i="80"/>
  <c r="K376" i="80"/>
  <c r="I376" i="80"/>
  <c r="G376" i="80"/>
  <c r="C376" i="80"/>
  <c r="R375" i="80"/>
  <c r="S375" i="80" s="1"/>
  <c r="Q375" i="80"/>
  <c r="O375" i="80"/>
  <c r="M375" i="80"/>
  <c r="K375" i="80"/>
  <c r="I375" i="80"/>
  <c r="G375" i="80"/>
  <c r="C375" i="80"/>
  <c r="R374" i="80"/>
  <c r="S374" i="80" s="1"/>
  <c r="Q374" i="80"/>
  <c r="O374" i="80"/>
  <c r="M374" i="80"/>
  <c r="K374" i="80"/>
  <c r="I374" i="80"/>
  <c r="G374" i="80"/>
  <c r="C374" i="80"/>
  <c r="R373" i="80"/>
  <c r="S373" i="80" s="1"/>
  <c r="Q373" i="80"/>
  <c r="O373" i="80"/>
  <c r="M373" i="80"/>
  <c r="K373" i="80"/>
  <c r="I373" i="80"/>
  <c r="G373" i="80"/>
  <c r="C373" i="80"/>
  <c r="R372" i="80"/>
  <c r="S372" i="80" s="1"/>
  <c r="Q372" i="80"/>
  <c r="O372" i="80"/>
  <c r="M372" i="80"/>
  <c r="K372" i="80"/>
  <c r="I372" i="80"/>
  <c r="G372" i="80"/>
  <c r="C372" i="80"/>
  <c r="R371" i="80"/>
  <c r="S371" i="80" s="1"/>
  <c r="Q371" i="80"/>
  <c r="O371" i="80"/>
  <c r="M371" i="80"/>
  <c r="K371" i="80"/>
  <c r="I371" i="80"/>
  <c r="G371" i="80"/>
  <c r="C371" i="80"/>
  <c r="R370" i="80"/>
  <c r="S370" i="80" s="1"/>
  <c r="Q370" i="80"/>
  <c r="O370" i="80"/>
  <c r="M370" i="80"/>
  <c r="K370" i="80"/>
  <c r="I370" i="80"/>
  <c r="G370" i="80"/>
  <c r="C370" i="80"/>
  <c r="R369" i="80"/>
  <c r="S369" i="80" s="1"/>
  <c r="Q369" i="80"/>
  <c r="O369" i="80"/>
  <c r="M369" i="80"/>
  <c r="K369" i="80"/>
  <c r="I369" i="80"/>
  <c r="G369" i="80"/>
  <c r="C369" i="80"/>
  <c r="R368" i="80"/>
  <c r="S368" i="80" s="1"/>
  <c r="Q368" i="80"/>
  <c r="O368" i="80"/>
  <c r="M368" i="80"/>
  <c r="K368" i="80"/>
  <c r="I368" i="80"/>
  <c r="G368" i="80"/>
  <c r="C368" i="80"/>
  <c r="R367" i="80"/>
  <c r="S367" i="80" s="1"/>
  <c r="Q367" i="80"/>
  <c r="O367" i="80"/>
  <c r="M367" i="80"/>
  <c r="K367" i="80"/>
  <c r="I367" i="80"/>
  <c r="G367" i="80"/>
  <c r="C367" i="80"/>
  <c r="R366" i="80"/>
  <c r="S366" i="80" s="1"/>
  <c r="Q366" i="80"/>
  <c r="O366" i="80"/>
  <c r="M366" i="80"/>
  <c r="K366" i="80"/>
  <c r="I366" i="80"/>
  <c r="G366" i="80"/>
  <c r="C366" i="80"/>
  <c r="R365" i="80"/>
  <c r="S365" i="80" s="1"/>
  <c r="Q365" i="80"/>
  <c r="O365" i="80"/>
  <c r="M365" i="80"/>
  <c r="K365" i="80"/>
  <c r="I365" i="80"/>
  <c r="G365" i="80"/>
  <c r="C365" i="80"/>
  <c r="R364" i="80"/>
  <c r="S364" i="80" s="1"/>
  <c r="Q364" i="80"/>
  <c r="O364" i="80"/>
  <c r="M364" i="80"/>
  <c r="K364" i="80"/>
  <c r="I364" i="80"/>
  <c r="G364" i="80"/>
  <c r="C364" i="80"/>
  <c r="R363" i="80"/>
  <c r="S363" i="80" s="1"/>
  <c r="Q363" i="80"/>
  <c r="O363" i="80"/>
  <c r="M363" i="80"/>
  <c r="K363" i="80"/>
  <c r="I363" i="80"/>
  <c r="G363" i="80"/>
  <c r="C363" i="80"/>
  <c r="R362" i="80"/>
  <c r="S362" i="80" s="1"/>
  <c r="Q362" i="80"/>
  <c r="O362" i="80"/>
  <c r="M362" i="80"/>
  <c r="K362" i="80"/>
  <c r="I362" i="80"/>
  <c r="G362" i="80"/>
  <c r="C362" i="80"/>
  <c r="R361" i="80"/>
  <c r="S361" i="80" s="1"/>
  <c r="Q361" i="80"/>
  <c r="O361" i="80"/>
  <c r="M361" i="80"/>
  <c r="K361" i="80"/>
  <c r="I361" i="80"/>
  <c r="G361" i="80"/>
  <c r="C361" i="80"/>
  <c r="R360" i="80"/>
  <c r="S360" i="80" s="1"/>
  <c r="Q360" i="80"/>
  <c r="O360" i="80"/>
  <c r="M360" i="80"/>
  <c r="K360" i="80"/>
  <c r="I360" i="80"/>
  <c r="G360" i="80"/>
  <c r="C360" i="80"/>
  <c r="R359" i="80"/>
  <c r="S359" i="80" s="1"/>
  <c r="Q359" i="80"/>
  <c r="O359" i="80"/>
  <c r="M359" i="80"/>
  <c r="K359" i="80"/>
  <c r="I359" i="80"/>
  <c r="G359" i="80"/>
  <c r="C359" i="80"/>
  <c r="R358" i="80"/>
  <c r="S358" i="80" s="1"/>
  <c r="Q358" i="80"/>
  <c r="O358" i="80"/>
  <c r="M358" i="80"/>
  <c r="K358" i="80"/>
  <c r="I358" i="80"/>
  <c r="G358" i="80"/>
  <c r="C358" i="80"/>
  <c r="R357" i="80"/>
  <c r="S357" i="80" s="1"/>
  <c r="Q357" i="80"/>
  <c r="O357" i="80"/>
  <c r="M357" i="80"/>
  <c r="K357" i="80"/>
  <c r="I357" i="80"/>
  <c r="G357" i="80"/>
  <c r="C357" i="80"/>
  <c r="R356" i="80"/>
  <c r="S356" i="80" s="1"/>
  <c r="Q356" i="80"/>
  <c r="O356" i="80"/>
  <c r="M356" i="80"/>
  <c r="K356" i="80"/>
  <c r="I356" i="80"/>
  <c r="G356" i="80"/>
  <c r="C356" i="80"/>
  <c r="R355" i="80"/>
  <c r="S355" i="80" s="1"/>
  <c r="Q355" i="80"/>
  <c r="O355" i="80"/>
  <c r="M355" i="80"/>
  <c r="K355" i="80"/>
  <c r="I355" i="80"/>
  <c r="G355" i="80"/>
  <c r="C355" i="80"/>
  <c r="R354" i="80"/>
  <c r="S354" i="80" s="1"/>
  <c r="Q354" i="80"/>
  <c r="O354" i="80"/>
  <c r="M354" i="80"/>
  <c r="K354" i="80"/>
  <c r="I354" i="80"/>
  <c r="G354" i="80"/>
  <c r="C354" i="80"/>
  <c r="R353" i="80"/>
  <c r="S353" i="80" s="1"/>
  <c r="Q353" i="80"/>
  <c r="O353" i="80"/>
  <c r="M353" i="80"/>
  <c r="K353" i="80"/>
  <c r="I353" i="80"/>
  <c r="G353" i="80"/>
  <c r="C353" i="80"/>
  <c r="R352" i="80"/>
  <c r="S352" i="80" s="1"/>
  <c r="Q352" i="80"/>
  <c r="O352" i="80"/>
  <c r="M352" i="80"/>
  <c r="K352" i="80"/>
  <c r="I352" i="80"/>
  <c r="G352" i="80"/>
  <c r="C352" i="80"/>
  <c r="R351" i="80"/>
  <c r="S351" i="80" s="1"/>
  <c r="Q351" i="80"/>
  <c r="O351" i="80"/>
  <c r="M351" i="80"/>
  <c r="K351" i="80"/>
  <c r="I351" i="80"/>
  <c r="G351" i="80"/>
  <c r="C351" i="80"/>
  <c r="R350" i="80"/>
  <c r="S350" i="80" s="1"/>
  <c r="Q350" i="80"/>
  <c r="O350" i="80"/>
  <c r="M350" i="80"/>
  <c r="K350" i="80"/>
  <c r="I350" i="80"/>
  <c r="G350" i="80"/>
  <c r="C350" i="80"/>
  <c r="R349" i="80"/>
  <c r="S349" i="80" s="1"/>
  <c r="Q349" i="80"/>
  <c r="O349" i="80"/>
  <c r="M349" i="80"/>
  <c r="K349" i="80"/>
  <c r="I349" i="80"/>
  <c r="G349" i="80"/>
  <c r="C349" i="80"/>
  <c r="R348" i="80"/>
  <c r="S348" i="80" s="1"/>
  <c r="Q348" i="80"/>
  <c r="O348" i="80"/>
  <c r="M348" i="80"/>
  <c r="K348" i="80"/>
  <c r="I348" i="80"/>
  <c r="G348" i="80"/>
  <c r="C348" i="80"/>
  <c r="R347" i="80"/>
  <c r="S347" i="80" s="1"/>
  <c r="Q347" i="80"/>
  <c r="O347" i="80"/>
  <c r="M347" i="80"/>
  <c r="K347" i="80"/>
  <c r="I347" i="80"/>
  <c r="G347" i="80"/>
  <c r="C347" i="80"/>
  <c r="R346" i="80"/>
  <c r="S346" i="80" s="1"/>
  <c r="Q346" i="80"/>
  <c r="O346" i="80"/>
  <c r="M346" i="80"/>
  <c r="K346" i="80"/>
  <c r="I346" i="80"/>
  <c r="G346" i="80"/>
  <c r="C346" i="80"/>
  <c r="R345" i="80"/>
  <c r="S345" i="80" s="1"/>
  <c r="Q345" i="80"/>
  <c r="O345" i="80"/>
  <c r="M345" i="80"/>
  <c r="K345" i="80"/>
  <c r="I345" i="80"/>
  <c r="G345" i="80"/>
  <c r="C345" i="80"/>
  <c r="R344" i="80"/>
  <c r="S344" i="80" s="1"/>
  <c r="Q344" i="80"/>
  <c r="O344" i="80"/>
  <c r="M344" i="80"/>
  <c r="K344" i="80"/>
  <c r="I344" i="80"/>
  <c r="G344" i="80"/>
  <c r="C344" i="80"/>
  <c r="R343" i="80"/>
  <c r="S343" i="80" s="1"/>
  <c r="Q343" i="80"/>
  <c r="O343" i="80"/>
  <c r="M343" i="80"/>
  <c r="K343" i="80"/>
  <c r="I343" i="80"/>
  <c r="G343" i="80"/>
  <c r="C343" i="80"/>
  <c r="R342" i="80"/>
  <c r="S342" i="80" s="1"/>
  <c r="Q342" i="80"/>
  <c r="O342" i="80"/>
  <c r="M342" i="80"/>
  <c r="K342" i="80"/>
  <c r="I342" i="80"/>
  <c r="G342" i="80"/>
  <c r="C342" i="80"/>
  <c r="R341" i="80"/>
  <c r="S341" i="80" s="1"/>
  <c r="Q341" i="80"/>
  <c r="O341" i="80"/>
  <c r="M341" i="80"/>
  <c r="K341" i="80"/>
  <c r="I341" i="80"/>
  <c r="G341" i="80"/>
  <c r="C341" i="80"/>
  <c r="R340" i="80"/>
  <c r="S340" i="80" s="1"/>
  <c r="Q340" i="80"/>
  <c r="O340" i="80"/>
  <c r="M340" i="80"/>
  <c r="K340" i="80"/>
  <c r="I340" i="80"/>
  <c r="G340" i="80"/>
  <c r="C340" i="80"/>
  <c r="R339" i="80"/>
  <c r="S339" i="80" s="1"/>
  <c r="Q339" i="80"/>
  <c r="O339" i="80"/>
  <c r="M339" i="80"/>
  <c r="K339" i="80"/>
  <c r="I339" i="80"/>
  <c r="G339" i="80"/>
  <c r="C339" i="80"/>
  <c r="R338" i="80"/>
  <c r="S338" i="80" s="1"/>
  <c r="Q338" i="80"/>
  <c r="O338" i="80"/>
  <c r="M338" i="80"/>
  <c r="K338" i="80"/>
  <c r="I338" i="80"/>
  <c r="G338" i="80"/>
  <c r="C338" i="80"/>
  <c r="R337" i="80"/>
  <c r="S337" i="80" s="1"/>
  <c r="Q337" i="80"/>
  <c r="O337" i="80"/>
  <c r="M337" i="80"/>
  <c r="K337" i="80"/>
  <c r="I337" i="80"/>
  <c r="G337" i="80"/>
  <c r="C337" i="80"/>
  <c r="R336" i="80"/>
  <c r="S336" i="80" s="1"/>
  <c r="Q336" i="80"/>
  <c r="O336" i="80"/>
  <c r="M336" i="80"/>
  <c r="K336" i="80"/>
  <c r="I336" i="80"/>
  <c r="G336" i="80"/>
  <c r="C336" i="80"/>
  <c r="R335" i="80"/>
  <c r="S335" i="80" s="1"/>
  <c r="Q335" i="80"/>
  <c r="O335" i="80"/>
  <c r="M335" i="80"/>
  <c r="K335" i="80"/>
  <c r="I335" i="80"/>
  <c r="G335" i="80"/>
  <c r="C335" i="80"/>
  <c r="R334" i="80"/>
  <c r="S334" i="80" s="1"/>
  <c r="Q334" i="80"/>
  <c r="O334" i="80"/>
  <c r="M334" i="80"/>
  <c r="K334" i="80"/>
  <c r="I334" i="80"/>
  <c r="G334" i="80"/>
  <c r="C334" i="80"/>
  <c r="R333" i="80"/>
  <c r="S333" i="80" s="1"/>
  <c r="Q333" i="80"/>
  <c r="O333" i="80"/>
  <c r="M333" i="80"/>
  <c r="K333" i="80"/>
  <c r="I333" i="80"/>
  <c r="G333" i="80"/>
  <c r="C333" i="80"/>
  <c r="R332" i="80"/>
  <c r="S332" i="80" s="1"/>
  <c r="Q332" i="80"/>
  <c r="O332" i="80"/>
  <c r="M332" i="80"/>
  <c r="K332" i="80"/>
  <c r="I332" i="80"/>
  <c r="G332" i="80"/>
  <c r="C332" i="80"/>
  <c r="R331" i="80"/>
  <c r="S331" i="80" s="1"/>
  <c r="Q331" i="80"/>
  <c r="O331" i="80"/>
  <c r="M331" i="80"/>
  <c r="K331" i="80"/>
  <c r="I331" i="80"/>
  <c r="G331" i="80"/>
  <c r="C331" i="80"/>
  <c r="R330" i="80"/>
  <c r="S330" i="80" s="1"/>
  <c r="Q330" i="80"/>
  <c r="O330" i="80"/>
  <c r="M330" i="80"/>
  <c r="K330" i="80"/>
  <c r="I330" i="80"/>
  <c r="G330" i="80"/>
  <c r="C330" i="80"/>
  <c r="R329" i="80"/>
  <c r="S329" i="80" s="1"/>
  <c r="Q329" i="80"/>
  <c r="O329" i="80"/>
  <c r="M329" i="80"/>
  <c r="K329" i="80"/>
  <c r="I329" i="80"/>
  <c r="G329" i="80"/>
  <c r="C329" i="80"/>
  <c r="R328" i="80"/>
  <c r="S328" i="80" s="1"/>
  <c r="Q328" i="80"/>
  <c r="O328" i="80"/>
  <c r="M328" i="80"/>
  <c r="K328" i="80"/>
  <c r="I328" i="80"/>
  <c r="G328" i="80"/>
  <c r="C328" i="80"/>
  <c r="R327" i="80"/>
  <c r="S327" i="80" s="1"/>
  <c r="Q327" i="80"/>
  <c r="O327" i="80"/>
  <c r="M327" i="80"/>
  <c r="K327" i="80"/>
  <c r="I327" i="80"/>
  <c r="G327" i="80"/>
  <c r="C327" i="80"/>
  <c r="R326" i="80"/>
  <c r="S326" i="80" s="1"/>
  <c r="Q326" i="80"/>
  <c r="O326" i="80"/>
  <c r="M326" i="80"/>
  <c r="K326" i="80"/>
  <c r="I326" i="80"/>
  <c r="G326" i="80"/>
  <c r="C326" i="80"/>
  <c r="R325" i="80"/>
  <c r="S325" i="80" s="1"/>
  <c r="Q325" i="80"/>
  <c r="O325" i="80"/>
  <c r="M325" i="80"/>
  <c r="K325" i="80"/>
  <c r="I325" i="80"/>
  <c r="G325" i="80"/>
  <c r="C325" i="80"/>
  <c r="R324" i="80"/>
  <c r="S324" i="80" s="1"/>
  <c r="Q324" i="80"/>
  <c r="O324" i="80"/>
  <c r="M324" i="80"/>
  <c r="K324" i="80"/>
  <c r="I324" i="80"/>
  <c r="G324" i="80"/>
  <c r="C324" i="80"/>
  <c r="R323" i="80"/>
  <c r="S323" i="80" s="1"/>
  <c r="Q323" i="80"/>
  <c r="O323" i="80"/>
  <c r="M323" i="80"/>
  <c r="K323" i="80"/>
  <c r="I323" i="80"/>
  <c r="G323" i="80"/>
  <c r="C323" i="80"/>
  <c r="R322" i="80"/>
  <c r="S322" i="80" s="1"/>
  <c r="Q322" i="80"/>
  <c r="O322" i="80"/>
  <c r="M322" i="80"/>
  <c r="K322" i="80"/>
  <c r="I322" i="80"/>
  <c r="G322" i="80"/>
  <c r="C322" i="80"/>
  <c r="R321" i="80"/>
  <c r="S321" i="80" s="1"/>
  <c r="Q321" i="80"/>
  <c r="O321" i="80"/>
  <c r="M321" i="80"/>
  <c r="K321" i="80"/>
  <c r="I321" i="80"/>
  <c r="G321" i="80"/>
  <c r="C321" i="80"/>
  <c r="R320" i="80"/>
  <c r="S320" i="80" s="1"/>
  <c r="Q320" i="80"/>
  <c r="O320" i="80"/>
  <c r="M320" i="80"/>
  <c r="K320" i="80"/>
  <c r="I320" i="80"/>
  <c r="G320" i="80"/>
  <c r="C320" i="80"/>
  <c r="R319" i="80"/>
  <c r="S319" i="80" s="1"/>
  <c r="Q319" i="80"/>
  <c r="O319" i="80"/>
  <c r="M319" i="80"/>
  <c r="K319" i="80"/>
  <c r="I319" i="80"/>
  <c r="G319" i="80"/>
  <c r="C319" i="80"/>
  <c r="R318" i="80"/>
  <c r="S318" i="80" s="1"/>
  <c r="Q318" i="80"/>
  <c r="O318" i="80"/>
  <c r="M318" i="80"/>
  <c r="K318" i="80"/>
  <c r="I318" i="80"/>
  <c r="G318" i="80"/>
  <c r="C318" i="80"/>
  <c r="R317" i="80"/>
  <c r="S317" i="80" s="1"/>
  <c r="Q317" i="80"/>
  <c r="O317" i="80"/>
  <c r="M317" i="80"/>
  <c r="K317" i="80"/>
  <c r="I317" i="80"/>
  <c r="G317" i="80"/>
  <c r="C317" i="80"/>
  <c r="R316" i="80"/>
  <c r="S316" i="80" s="1"/>
  <c r="Q316" i="80"/>
  <c r="O316" i="80"/>
  <c r="M316" i="80"/>
  <c r="K316" i="80"/>
  <c r="I316" i="80"/>
  <c r="G316" i="80"/>
  <c r="C316" i="80"/>
  <c r="R315" i="80"/>
  <c r="S315" i="80" s="1"/>
  <c r="Q315" i="80"/>
  <c r="O315" i="80"/>
  <c r="M315" i="80"/>
  <c r="K315" i="80"/>
  <c r="I315" i="80"/>
  <c r="G315" i="80"/>
  <c r="C315" i="80"/>
  <c r="R314" i="80"/>
  <c r="S314" i="80" s="1"/>
  <c r="Q314" i="80"/>
  <c r="O314" i="80"/>
  <c r="M314" i="80"/>
  <c r="K314" i="80"/>
  <c r="I314" i="80"/>
  <c r="G314" i="80"/>
  <c r="C314" i="80"/>
  <c r="R313" i="80"/>
  <c r="S313" i="80" s="1"/>
  <c r="Q313" i="80"/>
  <c r="O313" i="80"/>
  <c r="M313" i="80"/>
  <c r="K313" i="80"/>
  <c r="I313" i="80"/>
  <c r="G313" i="80"/>
  <c r="C313" i="80"/>
  <c r="R312" i="80"/>
  <c r="S312" i="80" s="1"/>
  <c r="Q312" i="80"/>
  <c r="O312" i="80"/>
  <c r="M312" i="80"/>
  <c r="K312" i="80"/>
  <c r="I312" i="80"/>
  <c r="G312" i="80"/>
  <c r="C312" i="80"/>
  <c r="R311" i="80"/>
  <c r="S311" i="80" s="1"/>
  <c r="Q311" i="80"/>
  <c r="O311" i="80"/>
  <c r="M311" i="80"/>
  <c r="K311" i="80"/>
  <c r="I311" i="80"/>
  <c r="G311" i="80"/>
  <c r="C311" i="80"/>
  <c r="R310" i="80"/>
  <c r="S310" i="80" s="1"/>
  <c r="Q310" i="80"/>
  <c r="O310" i="80"/>
  <c r="M310" i="80"/>
  <c r="K310" i="80"/>
  <c r="I310" i="80"/>
  <c r="G310" i="80"/>
  <c r="C310" i="80"/>
  <c r="R309" i="80"/>
  <c r="S309" i="80" s="1"/>
  <c r="Q309" i="80"/>
  <c r="O309" i="80"/>
  <c r="M309" i="80"/>
  <c r="K309" i="80"/>
  <c r="I309" i="80"/>
  <c r="G309" i="80"/>
  <c r="C309" i="80"/>
  <c r="R308" i="80"/>
  <c r="S308" i="80" s="1"/>
  <c r="Q308" i="80"/>
  <c r="O308" i="80"/>
  <c r="M308" i="80"/>
  <c r="K308" i="80"/>
  <c r="I308" i="80"/>
  <c r="G308" i="80"/>
  <c r="C308" i="80"/>
  <c r="R307" i="80"/>
  <c r="S307" i="80" s="1"/>
  <c r="Q307" i="80"/>
  <c r="O307" i="80"/>
  <c r="M307" i="80"/>
  <c r="K307" i="80"/>
  <c r="I307" i="80"/>
  <c r="G307" i="80"/>
  <c r="C307" i="80"/>
  <c r="R306" i="80"/>
  <c r="S306" i="80" s="1"/>
  <c r="Q306" i="80"/>
  <c r="O306" i="80"/>
  <c r="M306" i="80"/>
  <c r="K306" i="80"/>
  <c r="I306" i="80"/>
  <c r="G306" i="80"/>
  <c r="C306" i="80"/>
  <c r="R305" i="80"/>
  <c r="S305" i="80" s="1"/>
  <c r="Q305" i="80"/>
  <c r="O305" i="80"/>
  <c r="M305" i="80"/>
  <c r="K305" i="80"/>
  <c r="I305" i="80"/>
  <c r="G305" i="80"/>
  <c r="C305" i="80"/>
  <c r="R304" i="80"/>
  <c r="S304" i="80" s="1"/>
  <c r="Q304" i="80"/>
  <c r="O304" i="80"/>
  <c r="M304" i="80"/>
  <c r="K304" i="80"/>
  <c r="I304" i="80"/>
  <c r="G304" i="80"/>
  <c r="C304" i="80"/>
  <c r="R303" i="80"/>
  <c r="S303" i="80" s="1"/>
  <c r="Q303" i="80"/>
  <c r="O303" i="80"/>
  <c r="M303" i="80"/>
  <c r="K303" i="80"/>
  <c r="I303" i="80"/>
  <c r="G303" i="80"/>
  <c r="C303" i="80"/>
  <c r="R302" i="80"/>
  <c r="S302" i="80" s="1"/>
  <c r="Q302" i="80"/>
  <c r="O302" i="80"/>
  <c r="M302" i="80"/>
  <c r="K302" i="80"/>
  <c r="I302" i="80"/>
  <c r="G302" i="80"/>
  <c r="C302" i="80"/>
  <c r="R301" i="80"/>
  <c r="S301" i="80" s="1"/>
  <c r="Q301" i="80"/>
  <c r="O301" i="80"/>
  <c r="M301" i="80"/>
  <c r="K301" i="80"/>
  <c r="I301" i="80"/>
  <c r="G301" i="80"/>
  <c r="C301" i="80"/>
  <c r="R300" i="80"/>
  <c r="S300" i="80" s="1"/>
  <c r="Q300" i="80"/>
  <c r="O300" i="80"/>
  <c r="M300" i="80"/>
  <c r="K300" i="80"/>
  <c r="I300" i="80"/>
  <c r="G300" i="80"/>
  <c r="C300" i="80"/>
  <c r="R299" i="80"/>
  <c r="S299" i="80" s="1"/>
  <c r="Q299" i="80"/>
  <c r="O299" i="80"/>
  <c r="M299" i="80"/>
  <c r="K299" i="80"/>
  <c r="I299" i="80"/>
  <c r="G299" i="80"/>
  <c r="C299" i="80"/>
  <c r="R298" i="80"/>
  <c r="S298" i="80" s="1"/>
  <c r="Q298" i="80"/>
  <c r="O298" i="80"/>
  <c r="M298" i="80"/>
  <c r="K298" i="80"/>
  <c r="I298" i="80"/>
  <c r="G298" i="80"/>
  <c r="C298" i="80"/>
  <c r="R297" i="80"/>
  <c r="S297" i="80" s="1"/>
  <c r="Q297" i="80"/>
  <c r="O297" i="80"/>
  <c r="M297" i="80"/>
  <c r="K297" i="80"/>
  <c r="I297" i="80"/>
  <c r="G297" i="80"/>
  <c r="C297" i="80"/>
  <c r="R296" i="80"/>
  <c r="S296" i="80" s="1"/>
  <c r="Q296" i="80"/>
  <c r="O296" i="80"/>
  <c r="M296" i="80"/>
  <c r="K296" i="80"/>
  <c r="I296" i="80"/>
  <c r="G296" i="80"/>
  <c r="C296" i="80"/>
  <c r="R295" i="80"/>
  <c r="S295" i="80" s="1"/>
  <c r="Q295" i="80"/>
  <c r="O295" i="80"/>
  <c r="M295" i="80"/>
  <c r="K295" i="80"/>
  <c r="I295" i="80"/>
  <c r="G295" i="80"/>
  <c r="C295" i="80"/>
  <c r="R294" i="80"/>
  <c r="S294" i="80" s="1"/>
  <c r="Q294" i="80"/>
  <c r="O294" i="80"/>
  <c r="M294" i="80"/>
  <c r="K294" i="80"/>
  <c r="I294" i="80"/>
  <c r="G294" i="80"/>
  <c r="C294" i="80"/>
  <c r="R293" i="80"/>
  <c r="S293" i="80" s="1"/>
  <c r="Q293" i="80"/>
  <c r="O293" i="80"/>
  <c r="M293" i="80"/>
  <c r="K293" i="80"/>
  <c r="I293" i="80"/>
  <c r="G293" i="80"/>
  <c r="C293" i="80"/>
  <c r="R292" i="80"/>
  <c r="S292" i="80" s="1"/>
  <c r="Q292" i="80"/>
  <c r="O292" i="80"/>
  <c r="M292" i="80"/>
  <c r="K292" i="80"/>
  <c r="I292" i="80"/>
  <c r="G292" i="80"/>
  <c r="C292" i="80"/>
  <c r="R291" i="80"/>
  <c r="S291" i="80" s="1"/>
  <c r="Q291" i="80"/>
  <c r="O291" i="80"/>
  <c r="M291" i="80"/>
  <c r="K291" i="80"/>
  <c r="I291" i="80"/>
  <c r="G291" i="80"/>
  <c r="C291" i="80"/>
  <c r="R290" i="80"/>
  <c r="S290" i="80" s="1"/>
  <c r="Q290" i="80"/>
  <c r="O290" i="80"/>
  <c r="M290" i="80"/>
  <c r="K290" i="80"/>
  <c r="I290" i="80"/>
  <c r="G290" i="80"/>
  <c r="C290" i="80"/>
  <c r="R289" i="80"/>
  <c r="S289" i="80" s="1"/>
  <c r="Q289" i="80"/>
  <c r="O289" i="80"/>
  <c r="M289" i="80"/>
  <c r="K289" i="80"/>
  <c r="I289" i="80"/>
  <c r="G289" i="80"/>
  <c r="C289" i="80"/>
  <c r="R288" i="80"/>
  <c r="S288" i="80" s="1"/>
  <c r="Q288" i="80"/>
  <c r="O288" i="80"/>
  <c r="M288" i="80"/>
  <c r="K288" i="80"/>
  <c r="I288" i="80"/>
  <c r="G288" i="80"/>
  <c r="C288" i="80"/>
  <c r="R287" i="80"/>
  <c r="S287" i="80" s="1"/>
  <c r="Q287" i="80"/>
  <c r="O287" i="80"/>
  <c r="M287" i="80"/>
  <c r="K287" i="80"/>
  <c r="I287" i="80"/>
  <c r="G287" i="80"/>
  <c r="C287" i="80"/>
  <c r="R286" i="80"/>
  <c r="S286" i="80" s="1"/>
  <c r="Q286" i="80"/>
  <c r="O286" i="80"/>
  <c r="M286" i="80"/>
  <c r="K286" i="80"/>
  <c r="I286" i="80"/>
  <c r="G286" i="80"/>
  <c r="C286" i="80"/>
  <c r="R285" i="80"/>
  <c r="S285" i="80" s="1"/>
  <c r="Q285" i="80"/>
  <c r="O285" i="80"/>
  <c r="M285" i="80"/>
  <c r="K285" i="80"/>
  <c r="I285" i="80"/>
  <c r="G285" i="80"/>
  <c r="C285" i="80"/>
  <c r="R284" i="80"/>
  <c r="S284" i="80" s="1"/>
  <c r="Q284" i="80"/>
  <c r="O284" i="80"/>
  <c r="M284" i="80"/>
  <c r="K284" i="80"/>
  <c r="I284" i="80"/>
  <c r="G284" i="80"/>
  <c r="C284" i="80"/>
  <c r="R283" i="80"/>
  <c r="S283" i="80" s="1"/>
  <c r="Q283" i="80"/>
  <c r="O283" i="80"/>
  <c r="M283" i="80"/>
  <c r="K283" i="80"/>
  <c r="I283" i="80"/>
  <c r="G283" i="80"/>
  <c r="C283" i="80"/>
  <c r="R282" i="80"/>
  <c r="S282" i="80" s="1"/>
  <c r="Q282" i="80"/>
  <c r="O282" i="80"/>
  <c r="M282" i="80"/>
  <c r="K282" i="80"/>
  <c r="I282" i="80"/>
  <c r="G282" i="80"/>
  <c r="C282" i="80"/>
  <c r="R281" i="80"/>
  <c r="S281" i="80" s="1"/>
  <c r="Q281" i="80"/>
  <c r="O281" i="80"/>
  <c r="M281" i="80"/>
  <c r="K281" i="80"/>
  <c r="I281" i="80"/>
  <c r="G281" i="80"/>
  <c r="C281" i="80"/>
  <c r="R280" i="80"/>
  <c r="S280" i="80" s="1"/>
  <c r="Q280" i="80"/>
  <c r="O280" i="80"/>
  <c r="M280" i="80"/>
  <c r="K280" i="80"/>
  <c r="I280" i="80"/>
  <c r="G280" i="80"/>
  <c r="C280" i="80"/>
  <c r="R279" i="80"/>
  <c r="S279" i="80" s="1"/>
  <c r="Q279" i="80"/>
  <c r="O279" i="80"/>
  <c r="M279" i="80"/>
  <c r="K279" i="80"/>
  <c r="I279" i="80"/>
  <c r="G279" i="80"/>
  <c r="C279" i="80"/>
  <c r="R278" i="80"/>
  <c r="S278" i="80" s="1"/>
  <c r="Q278" i="80"/>
  <c r="O278" i="80"/>
  <c r="M278" i="80"/>
  <c r="K278" i="80"/>
  <c r="I278" i="80"/>
  <c r="G278" i="80"/>
  <c r="C278" i="80"/>
  <c r="R277" i="80"/>
  <c r="S277" i="80" s="1"/>
  <c r="Q277" i="80"/>
  <c r="O277" i="80"/>
  <c r="M277" i="80"/>
  <c r="K277" i="80"/>
  <c r="I277" i="80"/>
  <c r="G277" i="80"/>
  <c r="C277" i="80"/>
  <c r="R276" i="80"/>
  <c r="S276" i="80" s="1"/>
  <c r="Q276" i="80"/>
  <c r="O276" i="80"/>
  <c r="M276" i="80"/>
  <c r="K276" i="80"/>
  <c r="I276" i="80"/>
  <c r="G276" i="80"/>
  <c r="C276" i="80"/>
  <c r="R275" i="80"/>
  <c r="S275" i="80" s="1"/>
  <c r="Q275" i="80"/>
  <c r="O275" i="80"/>
  <c r="M275" i="80"/>
  <c r="K275" i="80"/>
  <c r="I275" i="80"/>
  <c r="G275" i="80"/>
  <c r="C275" i="80"/>
  <c r="R274" i="80"/>
  <c r="S274" i="80" s="1"/>
  <c r="Q274" i="80"/>
  <c r="O274" i="80"/>
  <c r="M274" i="80"/>
  <c r="K274" i="80"/>
  <c r="I274" i="80"/>
  <c r="G274" i="80"/>
  <c r="C274" i="80"/>
  <c r="R273" i="80"/>
  <c r="S273" i="80" s="1"/>
  <c r="Q273" i="80"/>
  <c r="O273" i="80"/>
  <c r="M273" i="80"/>
  <c r="K273" i="80"/>
  <c r="I273" i="80"/>
  <c r="G273" i="80"/>
  <c r="C273" i="80"/>
  <c r="R272" i="80"/>
  <c r="S272" i="80" s="1"/>
  <c r="Q272" i="80"/>
  <c r="O272" i="80"/>
  <c r="M272" i="80"/>
  <c r="K272" i="80"/>
  <c r="I272" i="80"/>
  <c r="G272" i="80"/>
  <c r="C272" i="80"/>
  <c r="R271" i="80"/>
  <c r="S271" i="80" s="1"/>
  <c r="Q271" i="80"/>
  <c r="O271" i="80"/>
  <c r="M271" i="80"/>
  <c r="K271" i="80"/>
  <c r="I271" i="80"/>
  <c r="G271" i="80"/>
  <c r="C271" i="80"/>
  <c r="R270" i="80"/>
  <c r="S270" i="80" s="1"/>
  <c r="Q270" i="80"/>
  <c r="O270" i="80"/>
  <c r="M270" i="80"/>
  <c r="K270" i="80"/>
  <c r="I270" i="80"/>
  <c r="G270" i="80"/>
  <c r="C270" i="80"/>
  <c r="R269" i="80"/>
  <c r="S269" i="80" s="1"/>
  <c r="Q269" i="80"/>
  <c r="O269" i="80"/>
  <c r="M269" i="80"/>
  <c r="K269" i="80"/>
  <c r="I269" i="80"/>
  <c r="G269" i="80"/>
  <c r="C269" i="80"/>
  <c r="R268" i="80"/>
  <c r="S268" i="80" s="1"/>
  <c r="Q268" i="80"/>
  <c r="O268" i="80"/>
  <c r="M268" i="80"/>
  <c r="K268" i="80"/>
  <c r="I268" i="80"/>
  <c r="G268" i="80"/>
  <c r="C268" i="80"/>
  <c r="R267" i="80"/>
  <c r="S267" i="80" s="1"/>
  <c r="Q267" i="80"/>
  <c r="O267" i="80"/>
  <c r="M267" i="80"/>
  <c r="K267" i="80"/>
  <c r="I267" i="80"/>
  <c r="G267" i="80"/>
  <c r="C267" i="80"/>
  <c r="R266" i="80"/>
  <c r="S266" i="80" s="1"/>
  <c r="Q266" i="80"/>
  <c r="O266" i="80"/>
  <c r="M266" i="80"/>
  <c r="K266" i="80"/>
  <c r="I266" i="80"/>
  <c r="G266" i="80"/>
  <c r="C266" i="80"/>
  <c r="R265" i="80"/>
  <c r="S265" i="80" s="1"/>
  <c r="Q265" i="80"/>
  <c r="O265" i="80"/>
  <c r="M265" i="80"/>
  <c r="K265" i="80"/>
  <c r="I265" i="80"/>
  <c r="G265" i="80"/>
  <c r="C265" i="80"/>
  <c r="R264" i="80"/>
  <c r="S264" i="80" s="1"/>
  <c r="Q264" i="80"/>
  <c r="O264" i="80"/>
  <c r="M264" i="80"/>
  <c r="K264" i="80"/>
  <c r="I264" i="80"/>
  <c r="G264" i="80"/>
  <c r="C264" i="80"/>
  <c r="R263" i="80"/>
  <c r="S263" i="80" s="1"/>
  <c r="Q263" i="80"/>
  <c r="O263" i="80"/>
  <c r="M263" i="80"/>
  <c r="K263" i="80"/>
  <c r="I263" i="80"/>
  <c r="G263" i="80"/>
  <c r="C263" i="80"/>
  <c r="R262" i="80"/>
  <c r="S262" i="80" s="1"/>
  <c r="Q262" i="80"/>
  <c r="O262" i="80"/>
  <c r="M262" i="80"/>
  <c r="K262" i="80"/>
  <c r="I262" i="80"/>
  <c r="G262" i="80"/>
  <c r="C262" i="80"/>
  <c r="R261" i="80"/>
  <c r="S261" i="80" s="1"/>
  <c r="Q261" i="80"/>
  <c r="O261" i="80"/>
  <c r="M261" i="80"/>
  <c r="K261" i="80"/>
  <c r="I261" i="80"/>
  <c r="G261" i="80"/>
  <c r="C261" i="80"/>
  <c r="R260" i="80"/>
  <c r="S260" i="80" s="1"/>
  <c r="Q260" i="80"/>
  <c r="O260" i="80"/>
  <c r="M260" i="80"/>
  <c r="K260" i="80"/>
  <c r="I260" i="80"/>
  <c r="G260" i="80"/>
  <c r="C260" i="80"/>
  <c r="R259" i="80"/>
  <c r="S259" i="80" s="1"/>
  <c r="Q259" i="80"/>
  <c r="O259" i="80"/>
  <c r="M259" i="80"/>
  <c r="K259" i="80"/>
  <c r="I259" i="80"/>
  <c r="G259" i="80"/>
  <c r="C259" i="80"/>
  <c r="R258" i="80"/>
  <c r="S258" i="80" s="1"/>
  <c r="Q258" i="80"/>
  <c r="O258" i="80"/>
  <c r="M258" i="80"/>
  <c r="K258" i="80"/>
  <c r="I258" i="80"/>
  <c r="G258" i="80"/>
  <c r="C258" i="80"/>
  <c r="R257" i="80"/>
  <c r="S257" i="80" s="1"/>
  <c r="Q257" i="80"/>
  <c r="O257" i="80"/>
  <c r="M257" i="80"/>
  <c r="K257" i="80"/>
  <c r="I257" i="80"/>
  <c r="G257" i="80"/>
  <c r="C257" i="80"/>
  <c r="R256" i="80"/>
  <c r="S256" i="80" s="1"/>
  <c r="Q256" i="80"/>
  <c r="O256" i="80"/>
  <c r="M256" i="80"/>
  <c r="K256" i="80"/>
  <c r="I256" i="80"/>
  <c r="G256" i="80"/>
  <c r="C256" i="80"/>
  <c r="R255" i="80"/>
  <c r="S255" i="80" s="1"/>
  <c r="Q255" i="80"/>
  <c r="O255" i="80"/>
  <c r="M255" i="80"/>
  <c r="K255" i="80"/>
  <c r="I255" i="80"/>
  <c r="G255" i="80"/>
  <c r="C255" i="80"/>
  <c r="R254" i="80"/>
  <c r="S254" i="80" s="1"/>
  <c r="Q254" i="80"/>
  <c r="O254" i="80"/>
  <c r="M254" i="80"/>
  <c r="K254" i="80"/>
  <c r="I254" i="80"/>
  <c r="G254" i="80"/>
  <c r="C254" i="80"/>
  <c r="R253" i="80"/>
  <c r="S253" i="80" s="1"/>
  <c r="Q253" i="80"/>
  <c r="O253" i="80"/>
  <c r="M253" i="80"/>
  <c r="K253" i="80"/>
  <c r="I253" i="80"/>
  <c r="G253" i="80"/>
  <c r="C253" i="80"/>
  <c r="R252" i="80"/>
  <c r="S252" i="80" s="1"/>
  <c r="Q252" i="80"/>
  <c r="O252" i="80"/>
  <c r="M252" i="80"/>
  <c r="K252" i="80"/>
  <c r="I252" i="80"/>
  <c r="G252" i="80"/>
  <c r="C252" i="80"/>
  <c r="R251" i="80"/>
  <c r="S251" i="80" s="1"/>
  <c r="Q251" i="80"/>
  <c r="O251" i="80"/>
  <c r="M251" i="80"/>
  <c r="K251" i="80"/>
  <c r="I251" i="80"/>
  <c r="G251" i="80"/>
  <c r="C251" i="80"/>
  <c r="R250" i="80"/>
  <c r="S250" i="80" s="1"/>
  <c r="Q250" i="80"/>
  <c r="O250" i="80"/>
  <c r="M250" i="80"/>
  <c r="K250" i="80"/>
  <c r="I250" i="80"/>
  <c r="G250" i="80"/>
  <c r="C250" i="80"/>
  <c r="R249" i="80"/>
  <c r="S249" i="80" s="1"/>
  <c r="Q249" i="80"/>
  <c r="O249" i="80"/>
  <c r="M249" i="80"/>
  <c r="K249" i="80"/>
  <c r="I249" i="80"/>
  <c r="G249" i="80"/>
  <c r="C249" i="80"/>
  <c r="R248" i="80"/>
  <c r="S248" i="80" s="1"/>
  <c r="Q248" i="80"/>
  <c r="O248" i="80"/>
  <c r="M248" i="80"/>
  <c r="K248" i="80"/>
  <c r="I248" i="80"/>
  <c r="G248" i="80"/>
  <c r="C248" i="80"/>
  <c r="R247" i="80"/>
  <c r="S247" i="80" s="1"/>
  <c r="Q247" i="80"/>
  <c r="O247" i="80"/>
  <c r="M247" i="80"/>
  <c r="K247" i="80"/>
  <c r="I247" i="80"/>
  <c r="G247" i="80"/>
  <c r="C247" i="80"/>
  <c r="R246" i="80"/>
  <c r="S246" i="80" s="1"/>
  <c r="Q246" i="80"/>
  <c r="O246" i="80"/>
  <c r="M246" i="80"/>
  <c r="K246" i="80"/>
  <c r="I246" i="80"/>
  <c r="G246" i="80"/>
  <c r="C246" i="80"/>
  <c r="R245" i="80"/>
  <c r="S245" i="80" s="1"/>
  <c r="Q245" i="80"/>
  <c r="O245" i="80"/>
  <c r="M245" i="80"/>
  <c r="K245" i="80"/>
  <c r="I245" i="80"/>
  <c r="G245" i="80"/>
  <c r="C245" i="80"/>
  <c r="R244" i="80"/>
  <c r="S244" i="80" s="1"/>
  <c r="Q244" i="80"/>
  <c r="O244" i="80"/>
  <c r="M244" i="80"/>
  <c r="K244" i="80"/>
  <c r="I244" i="80"/>
  <c r="G244" i="80"/>
  <c r="C244" i="80"/>
  <c r="R243" i="80"/>
  <c r="S243" i="80" s="1"/>
  <c r="Q243" i="80"/>
  <c r="O243" i="80"/>
  <c r="M243" i="80"/>
  <c r="K243" i="80"/>
  <c r="I243" i="80"/>
  <c r="G243" i="80"/>
  <c r="C243" i="80"/>
  <c r="R242" i="80"/>
  <c r="S242" i="80" s="1"/>
  <c r="Q242" i="80"/>
  <c r="O242" i="80"/>
  <c r="M242" i="80"/>
  <c r="K242" i="80"/>
  <c r="I242" i="80"/>
  <c r="G242" i="80"/>
  <c r="C242" i="80"/>
  <c r="R241" i="80"/>
  <c r="S241" i="80" s="1"/>
  <c r="Q241" i="80"/>
  <c r="O241" i="80"/>
  <c r="M241" i="80"/>
  <c r="K241" i="80"/>
  <c r="I241" i="80"/>
  <c r="G241" i="80"/>
  <c r="C241" i="80"/>
  <c r="Q240" i="80"/>
  <c r="O240" i="80"/>
  <c r="M240" i="80"/>
  <c r="K240" i="80"/>
  <c r="I240" i="80"/>
  <c r="G240" i="80"/>
  <c r="Q239" i="80"/>
  <c r="O239" i="80"/>
  <c r="M239" i="80"/>
  <c r="K239" i="80"/>
  <c r="I239" i="80"/>
  <c r="G239" i="80"/>
  <c r="Q238" i="80"/>
  <c r="O238" i="80"/>
  <c r="M238" i="80"/>
  <c r="K238" i="80"/>
  <c r="I238" i="80"/>
  <c r="G238" i="80"/>
  <c r="Q237" i="80"/>
  <c r="O237" i="80"/>
  <c r="M237" i="80"/>
  <c r="K237" i="80"/>
  <c r="I237" i="80"/>
  <c r="G237" i="80"/>
  <c r="Q236" i="80"/>
  <c r="O236" i="80"/>
  <c r="M236" i="80"/>
  <c r="K236" i="80"/>
  <c r="I236" i="80"/>
  <c r="G236" i="80"/>
  <c r="Q235" i="80"/>
  <c r="O235" i="80"/>
  <c r="M235" i="80"/>
  <c r="K235" i="80"/>
  <c r="I235" i="80"/>
  <c r="G235" i="80"/>
  <c r="Q234" i="80"/>
  <c r="O234" i="80"/>
  <c r="M234" i="80"/>
  <c r="K234" i="80"/>
  <c r="I234" i="80"/>
  <c r="G234" i="80"/>
  <c r="Q233" i="80"/>
  <c r="O233" i="80"/>
  <c r="M233" i="80"/>
  <c r="K233" i="80"/>
  <c r="I233" i="80"/>
  <c r="G233" i="80"/>
  <c r="Q232" i="80"/>
  <c r="O232" i="80"/>
  <c r="M232" i="80"/>
  <c r="K232" i="80"/>
  <c r="I232" i="80"/>
  <c r="G232" i="80"/>
  <c r="Q231" i="80"/>
  <c r="O231" i="80"/>
  <c r="M231" i="80"/>
  <c r="K231" i="80"/>
  <c r="I231" i="80"/>
  <c r="G231" i="80"/>
  <c r="Q230" i="80"/>
  <c r="O230" i="80"/>
  <c r="M230" i="80"/>
  <c r="K230" i="80"/>
  <c r="I230" i="80"/>
  <c r="G230" i="80"/>
  <c r="Q229" i="80"/>
  <c r="O229" i="80"/>
  <c r="M229" i="80"/>
  <c r="K229" i="80"/>
  <c r="I229" i="80"/>
  <c r="G229" i="80"/>
  <c r="Q228" i="80"/>
  <c r="O228" i="80"/>
  <c r="M228" i="80"/>
  <c r="K228" i="80"/>
  <c r="I228" i="80"/>
  <c r="G228" i="80"/>
  <c r="Q227" i="80"/>
  <c r="O227" i="80"/>
  <c r="M227" i="80"/>
  <c r="K227" i="80"/>
  <c r="I227" i="80"/>
  <c r="G227" i="80"/>
  <c r="Q226" i="80"/>
  <c r="O226" i="80"/>
  <c r="M226" i="80"/>
  <c r="K226" i="80"/>
  <c r="I226" i="80"/>
  <c r="G226" i="80"/>
  <c r="Q225" i="80"/>
  <c r="O225" i="80"/>
  <c r="M225" i="80"/>
  <c r="K225" i="80"/>
  <c r="I225" i="80"/>
  <c r="G225" i="80"/>
  <c r="Q224" i="80"/>
  <c r="O224" i="80"/>
  <c r="M224" i="80"/>
  <c r="K224" i="80"/>
  <c r="I224" i="80"/>
  <c r="G224" i="80"/>
  <c r="Q223" i="80"/>
  <c r="O223" i="80"/>
  <c r="M223" i="80"/>
  <c r="K223" i="80"/>
  <c r="I223" i="80"/>
  <c r="G223" i="80"/>
  <c r="Q222" i="80"/>
  <c r="O222" i="80"/>
  <c r="M222" i="80"/>
  <c r="K222" i="80"/>
  <c r="I222" i="80"/>
  <c r="G222" i="80"/>
  <c r="Q221" i="80"/>
  <c r="O221" i="80"/>
  <c r="M221" i="80"/>
  <c r="K221" i="80"/>
  <c r="I221" i="80"/>
  <c r="G221" i="80"/>
  <c r="Q220" i="80"/>
  <c r="O220" i="80"/>
  <c r="M220" i="80"/>
  <c r="K220" i="80"/>
  <c r="I220" i="80"/>
  <c r="G220" i="80"/>
  <c r="Q219" i="80"/>
  <c r="O219" i="80"/>
  <c r="M219" i="80"/>
  <c r="K219" i="80"/>
  <c r="I219" i="80"/>
  <c r="G219" i="80"/>
  <c r="Q218" i="80"/>
  <c r="O218" i="80"/>
  <c r="M218" i="80"/>
  <c r="K218" i="80"/>
  <c r="I218" i="80"/>
  <c r="G218" i="80"/>
  <c r="Q217" i="80"/>
  <c r="O217" i="80"/>
  <c r="M217" i="80"/>
  <c r="K217" i="80"/>
  <c r="I217" i="80"/>
  <c r="G217" i="80"/>
  <c r="Q216" i="80"/>
  <c r="O216" i="80"/>
  <c r="M216" i="80"/>
  <c r="K216" i="80"/>
  <c r="I216" i="80"/>
  <c r="G216" i="80"/>
  <c r="Q215" i="80"/>
  <c r="O215" i="80"/>
  <c r="M215" i="80"/>
  <c r="K215" i="80"/>
  <c r="I215" i="80"/>
  <c r="G215" i="80"/>
  <c r="Q214" i="80"/>
  <c r="O214" i="80"/>
  <c r="M214" i="80"/>
  <c r="K214" i="80"/>
  <c r="I214" i="80"/>
  <c r="G214" i="80"/>
  <c r="Q213" i="80"/>
  <c r="O213" i="80"/>
  <c r="M213" i="80"/>
  <c r="K213" i="80"/>
  <c r="I213" i="80"/>
  <c r="G213" i="80"/>
  <c r="Q212" i="80"/>
  <c r="O212" i="80"/>
  <c r="M212" i="80"/>
  <c r="K212" i="80"/>
  <c r="I212" i="80"/>
  <c r="G212" i="80"/>
  <c r="Q211" i="80"/>
  <c r="O211" i="80"/>
  <c r="M211" i="80"/>
  <c r="K211" i="80"/>
  <c r="I211" i="80"/>
  <c r="G211" i="80"/>
  <c r="Q210" i="80"/>
  <c r="O210" i="80"/>
  <c r="M210" i="80"/>
  <c r="K210" i="80"/>
  <c r="I210" i="80"/>
  <c r="G210" i="80"/>
  <c r="Q209" i="80"/>
  <c r="O209" i="80"/>
  <c r="M209" i="80"/>
  <c r="K209" i="80"/>
  <c r="I209" i="80"/>
  <c r="G209" i="80"/>
  <c r="Q208" i="80"/>
  <c r="O208" i="80"/>
  <c r="M208" i="80"/>
  <c r="K208" i="80"/>
  <c r="I208" i="80"/>
  <c r="G208" i="80"/>
  <c r="Q207" i="80"/>
  <c r="O207" i="80"/>
  <c r="M207" i="80"/>
  <c r="K207" i="80"/>
  <c r="I207" i="80"/>
  <c r="G207" i="80"/>
  <c r="Q206" i="80"/>
  <c r="O206" i="80"/>
  <c r="M206" i="80"/>
  <c r="K206" i="80"/>
  <c r="I206" i="80"/>
  <c r="G206" i="80"/>
  <c r="Q205" i="80"/>
  <c r="O205" i="80"/>
  <c r="M205" i="80"/>
  <c r="K205" i="80"/>
  <c r="I205" i="80"/>
  <c r="G205" i="80"/>
  <c r="Q204" i="80"/>
  <c r="O204" i="80"/>
  <c r="M204" i="80"/>
  <c r="K204" i="80"/>
  <c r="I204" i="80"/>
  <c r="G204" i="80"/>
  <c r="Q203" i="80"/>
  <c r="O203" i="80"/>
  <c r="M203" i="80"/>
  <c r="K203" i="80"/>
  <c r="I203" i="80"/>
  <c r="G203" i="80"/>
  <c r="Q202" i="80"/>
  <c r="O202" i="80"/>
  <c r="M202" i="80"/>
  <c r="K202" i="80"/>
  <c r="I202" i="80"/>
  <c r="G202" i="80"/>
  <c r="Q201" i="80"/>
  <c r="O201" i="80"/>
  <c r="M201" i="80"/>
  <c r="K201" i="80"/>
  <c r="I201" i="80"/>
  <c r="G201" i="80"/>
  <c r="Q200" i="80"/>
  <c r="O200" i="80"/>
  <c r="M200" i="80"/>
  <c r="K200" i="80"/>
  <c r="I200" i="80"/>
  <c r="G200" i="80"/>
  <c r="Q199" i="80"/>
  <c r="O199" i="80"/>
  <c r="M199" i="80"/>
  <c r="K199" i="80"/>
  <c r="I199" i="80"/>
  <c r="G199" i="80"/>
  <c r="Q198" i="80"/>
  <c r="O198" i="80"/>
  <c r="M198" i="80"/>
  <c r="K198" i="80"/>
  <c r="I198" i="80"/>
  <c r="G198" i="80"/>
  <c r="Q197" i="80"/>
  <c r="O197" i="80"/>
  <c r="M197" i="80"/>
  <c r="K197" i="80"/>
  <c r="I197" i="80"/>
  <c r="G197" i="80"/>
  <c r="Q196" i="80"/>
  <c r="O196" i="80"/>
  <c r="M196" i="80"/>
  <c r="K196" i="80"/>
  <c r="I196" i="80"/>
  <c r="G196" i="80"/>
  <c r="Q195" i="80"/>
  <c r="O195" i="80"/>
  <c r="M195" i="80"/>
  <c r="K195" i="80"/>
  <c r="I195" i="80"/>
  <c r="G195" i="80"/>
  <c r="Q194" i="80"/>
  <c r="O194" i="80"/>
  <c r="M194" i="80"/>
  <c r="K194" i="80"/>
  <c r="I194" i="80"/>
  <c r="G194" i="80"/>
  <c r="Q193" i="80"/>
  <c r="O193" i="80"/>
  <c r="M193" i="80"/>
  <c r="K193" i="80"/>
  <c r="I193" i="80"/>
  <c r="G193" i="80"/>
  <c r="Q192" i="80"/>
  <c r="O192" i="80"/>
  <c r="M192" i="80"/>
  <c r="K192" i="80"/>
  <c r="I192" i="80"/>
  <c r="G192" i="80"/>
  <c r="Q191" i="80"/>
  <c r="O191" i="80"/>
  <c r="M191" i="80"/>
  <c r="K191" i="80"/>
  <c r="I191" i="80"/>
  <c r="G191" i="80"/>
  <c r="Q190" i="80"/>
  <c r="O190" i="80"/>
  <c r="M190" i="80"/>
  <c r="K190" i="80"/>
  <c r="I190" i="80"/>
  <c r="G190" i="80"/>
  <c r="Q189" i="80"/>
  <c r="O189" i="80"/>
  <c r="M189" i="80"/>
  <c r="K189" i="80"/>
  <c r="I189" i="80"/>
  <c r="G189" i="80"/>
  <c r="Q188" i="80"/>
  <c r="O188" i="80"/>
  <c r="M188" i="80"/>
  <c r="K188" i="80"/>
  <c r="I188" i="80"/>
  <c r="G188" i="80"/>
  <c r="Q187" i="80"/>
  <c r="O187" i="80"/>
  <c r="M187" i="80"/>
  <c r="K187" i="80"/>
  <c r="I187" i="80"/>
  <c r="G187" i="80"/>
  <c r="Q186" i="80"/>
  <c r="O186" i="80"/>
  <c r="M186" i="80"/>
  <c r="K186" i="80"/>
  <c r="I186" i="80"/>
  <c r="G186" i="80"/>
  <c r="Q185" i="80"/>
  <c r="O185" i="80"/>
  <c r="M185" i="80"/>
  <c r="K185" i="80"/>
  <c r="I185" i="80"/>
  <c r="G185" i="80"/>
  <c r="Q184" i="80"/>
  <c r="O184" i="80"/>
  <c r="M184" i="80"/>
  <c r="K184" i="80"/>
  <c r="I184" i="80"/>
  <c r="G184" i="80"/>
  <c r="Q183" i="80"/>
  <c r="O183" i="80"/>
  <c r="M183" i="80"/>
  <c r="K183" i="80"/>
  <c r="I183" i="80"/>
  <c r="G183" i="80"/>
  <c r="Q182" i="80"/>
  <c r="O182" i="80"/>
  <c r="M182" i="80"/>
  <c r="K182" i="80"/>
  <c r="I182" i="80"/>
  <c r="G182" i="80"/>
  <c r="Q181" i="80"/>
  <c r="O181" i="80"/>
  <c r="M181" i="80"/>
  <c r="K181" i="80"/>
  <c r="I181" i="80"/>
  <c r="G181" i="80"/>
  <c r="Q180" i="80"/>
  <c r="O180" i="80"/>
  <c r="M180" i="80"/>
  <c r="K180" i="80"/>
  <c r="I180" i="80"/>
  <c r="G180" i="80"/>
  <c r="Q179" i="80"/>
  <c r="O179" i="80"/>
  <c r="M179" i="80"/>
  <c r="K179" i="80"/>
  <c r="I179" i="80"/>
  <c r="G179" i="80"/>
  <c r="Q178" i="80"/>
  <c r="O178" i="80"/>
  <c r="M178" i="80"/>
  <c r="K178" i="80"/>
  <c r="I178" i="80"/>
  <c r="G178" i="80"/>
  <c r="Q177" i="80"/>
  <c r="O177" i="80"/>
  <c r="M177" i="80"/>
  <c r="K177" i="80"/>
  <c r="I177" i="80"/>
  <c r="G177" i="80"/>
  <c r="Q176" i="80"/>
  <c r="O176" i="80"/>
  <c r="M176" i="80"/>
  <c r="K176" i="80"/>
  <c r="I176" i="80"/>
  <c r="G176" i="80"/>
  <c r="Q175" i="80"/>
  <c r="O175" i="80"/>
  <c r="M175" i="80"/>
  <c r="K175" i="80"/>
  <c r="I175" i="80"/>
  <c r="G175" i="80"/>
  <c r="Q174" i="80"/>
  <c r="O174" i="80"/>
  <c r="M174" i="80"/>
  <c r="K174" i="80"/>
  <c r="I174" i="80"/>
  <c r="G174" i="80"/>
  <c r="Q173" i="80"/>
  <c r="O173" i="80"/>
  <c r="M173" i="80"/>
  <c r="K173" i="80"/>
  <c r="I173" i="80"/>
  <c r="G173" i="80"/>
  <c r="Q172" i="80"/>
  <c r="O172" i="80"/>
  <c r="M172" i="80"/>
  <c r="K172" i="80"/>
  <c r="I172" i="80"/>
  <c r="G172" i="80"/>
  <c r="Q171" i="80"/>
  <c r="O171" i="80"/>
  <c r="M171" i="80"/>
  <c r="K171" i="80"/>
  <c r="I171" i="80"/>
  <c r="G171" i="80"/>
  <c r="Q170" i="80"/>
  <c r="O170" i="80"/>
  <c r="M170" i="80"/>
  <c r="K170" i="80"/>
  <c r="I170" i="80"/>
  <c r="G170" i="80"/>
  <c r="Q169" i="80"/>
  <c r="O169" i="80"/>
  <c r="M169" i="80"/>
  <c r="K169" i="80"/>
  <c r="I169" i="80"/>
  <c r="G169" i="80"/>
  <c r="Q168" i="80"/>
  <c r="O168" i="80"/>
  <c r="M168" i="80"/>
  <c r="K168" i="80"/>
  <c r="I168" i="80"/>
  <c r="G168" i="80"/>
  <c r="Q167" i="80"/>
  <c r="O167" i="80"/>
  <c r="M167" i="80"/>
  <c r="K167" i="80"/>
  <c r="I167" i="80"/>
  <c r="G167" i="80"/>
  <c r="Q166" i="80"/>
  <c r="O166" i="80"/>
  <c r="M166" i="80"/>
  <c r="K166" i="80"/>
  <c r="I166" i="80"/>
  <c r="G166" i="80"/>
  <c r="Q165" i="80"/>
  <c r="O165" i="80"/>
  <c r="M165" i="80"/>
  <c r="K165" i="80"/>
  <c r="I165" i="80"/>
  <c r="G165" i="80"/>
  <c r="Q164" i="80"/>
  <c r="O164" i="80"/>
  <c r="M164" i="80"/>
  <c r="K164" i="80"/>
  <c r="I164" i="80"/>
  <c r="G164" i="80"/>
  <c r="Q163" i="80"/>
  <c r="O163" i="80"/>
  <c r="M163" i="80"/>
  <c r="K163" i="80"/>
  <c r="I163" i="80"/>
  <c r="G163" i="80"/>
  <c r="Q162" i="80"/>
  <c r="O162" i="80"/>
  <c r="M162" i="80"/>
  <c r="K162" i="80"/>
  <c r="I162" i="80"/>
  <c r="G162" i="80"/>
  <c r="Q161" i="80"/>
  <c r="O161" i="80"/>
  <c r="M161" i="80"/>
  <c r="K161" i="80"/>
  <c r="I161" i="80"/>
  <c r="G161" i="80"/>
  <c r="Q160" i="80"/>
  <c r="O160" i="80"/>
  <c r="M160" i="80"/>
  <c r="K160" i="80"/>
  <c r="I160" i="80"/>
  <c r="G160" i="80"/>
  <c r="Q159" i="80"/>
  <c r="O159" i="80"/>
  <c r="M159" i="80"/>
  <c r="K159" i="80"/>
  <c r="I159" i="80"/>
  <c r="G159" i="80"/>
  <c r="Q158" i="80"/>
  <c r="O158" i="80"/>
  <c r="M158" i="80"/>
  <c r="K158" i="80"/>
  <c r="I158" i="80"/>
  <c r="G158" i="80"/>
  <c r="Q157" i="80"/>
  <c r="O157" i="80"/>
  <c r="M157" i="80"/>
  <c r="K157" i="80"/>
  <c r="I157" i="80"/>
  <c r="G157" i="80"/>
  <c r="Q156" i="80"/>
  <c r="O156" i="80"/>
  <c r="M156" i="80"/>
  <c r="K156" i="80"/>
  <c r="I156" i="80"/>
  <c r="G156" i="80"/>
  <c r="Q155" i="80"/>
  <c r="O155" i="80"/>
  <c r="M155" i="80"/>
  <c r="K155" i="80"/>
  <c r="I155" i="80"/>
  <c r="G155" i="80"/>
  <c r="Q154" i="80"/>
  <c r="O154" i="80"/>
  <c r="M154" i="80"/>
  <c r="K154" i="80"/>
  <c r="I154" i="80"/>
  <c r="G154" i="80"/>
  <c r="Q153" i="80"/>
  <c r="O153" i="80"/>
  <c r="M153" i="80"/>
  <c r="K153" i="80"/>
  <c r="I153" i="80"/>
  <c r="G153" i="80"/>
  <c r="Q152" i="80"/>
  <c r="O152" i="80"/>
  <c r="M152" i="80"/>
  <c r="K152" i="80"/>
  <c r="I152" i="80"/>
  <c r="G152" i="80"/>
  <c r="Q151" i="80"/>
  <c r="O151" i="80"/>
  <c r="M151" i="80"/>
  <c r="K151" i="80"/>
  <c r="I151" i="80"/>
  <c r="G151" i="80"/>
  <c r="Q150" i="80"/>
  <c r="O150" i="80"/>
  <c r="M150" i="80"/>
  <c r="K150" i="80"/>
  <c r="I150" i="80"/>
  <c r="G150" i="80"/>
  <c r="Q149" i="80"/>
  <c r="O149" i="80"/>
  <c r="M149" i="80"/>
  <c r="K149" i="80"/>
  <c r="I149" i="80"/>
  <c r="G149" i="80"/>
  <c r="Q148" i="80"/>
  <c r="O148" i="80"/>
  <c r="M148" i="80"/>
  <c r="K148" i="80"/>
  <c r="I148" i="80"/>
  <c r="G148" i="80"/>
  <c r="Q147" i="80"/>
  <c r="O147" i="80"/>
  <c r="M147" i="80"/>
  <c r="K147" i="80"/>
  <c r="I147" i="80"/>
  <c r="G147" i="80"/>
  <c r="Q146" i="80"/>
  <c r="O146" i="80"/>
  <c r="M146" i="80"/>
  <c r="K146" i="80"/>
  <c r="I146" i="80"/>
  <c r="G146" i="80"/>
  <c r="Q145" i="80"/>
  <c r="O145" i="80"/>
  <c r="M145" i="80"/>
  <c r="K145" i="80"/>
  <c r="I145" i="80"/>
  <c r="G145" i="80"/>
  <c r="Q144" i="80"/>
  <c r="O144" i="80"/>
  <c r="M144" i="80"/>
  <c r="K144" i="80"/>
  <c r="I144" i="80"/>
  <c r="G144" i="80"/>
  <c r="Q143" i="80"/>
  <c r="O143" i="80"/>
  <c r="M143" i="80"/>
  <c r="K143" i="80"/>
  <c r="I143" i="80"/>
  <c r="G143" i="80"/>
  <c r="Q142" i="80"/>
  <c r="O142" i="80"/>
  <c r="M142" i="80"/>
  <c r="K142" i="80"/>
  <c r="I142" i="80"/>
  <c r="G142" i="80"/>
  <c r="Q141" i="80"/>
  <c r="O141" i="80"/>
  <c r="M141" i="80"/>
  <c r="K141" i="80"/>
  <c r="I141" i="80"/>
  <c r="G141" i="80"/>
  <c r="Q140" i="80"/>
  <c r="O140" i="80"/>
  <c r="M140" i="80"/>
  <c r="K140" i="80"/>
  <c r="I140" i="80"/>
  <c r="G140" i="80"/>
  <c r="Q139" i="80"/>
  <c r="O139" i="80"/>
  <c r="M139" i="80"/>
  <c r="K139" i="80"/>
  <c r="I139" i="80"/>
  <c r="G139" i="80"/>
  <c r="Q138" i="80"/>
  <c r="O138" i="80"/>
  <c r="M138" i="80"/>
  <c r="K138" i="80"/>
  <c r="I138" i="80"/>
  <c r="G138" i="80"/>
  <c r="Q137" i="80"/>
  <c r="O137" i="80"/>
  <c r="M137" i="80"/>
  <c r="K137" i="80"/>
  <c r="I137" i="80"/>
  <c r="G137" i="80"/>
  <c r="Q136" i="80"/>
  <c r="O136" i="80"/>
  <c r="M136" i="80"/>
  <c r="K136" i="80"/>
  <c r="I136" i="80"/>
  <c r="G136" i="80"/>
  <c r="Q135" i="80"/>
  <c r="O135" i="80"/>
  <c r="M135" i="80"/>
  <c r="K135" i="80"/>
  <c r="I135" i="80"/>
  <c r="G135" i="80"/>
  <c r="Q134" i="80"/>
  <c r="O134" i="80"/>
  <c r="M134" i="80"/>
  <c r="K134" i="80"/>
  <c r="I134" i="80"/>
  <c r="G134" i="80"/>
  <c r="Q133" i="80"/>
  <c r="O133" i="80"/>
  <c r="M133" i="80"/>
  <c r="K133" i="80"/>
  <c r="I133" i="80"/>
  <c r="G133" i="80"/>
  <c r="Q132" i="80"/>
  <c r="O132" i="80"/>
  <c r="M132" i="80"/>
  <c r="K132" i="80"/>
  <c r="I132" i="80"/>
  <c r="G132" i="80"/>
  <c r="Q131" i="80"/>
  <c r="O131" i="80"/>
  <c r="M131" i="80"/>
  <c r="K131" i="80"/>
  <c r="I131" i="80"/>
  <c r="G131" i="80"/>
  <c r="Q130" i="80"/>
  <c r="O130" i="80"/>
  <c r="M130" i="80"/>
  <c r="K130" i="80"/>
  <c r="I130" i="80"/>
  <c r="G130" i="80"/>
  <c r="Q129" i="80"/>
  <c r="O129" i="80"/>
  <c r="M129" i="80"/>
  <c r="K129" i="80"/>
  <c r="I129" i="80"/>
  <c r="G129" i="80"/>
  <c r="Q128" i="80"/>
  <c r="O128" i="80"/>
  <c r="M128" i="80"/>
  <c r="K128" i="80"/>
  <c r="I128" i="80"/>
  <c r="G128" i="80"/>
  <c r="Q127" i="80"/>
  <c r="O127" i="80"/>
  <c r="M127" i="80"/>
  <c r="K127" i="80"/>
  <c r="I127" i="80"/>
  <c r="G127" i="80"/>
  <c r="Q126" i="80"/>
  <c r="O126" i="80"/>
  <c r="M126" i="80"/>
  <c r="K126" i="80"/>
  <c r="I126" i="80"/>
  <c r="G126" i="80"/>
  <c r="Q125" i="80"/>
  <c r="O125" i="80"/>
  <c r="M125" i="80"/>
  <c r="K125" i="80"/>
  <c r="I125" i="80"/>
  <c r="G125" i="80"/>
  <c r="Q124" i="80"/>
  <c r="O124" i="80"/>
  <c r="M124" i="80"/>
  <c r="K124" i="80"/>
  <c r="I124" i="80"/>
  <c r="G124" i="80"/>
  <c r="Q123" i="80"/>
  <c r="O123" i="80"/>
  <c r="M123" i="80"/>
  <c r="K123" i="80"/>
  <c r="I123" i="80"/>
  <c r="G123" i="80"/>
  <c r="Q122" i="80"/>
  <c r="O122" i="80"/>
  <c r="M122" i="80"/>
  <c r="K122" i="80"/>
  <c r="I122" i="80"/>
  <c r="G122" i="80"/>
  <c r="Q121" i="80"/>
  <c r="O121" i="80"/>
  <c r="M121" i="80"/>
  <c r="K121" i="80"/>
  <c r="I121" i="80"/>
  <c r="G121" i="80"/>
  <c r="Q120" i="80"/>
  <c r="O120" i="80"/>
  <c r="M120" i="80"/>
  <c r="K120" i="80"/>
  <c r="I120" i="80"/>
  <c r="G120" i="80"/>
  <c r="Q119" i="80"/>
  <c r="O119" i="80"/>
  <c r="M119" i="80"/>
  <c r="K119" i="80"/>
  <c r="I119" i="80"/>
  <c r="G119" i="80"/>
  <c r="Q118" i="80"/>
  <c r="O118" i="80"/>
  <c r="M118" i="80"/>
  <c r="K118" i="80"/>
  <c r="I118" i="80"/>
  <c r="G118" i="80"/>
  <c r="Q117" i="80"/>
  <c r="O117" i="80"/>
  <c r="M117" i="80"/>
  <c r="K117" i="80"/>
  <c r="I117" i="80"/>
  <c r="G117" i="80"/>
  <c r="Q116" i="80"/>
  <c r="O116" i="80"/>
  <c r="M116" i="80"/>
  <c r="K116" i="80"/>
  <c r="I116" i="80"/>
  <c r="G116" i="80"/>
  <c r="Q115" i="80"/>
  <c r="O115" i="80"/>
  <c r="M115" i="80"/>
  <c r="K115" i="80"/>
  <c r="I115" i="80"/>
  <c r="G115" i="80"/>
  <c r="Q114" i="80"/>
  <c r="O114" i="80"/>
  <c r="M114" i="80"/>
  <c r="K114" i="80"/>
  <c r="I114" i="80"/>
  <c r="G114" i="80"/>
  <c r="Q113" i="80"/>
  <c r="O113" i="80"/>
  <c r="M113" i="80"/>
  <c r="K113" i="80"/>
  <c r="I113" i="80"/>
  <c r="G113" i="80"/>
  <c r="Q112" i="80"/>
  <c r="O112" i="80"/>
  <c r="M112" i="80"/>
  <c r="K112" i="80"/>
  <c r="I112" i="80"/>
  <c r="G112" i="80"/>
  <c r="Q111" i="80"/>
  <c r="O111" i="80"/>
  <c r="M111" i="80"/>
  <c r="K111" i="80"/>
  <c r="I111" i="80"/>
  <c r="G111" i="80"/>
  <c r="Q110" i="80"/>
  <c r="O110" i="80"/>
  <c r="M110" i="80"/>
  <c r="K110" i="80"/>
  <c r="I110" i="80"/>
  <c r="G110" i="80"/>
  <c r="Q109" i="80"/>
  <c r="O109" i="80"/>
  <c r="M109" i="80"/>
  <c r="K109" i="80"/>
  <c r="I109" i="80"/>
  <c r="G109" i="80"/>
  <c r="Q108" i="80"/>
  <c r="O108" i="80"/>
  <c r="M108" i="80"/>
  <c r="K108" i="80"/>
  <c r="I108" i="80"/>
  <c r="G108" i="80"/>
  <c r="Q107" i="80"/>
  <c r="O107" i="80"/>
  <c r="M107" i="80"/>
  <c r="K107" i="80"/>
  <c r="I107" i="80"/>
  <c r="G107" i="80"/>
  <c r="Q106" i="80"/>
  <c r="O106" i="80"/>
  <c r="M106" i="80"/>
  <c r="K106" i="80"/>
  <c r="I106" i="80"/>
  <c r="G106" i="80"/>
  <c r="Q105" i="80"/>
  <c r="O105" i="80"/>
  <c r="M105" i="80"/>
  <c r="K105" i="80"/>
  <c r="I105" i="80"/>
  <c r="G105" i="80"/>
  <c r="Q104" i="80"/>
  <c r="O104" i="80"/>
  <c r="M104" i="80"/>
  <c r="K104" i="80"/>
  <c r="I104" i="80"/>
  <c r="G104" i="80"/>
  <c r="Q103" i="80"/>
  <c r="O103" i="80"/>
  <c r="M103" i="80"/>
  <c r="K103" i="80"/>
  <c r="I103" i="80"/>
  <c r="G103" i="80"/>
  <c r="Q102" i="80"/>
  <c r="O102" i="80"/>
  <c r="M102" i="80"/>
  <c r="K102" i="80"/>
  <c r="I102" i="80"/>
  <c r="G102" i="80"/>
  <c r="Q101" i="80"/>
  <c r="O101" i="80"/>
  <c r="M101" i="80"/>
  <c r="K101" i="80"/>
  <c r="I101" i="80"/>
  <c r="G101" i="80"/>
  <c r="Q100" i="80"/>
  <c r="O100" i="80"/>
  <c r="M100" i="80"/>
  <c r="K100" i="80"/>
  <c r="I100" i="80"/>
  <c r="G100" i="80"/>
  <c r="Q99" i="80"/>
  <c r="O99" i="80"/>
  <c r="M99" i="80"/>
  <c r="K99" i="80"/>
  <c r="I99" i="80"/>
  <c r="G99" i="80"/>
  <c r="Q98" i="80"/>
  <c r="O98" i="80"/>
  <c r="M98" i="80"/>
  <c r="K98" i="80"/>
  <c r="I98" i="80"/>
  <c r="G98" i="80"/>
  <c r="Q97" i="80"/>
  <c r="O97" i="80"/>
  <c r="M97" i="80"/>
  <c r="K97" i="80"/>
  <c r="I97" i="80"/>
  <c r="G97" i="80"/>
  <c r="Q96" i="80"/>
  <c r="O96" i="80"/>
  <c r="M96" i="80"/>
  <c r="K96" i="80"/>
  <c r="I96" i="80"/>
  <c r="G96" i="80"/>
  <c r="Q95" i="80"/>
  <c r="O95" i="80"/>
  <c r="M95" i="80"/>
  <c r="K95" i="80"/>
  <c r="I95" i="80"/>
  <c r="G95" i="80"/>
  <c r="Q94" i="80"/>
  <c r="O94" i="80"/>
  <c r="M94" i="80"/>
  <c r="K94" i="80"/>
  <c r="I94" i="80"/>
  <c r="G94" i="80"/>
  <c r="Q93" i="80"/>
  <c r="O93" i="80"/>
  <c r="M93" i="80"/>
  <c r="K93" i="80"/>
  <c r="I93" i="80"/>
  <c r="G93" i="80"/>
  <c r="Q92" i="80"/>
  <c r="O92" i="80"/>
  <c r="M92" i="80"/>
  <c r="K92" i="80"/>
  <c r="I92" i="80"/>
  <c r="G92" i="80"/>
  <c r="Q91" i="80"/>
  <c r="O91" i="80"/>
  <c r="M91" i="80"/>
  <c r="K91" i="80"/>
  <c r="I91" i="80"/>
  <c r="G91" i="80"/>
  <c r="Q90" i="80"/>
  <c r="O90" i="80"/>
  <c r="M90" i="80"/>
  <c r="K90" i="80"/>
  <c r="I90" i="80"/>
  <c r="G90" i="80"/>
  <c r="Q89" i="80"/>
  <c r="O89" i="80"/>
  <c r="M89" i="80"/>
  <c r="K89" i="80"/>
  <c r="I89" i="80"/>
  <c r="G89" i="80"/>
  <c r="Q88" i="80"/>
  <c r="O88" i="80"/>
  <c r="M88" i="80"/>
  <c r="K88" i="80"/>
  <c r="I88" i="80"/>
  <c r="G88" i="80"/>
  <c r="Q87" i="80"/>
  <c r="O87" i="80"/>
  <c r="M87" i="80"/>
  <c r="K87" i="80"/>
  <c r="I87" i="80"/>
  <c r="G87" i="80"/>
  <c r="Q86" i="80"/>
  <c r="O86" i="80"/>
  <c r="M86" i="80"/>
  <c r="K86" i="80"/>
  <c r="I86" i="80"/>
  <c r="G86" i="80"/>
  <c r="Q85" i="80"/>
  <c r="O85" i="80"/>
  <c r="M85" i="80"/>
  <c r="K85" i="80"/>
  <c r="I85" i="80"/>
  <c r="G85" i="80"/>
  <c r="Q84" i="80"/>
  <c r="O84" i="80"/>
  <c r="M84" i="80"/>
  <c r="K84" i="80"/>
  <c r="I84" i="80"/>
  <c r="G84" i="80"/>
  <c r="Q83" i="80"/>
  <c r="O83" i="80"/>
  <c r="M83" i="80"/>
  <c r="K83" i="80"/>
  <c r="I83" i="80"/>
  <c r="G83" i="80"/>
  <c r="Q82" i="80"/>
  <c r="O82" i="80"/>
  <c r="M82" i="80"/>
  <c r="K82" i="80"/>
  <c r="I82" i="80"/>
  <c r="G82" i="80"/>
  <c r="Q81" i="80"/>
  <c r="O81" i="80"/>
  <c r="M81" i="80"/>
  <c r="K81" i="80"/>
  <c r="I81" i="80"/>
  <c r="G81" i="80"/>
  <c r="Q80" i="80"/>
  <c r="O80" i="80"/>
  <c r="M80" i="80"/>
  <c r="K80" i="80"/>
  <c r="I80" i="80"/>
  <c r="G80" i="80"/>
  <c r="Q79" i="80"/>
  <c r="O79" i="80"/>
  <c r="M79" i="80"/>
  <c r="K79" i="80"/>
  <c r="I79" i="80"/>
  <c r="G79" i="80"/>
  <c r="Q78" i="80"/>
  <c r="O78" i="80"/>
  <c r="M78" i="80"/>
  <c r="K78" i="80"/>
  <c r="I78" i="80"/>
  <c r="G78" i="80"/>
  <c r="Q77" i="80"/>
  <c r="O77" i="80"/>
  <c r="M77" i="80"/>
  <c r="K77" i="80"/>
  <c r="I77" i="80"/>
  <c r="G77" i="80"/>
  <c r="Q76" i="80"/>
  <c r="O76" i="80"/>
  <c r="M76" i="80"/>
  <c r="K76" i="80"/>
  <c r="I76" i="80"/>
  <c r="G76" i="80"/>
  <c r="Q75" i="80"/>
  <c r="O75" i="80"/>
  <c r="M75" i="80"/>
  <c r="K75" i="80"/>
  <c r="I75" i="80"/>
  <c r="G75" i="80"/>
  <c r="Q74" i="80"/>
  <c r="O74" i="80"/>
  <c r="M74" i="80"/>
  <c r="K74" i="80"/>
  <c r="I74" i="80"/>
  <c r="G74" i="80"/>
  <c r="Q73" i="80"/>
  <c r="O73" i="80"/>
  <c r="M73" i="80"/>
  <c r="K73" i="80"/>
  <c r="I73" i="80"/>
  <c r="G73" i="80"/>
  <c r="Q72" i="80"/>
  <c r="O72" i="80"/>
  <c r="M72" i="80"/>
  <c r="K72" i="80"/>
  <c r="I72" i="80"/>
  <c r="G72" i="80"/>
  <c r="Q71" i="80"/>
  <c r="O71" i="80"/>
  <c r="M71" i="80"/>
  <c r="K71" i="80"/>
  <c r="I71" i="80"/>
  <c r="G71" i="80"/>
  <c r="Q70" i="80"/>
  <c r="O70" i="80"/>
  <c r="M70" i="80"/>
  <c r="K70" i="80"/>
  <c r="I70" i="80"/>
  <c r="G70" i="80"/>
  <c r="Q69" i="80"/>
  <c r="O69" i="80"/>
  <c r="M69" i="80"/>
  <c r="K69" i="80"/>
  <c r="I69" i="80"/>
  <c r="G69" i="80"/>
  <c r="Q68" i="80"/>
  <c r="O68" i="80"/>
  <c r="M68" i="80"/>
  <c r="K68" i="80"/>
  <c r="I68" i="80"/>
  <c r="G68" i="80"/>
  <c r="Q67" i="80"/>
  <c r="O67" i="80"/>
  <c r="M67" i="80"/>
  <c r="K67" i="80"/>
  <c r="I67" i="80"/>
  <c r="G67" i="80"/>
  <c r="Q66" i="80"/>
  <c r="O66" i="80"/>
  <c r="M66" i="80"/>
  <c r="K66" i="80"/>
  <c r="I66" i="80"/>
  <c r="G66" i="80"/>
  <c r="Q65" i="80"/>
  <c r="O65" i="80"/>
  <c r="M65" i="80"/>
  <c r="K65" i="80"/>
  <c r="I65" i="80"/>
  <c r="G65" i="80"/>
  <c r="Q64" i="80"/>
  <c r="O64" i="80"/>
  <c r="M64" i="80"/>
  <c r="K64" i="80"/>
  <c r="I64" i="80"/>
  <c r="G64" i="80"/>
  <c r="Q63" i="80"/>
  <c r="O63" i="80"/>
  <c r="M63" i="80"/>
  <c r="K63" i="80"/>
  <c r="I63" i="80"/>
  <c r="G63" i="80"/>
  <c r="Q62" i="80"/>
  <c r="O62" i="80"/>
  <c r="M62" i="80"/>
  <c r="K62" i="80"/>
  <c r="I62" i="80"/>
  <c r="G62" i="80"/>
  <c r="Q61" i="80"/>
  <c r="O61" i="80"/>
  <c r="M61" i="80"/>
  <c r="K61" i="80"/>
  <c r="I61" i="80"/>
  <c r="G61" i="80"/>
  <c r="Q60" i="80"/>
  <c r="O60" i="80"/>
  <c r="M60" i="80"/>
  <c r="K60" i="80"/>
  <c r="I60" i="80"/>
  <c r="G60" i="80"/>
  <c r="Q59" i="80"/>
  <c r="O59" i="80"/>
  <c r="M59" i="80"/>
  <c r="K59" i="80"/>
  <c r="I59" i="80"/>
  <c r="G59" i="80"/>
  <c r="Q58" i="80"/>
  <c r="O58" i="80"/>
  <c r="M58" i="80"/>
  <c r="K58" i="80"/>
  <c r="I58" i="80"/>
  <c r="G58" i="80"/>
  <c r="Q57" i="80"/>
  <c r="O57" i="80"/>
  <c r="M57" i="80"/>
  <c r="K57" i="80"/>
  <c r="I57" i="80"/>
  <c r="G57" i="80"/>
  <c r="Q56" i="80"/>
  <c r="O56" i="80"/>
  <c r="M56" i="80"/>
  <c r="K56" i="80"/>
  <c r="I56" i="80"/>
  <c r="G56" i="80"/>
  <c r="Q55" i="80"/>
  <c r="O55" i="80"/>
  <c r="M55" i="80"/>
  <c r="K55" i="80"/>
  <c r="I55" i="80"/>
  <c r="G55" i="80"/>
  <c r="Q54" i="80"/>
  <c r="O54" i="80"/>
  <c r="M54" i="80"/>
  <c r="K54" i="80"/>
  <c r="I54" i="80"/>
  <c r="G54" i="80"/>
  <c r="Q53" i="80"/>
  <c r="O53" i="80"/>
  <c r="M53" i="80"/>
  <c r="K53" i="80"/>
  <c r="I53" i="80"/>
  <c r="G53" i="80"/>
  <c r="Q52" i="80"/>
  <c r="O52" i="80"/>
  <c r="M52" i="80"/>
  <c r="K52" i="80"/>
  <c r="I52" i="80"/>
  <c r="G52" i="80"/>
  <c r="Q51" i="80"/>
  <c r="O51" i="80"/>
  <c r="M51" i="80"/>
  <c r="K51" i="80"/>
  <c r="I51" i="80"/>
  <c r="G51" i="80"/>
  <c r="Q50" i="80"/>
  <c r="O50" i="80"/>
  <c r="M50" i="80"/>
  <c r="K50" i="80"/>
  <c r="I50" i="80"/>
  <c r="G50" i="80"/>
  <c r="Q49" i="80"/>
  <c r="O49" i="80"/>
  <c r="M49" i="80"/>
  <c r="K49" i="80"/>
  <c r="I49" i="80"/>
  <c r="G49" i="80"/>
  <c r="Q48" i="80"/>
  <c r="O48" i="80"/>
  <c r="M48" i="80"/>
  <c r="K48" i="80"/>
  <c r="I48" i="80"/>
  <c r="G48" i="80"/>
  <c r="Q47" i="80"/>
  <c r="O47" i="80"/>
  <c r="M47" i="80"/>
  <c r="K47" i="80"/>
  <c r="I47" i="80"/>
  <c r="G47" i="80"/>
  <c r="Q46" i="80"/>
  <c r="O46" i="80"/>
  <c r="M46" i="80"/>
  <c r="K46" i="80"/>
  <c r="I46" i="80"/>
  <c r="G46" i="80"/>
  <c r="Q45" i="80"/>
  <c r="O45" i="80"/>
  <c r="M45" i="80"/>
  <c r="K45" i="80"/>
  <c r="I45" i="80"/>
  <c r="G45" i="80"/>
  <c r="Q44" i="80"/>
  <c r="O44" i="80"/>
  <c r="M44" i="80"/>
  <c r="K44" i="80"/>
  <c r="I44" i="80"/>
  <c r="G44" i="80"/>
  <c r="Q43" i="80"/>
  <c r="O43" i="80"/>
  <c r="M43" i="80"/>
  <c r="K43" i="80"/>
  <c r="I43" i="80"/>
  <c r="G43" i="80"/>
  <c r="Q42" i="80"/>
  <c r="O42" i="80"/>
  <c r="M42" i="80"/>
  <c r="K42" i="80"/>
  <c r="I42" i="80"/>
  <c r="G42" i="80"/>
  <c r="Q41" i="80"/>
  <c r="O41" i="80"/>
  <c r="M41" i="80"/>
  <c r="K41" i="80"/>
  <c r="I41" i="80"/>
  <c r="G41" i="80"/>
  <c r="Q40" i="80"/>
  <c r="O40" i="80"/>
  <c r="M40" i="80"/>
  <c r="K40" i="80"/>
  <c r="I40" i="80"/>
  <c r="G40" i="80"/>
  <c r="Q39" i="80"/>
  <c r="O39" i="80"/>
  <c r="M39" i="80"/>
  <c r="K39" i="80"/>
  <c r="I39" i="80"/>
  <c r="G39" i="80"/>
  <c r="Q38" i="80"/>
  <c r="O38" i="80"/>
  <c r="M38" i="80"/>
  <c r="K38" i="80"/>
  <c r="I38" i="80"/>
  <c r="G38" i="80"/>
  <c r="Q37" i="80"/>
  <c r="O37" i="80"/>
  <c r="M37" i="80"/>
  <c r="K37" i="80"/>
  <c r="I37" i="80"/>
  <c r="G37" i="80"/>
  <c r="Q36" i="80"/>
  <c r="O36" i="80"/>
  <c r="M36" i="80"/>
  <c r="K36" i="80"/>
  <c r="I36" i="80"/>
  <c r="G36" i="80"/>
  <c r="Q35" i="80"/>
  <c r="O35" i="80"/>
  <c r="M35" i="80"/>
  <c r="K35" i="80"/>
  <c r="I35" i="80"/>
  <c r="G35" i="80"/>
  <c r="Q34" i="80"/>
  <c r="O34" i="80"/>
  <c r="M34" i="80"/>
  <c r="K34" i="80"/>
  <c r="I34" i="80"/>
  <c r="G34" i="80"/>
  <c r="Q33" i="80"/>
  <c r="O33" i="80"/>
  <c r="M33" i="80"/>
  <c r="K33" i="80"/>
  <c r="I33" i="80"/>
  <c r="G33" i="80"/>
  <c r="Q32" i="80"/>
  <c r="O32" i="80"/>
  <c r="M32" i="80"/>
  <c r="K32" i="80"/>
  <c r="I32" i="80"/>
  <c r="G32" i="80"/>
  <c r="Q31" i="80"/>
  <c r="O31" i="80"/>
  <c r="M31" i="80"/>
  <c r="K31" i="80"/>
  <c r="I31" i="80"/>
  <c r="G31" i="80"/>
  <c r="Q30" i="80"/>
  <c r="O30" i="80"/>
  <c r="M30" i="80"/>
  <c r="K30" i="80"/>
  <c r="I30" i="80"/>
  <c r="G30" i="80"/>
  <c r="Q29" i="80"/>
  <c r="O29" i="80"/>
  <c r="M29" i="80"/>
  <c r="K29" i="80"/>
  <c r="I29" i="80"/>
  <c r="G29" i="80"/>
  <c r="Q28" i="80"/>
  <c r="O28" i="80"/>
  <c r="M28" i="80"/>
  <c r="K28" i="80"/>
  <c r="I28" i="80"/>
  <c r="G28" i="80"/>
  <c r="Q27" i="80"/>
  <c r="O27" i="80"/>
  <c r="M27" i="80"/>
  <c r="K27" i="80"/>
  <c r="I27" i="80"/>
  <c r="G27" i="80"/>
  <c r="Q26" i="80"/>
  <c r="O26" i="80"/>
  <c r="M26" i="80"/>
  <c r="K26" i="80"/>
  <c r="I26" i="80"/>
  <c r="G26" i="80"/>
  <c r="E26" i="80"/>
  <c r="Q25" i="80"/>
  <c r="O25" i="80"/>
  <c r="M25" i="80"/>
  <c r="K25" i="80"/>
  <c r="I25" i="80"/>
  <c r="G25" i="80"/>
  <c r="P23" i="80"/>
  <c r="N23" i="80"/>
  <c r="L23" i="80"/>
  <c r="J23" i="80"/>
  <c r="H23" i="80"/>
  <c r="F23" i="80"/>
  <c r="D23" i="80"/>
  <c r="B22" i="80"/>
  <c r="E12" i="80"/>
  <c r="F12" i="80" s="1"/>
  <c r="G12" i="80" s="1"/>
  <c r="H12" i="80" s="1"/>
  <c r="I12" i="80" s="1"/>
  <c r="J12" i="80" s="1"/>
  <c r="K12" i="80" s="1"/>
  <c r="L12" i="80" s="1"/>
  <c r="M12" i="80" s="1"/>
  <c r="N12" i="80" s="1"/>
  <c r="O12" i="80" s="1"/>
  <c r="P12" i="80" s="1"/>
  <c r="Q12" i="80" s="1"/>
  <c r="R12" i="80" s="1"/>
  <c r="S12" i="80" s="1"/>
  <c r="D12" i="80"/>
  <c r="E10" i="80"/>
  <c r="F10" i="80" s="1"/>
  <c r="G10" i="80" s="1"/>
  <c r="H10" i="80" s="1"/>
  <c r="I10" i="80" s="1"/>
  <c r="J10" i="80" s="1"/>
  <c r="K10" i="80" s="1"/>
  <c r="L10" i="80" s="1"/>
  <c r="M10" i="80" s="1"/>
  <c r="N10" i="80" s="1"/>
  <c r="O10" i="80" s="1"/>
  <c r="P10" i="80" s="1"/>
  <c r="Q10" i="80" s="1"/>
  <c r="R10" i="80" s="1"/>
  <c r="S10" i="80" s="1"/>
  <c r="D10" i="80"/>
  <c r="E8" i="80"/>
  <c r="F8" i="80" s="1"/>
  <c r="G8" i="80" s="1"/>
  <c r="H8" i="80" s="1"/>
  <c r="I8" i="80" s="1"/>
  <c r="J8" i="80" s="1"/>
  <c r="K8" i="80" s="1"/>
  <c r="L8" i="80" s="1"/>
  <c r="M8" i="80" s="1"/>
  <c r="N8" i="80" s="1"/>
  <c r="O8" i="80" s="1"/>
  <c r="P8" i="80" s="1"/>
  <c r="Q8" i="80" s="1"/>
  <c r="R8" i="80" s="1"/>
  <c r="S8" i="80" s="1"/>
  <c r="D8" i="80"/>
  <c r="D6" i="80"/>
  <c r="E32" i="80" s="1"/>
  <c r="S2" i="80"/>
  <c r="R2" i="80"/>
  <c r="Q2" i="80"/>
  <c r="P2" i="80"/>
  <c r="O2" i="80"/>
  <c r="N2" i="80"/>
  <c r="M2" i="80"/>
  <c r="L2" i="80"/>
  <c r="K2" i="80"/>
  <c r="J2" i="80"/>
  <c r="I2" i="80"/>
  <c r="H2" i="80"/>
  <c r="G2" i="80"/>
  <c r="F2" i="80"/>
  <c r="E2" i="80"/>
  <c r="D2" i="80"/>
  <c r="C2" i="80"/>
  <c r="Q72" i="79"/>
  <c r="Q59" i="79"/>
  <c r="K59" i="79"/>
  <c r="P74" i="79" s="1"/>
  <c r="Q58" i="79"/>
  <c r="Q51" i="79"/>
  <c r="J50" i="79"/>
  <c r="M47" i="79"/>
  <c r="D46" i="79"/>
  <c r="F34" i="79"/>
  <c r="F62" i="79" s="1"/>
  <c r="F33" i="79"/>
  <c r="F61" i="79" s="1"/>
  <c r="F32" i="79"/>
  <c r="F60" i="79" s="1"/>
  <c r="F28" i="79"/>
  <c r="F23" i="79"/>
  <c r="D23" i="79" s="1"/>
  <c r="F21" i="79"/>
  <c r="M20" i="79"/>
  <c r="F20" i="79"/>
  <c r="M19" i="79"/>
  <c r="M18" i="79"/>
  <c r="F18" i="79"/>
  <c r="F17" i="79"/>
  <c r="F15" i="79"/>
  <c r="G1" i="79"/>
  <c r="D35" i="81"/>
  <c r="D34" i="81"/>
  <c r="F20" i="80"/>
  <c r="E30" i="80" l="1"/>
  <c r="E34" i="80"/>
  <c r="E6" i="80"/>
  <c r="F6" i="80" s="1"/>
  <c r="G6" i="80" s="1"/>
  <c r="H6" i="80" s="1"/>
  <c r="I6" i="80" s="1"/>
  <c r="J6" i="80" s="1"/>
  <c r="K6" i="80" s="1"/>
  <c r="L6" i="80" s="1"/>
  <c r="M6" i="80" s="1"/>
  <c r="N6" i="80" s="1"/>
  <c r="O6" i="80" s="1"/>
  <c r="P6" i="80" s="1"/>
  <c r="Q6" i="80" s="1"/>
  <c r="R6" i="80" s="1"/>
  <c r="S6" i="80" s="1"/>
  <c r="E28" i="80"/>
  <c r="E523" i="80"/>
  <c r="E521" i="80"/>
  <c r="E519" i="80"/>
  <c r="E517" i="80"/>
  <c r="E515" i="80"/>
  <c r="E513" i="80"/>
  <c r="E511" i="80"/>
  <c r="E509" i="80"/>
  <c r="E507" i="80"/>
  <c r="E505" i="80"/>
  <c r="E503" i="80"/>
  <c r="E501" i="80"/>
  <c r="E499" i="80"/>
  <c r="E497" i="80"/>
  <c r="E495" i="80"/>
  <c r="E493" i="80"/>
  <c r="E491" i="80"/>
  <c r="E489" i="80"/>
  <c r="E487" i="80"/>
  <c r="E485" i="80"/>
  <c r="E483" i="80"/>
  <c r="E481" i="80"/>
  <c r="E479" i="80"/>
  <c r="E477" i="80"/>
  <c r="E475" i="80"/>
  <c r="E473" i="80"/>
  <c r="E471" i="80"/>
  <c r="E469" i="80"/>
  <c r="E467" i="80"/>
  <c r="E465" i="80"/>
  <c r="E463" i="80"/>
  <c r="E461" i="80"/>
  <c r="E459" i="80"/>
  <c r="E457" i="80"/>
  <c r="E455" i="80"/>
  <c r="E453" i="80"/>
  <c r="E451" i="80"/>
  <c r="E449" i="80"/>
  <c r="E447" i="80"/>
  <c r="E445" i="80"/>
  <c r="E443" i="80"/>
  <c r="E441" i="80"/>
  <c r="E439" i="80"/>
  <c r="E437" i="80"/>
  <c r="E435" i="80"/>
  <c r="E433" i="80"/>
  <c r="E431" i="80"/>
  <c r="E429" i="80"/>
  <c r="E427" i="80"/>
  <c r="E425" i="80"/>
  <c r="E423" i="80"/>
  <c r="E421" i="80"/>
  <c r="E419" i="80"/>
  <c r="E417" i="80"/>
  <c r="E415"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524" i="80"/>
  <c r="E522" i="80"/>
  <c r="E520" i="80"/>
  <c r="E518" i="80"/>
  <c r="E516" i="80"/>
  <c r="E514" i="80"/>
  <c r="E512" i="80"/>
  <c r="E510" i="80"/>
  <c r="E508" i="80"/>
  <c r="E506" i="80"/>
  <c r="E504" i="80"/>
  <c r="E502" i="80"/>
  <c r="E500" i="80"/>
  <c r="E498" i="80"/>
  <c r="E496" i="80"/>
  <c r="E494" i="80"/>
  <c r="E492" i="80"/>
  <c r="E490" i="80"/>
  <c r="E488" i="80"/>
  <c r="E486" i="80"/>
  <c r="E484" i="80"/>
  <c r="E482" i="80"/>
  <c r="E480" i="80"/>
  <c r="E478" i="80"/>
  <c r="E476" i="80"/>
  <c r="E474" i="80"/>
  <c r="E472" i="80"/>
  <c r="E470" i="80"/>
  <c r="E468" i="80"/>
  <c r="E466" i="80"/>
  <c r="E464" i="80"/>
  <c r="E462" i="80"/>
  <c r="E460" i="80"/>
  <c r="E458" i="80"/>
  <c r="E456" i="80"/>
  <c r="E454" i="80"/>
  <c r="E452" i="80"/>
  <c r="E450" i="80"/>
  <c r="E448" i="80"/>
  <c r="E446" i="80"/>
  <c r="E444" i="80"/>
  <c r="E442" i="80"/>
  <c r="E440" i="80"/>
  <c r="E438" i="80"/>
  <c r="E436" i="80"/>
  <c r="E434" i="80"/>
  <c r="E432" i="80"/>
  <c r="E430" i="80"/>
  <c r="E428"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6" i="80"/>
  <c r="E353" i="80"/>
  <c r="E351" i="80"/>
  <c r="E349" i="80"/>
  <c r="E347" i="80"/>
  <c r="E345" i="80"/>
  <c r="E343" i="80"/>
  <c r="E341" i="80"/>
  <c r="E339" i="80"/>
  <c r="E337" i="80"/>
  <c r="E335" i="80"/>
  <c r="E333" i="80"/>
  <c r="E331" i="80"/>
  <c r="E329" i="80"/>
  <c r="E327" i="80"/>
  <c r="E325" i="80"/>
  <c r="E323" i="80"/>
  <c r="E321" i="80"/>
  <c r="E319" i="80"/>
  <c r="E317" i="80"/>
  <c r="E315" i="80"/>
  <c r="E313" i="80"/>
  <c r="E311" i="80"/>
  <c r="E309" i="80"/>
  <c r="E307" i="80"/>
  <c r="E305" i="80"/>
  <c r="E303" i="80"/>
  <c r="E301" i="80"/>
  <c r="E299" i="80"/>
  <c r="E297" i="80"/>
  <c r="E295" i="80"/>
  <c r="E293" i="80"/>
  <c r="E291" i="80"/>
  <c r="E289" i="80"/>
  <c r="E287" i="80"/>
  <c r="E285" i="80"/>
  <c r="E283" i="80"/>
  <c r="E281" i="80"/>
  <c r="E279" i="80"/>
  <c r="E277" i="80"/>
  <c r="E275" i="80"/>
  <c r="E273" i="80"/>
  <c r="E271" i="80"/>
  <c r="E269" i="80"/>
  <c r="E267" i="80"/>
  <c r="E265" i="80"/>
  <c r="E263" i="80"/>
  <c r="E261" i="80"/>
  <c r="E259" i="80"/>
  <c r="E257" i="80"/>
  <c r="E255" i="80"/>
  <c r="E253" i="80"/>
  <c r="E251" i="80"/>
  <c r="E249" i="80"/>
  <c r="E247" i="80"/>
  <c r="E245" i="80"/>
  <c r="E243" i="80"/>
  <c r="E241" i="80"/>
  <c r="E240" i="80"/>
  <c r="E238" i="80"/>
  <c r="E236" i="80"/>
  <c r="E234" i="80"/>
  <c r="E232" i="80"/>
  <c r="E230" i="80"/>
  <c r="E228" i="80"/>
  <c r="E226" i="80"/>
  <c r="E224" i="80"/>
  <c r="E222" i="80"/>
  <c r="E220" i="80"/>
  <c r="E218" i="80"/>
  <c r="E216" i="80"/>
  <c r="E214" i="80"/>
  <c r="E212" i="80"/>
  <c r="E210" i="80"/>
  <c r="E208" i="80"/>
  <c r="E206" i="80"/>
  <c r="E204" i="80"/>
  <c r="E202" i="80"/>
  <c r="E200" i="80"/>
  <c r="E198" i="80"/>
  <c r="E196" i="80"/>
  <c r="E358"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6" i="80"/>
  <c r="E284" i="80"/>
  <c r="E282" i="80"/>
  <c r="E280" i="80"/>
  <c r="E278" i="80"/>
  <c r="E276" i="80"/>
  <c r="E274" i="80"/>
  <c r="E272" i="80"/>
  <c r="E270" i="80"/>
  <c r="E268" i="80"/>
  <c r="E266" i="80"/>
  <c r="E264" i="80"/>
  <c r="E262" i="80"/>
  <c r="E260" i="80"/>
  <c r="E258" i="80"/>
  <c r="E256" i="80"/>
  <c r="E254" i="80"/>
  <c r="E252" i="80"/>
  <c r="E250" i="80"/>
  <c r="E248" i="80"/>
  <c r="E246" i="80"/>
  <c r="E244" i="80"/>
  <c r="E242" i="80"/>
  <c r="E239" i="80"/>
  <c r="E237" i="80"/>
  <c r="E235" i="80"/>
  <c r="E233" i="80"/>
  <c r="E231" i="80"/>
  <c r="E229" i="80"/>
  <c r="E227" i="80"/>
  <c r="E225" i="80"/>
  <c r="E223" i="80"/>
  <c r="E221" i="80"/>
  <c r="E219" i="80"/>
  <c r="E217" i="80"/>
  <c r="E215" i="80"/>
  <c r="E213" i="80"/>
  <c r="E211" i="80"/>
  <c r="E209" i="80"/>
  <c r="E207" i="80"/>
  <c r="E205" i="80"/>
  <c r="E203" i="80"/>
  <c r="E201" i="80"/>
  <c r="E199" i="80"/>
  <c r="E197" i="80"/>
  <c r="E195" i="80"/>
  <c r="E193" i="80"/>
  <c r="E191" i="80"/>
  <c r="E189" i="80"/>
  <c r="E187" i="80"/>
  <c r="E25" i="80"/>
  <c r="E27" i="80"/>
  <c r="E29" i="80"/>
  <c r="E31" i="80"/>
  <c r="E33" i="80"/>
  <c r="E35" i="80"/>
  <c r="E37" i="80"/>
  <c r="E39" i="80"/>
  <c r="E41" i="80"/>
  <c r="E43" i="80"/>
  <c r="E45" i="80"/>
  <c r="E47" i="80"/>
  <c r="E49" i="80"/>
  <c r="E51" i="80"/>
  <c r="E53" i="80"/>
  <c r="E55" i="80"/>
  <c r="E57" i="80"/>
  <c r="E59" i="80"/>
  <c r="E61" i="80"/>
  <c r="E63" i="80"/>
  <c r="E65" i="80"/>
  <c r="E67" i="80"/>
  <c r="E69" i="80"/>
  <c r="E71" i="80"/>
  <c r="E73" i="80"/>
  <c r="E75" i="80"/>
  <c r="E77" i="80"/>
  <c r="E79" i="80"/>
  <c r="E81" i="80"/>
  <c r="E83" i="80"/>
  <c r="E85" i="80"/>
  <c r="E87" i="80"/>
  <c r="E89" i="80"/>
  <c r="E91" i="80"/>
  <c r="E93" i="80"/>
  <c r="E95" i="80"/>
  <c r="E97" i="80"/>
  <c r="E99" i="80"/>
  <c r="E101" i="80"/>
  <c r="E103" i="80"/>
  <c r="E105" i="80"/>
  <c r="E107" i="80"/>
  <c r="E109" i="80"/>
  <c r="E111" i="80"/>
  <c r="E113" i="80"/>
  <c r="E115" i="80"/>
  <c r="E117" i="80"/>
  <c r="E119" i="80"/>
  <c r="E121" i="80"/>
  <c r="E123" i="80"/>
  <c r="E125" i="80"/>
  <c r="E127" i="80"/>
  <c r="E129" i="80"/>
  <c r="E131" i="80"/>
  <c r="E133" i="80"/>
  <c r="E135" i="80"/>
  <c r="E137" i="80"/>
  <c r="E139" i="80"/>
  <c r="E141" i="80"/>
  <c r="E143" i="80"/>
  <c r="E145" i="80"/>
  <c r="E147" i="80"/>
  <c r="E149" i="80"/>
  <c r="E151" i="80"/>
  <c r="E153" i="80"/>
  <c r="E155" i="80"/>
  <c r="E157" i="80"/>
  <c r="E159" i="80"/>
  <c r="E161" i="80"/>
  <c r="E163" i="80"/>
  <c r="E165" i="80"/>
  <c r="E167" i="80"/>
  <c r="E169" i="80"/>
  <c r="E171" i="80"/>
  <c r="E173" i="80"/>
  <c r="E175" i="80"/>
  <c r="E177" i="80"/>
  <c r="E179" i="80"/>
  <c r="E181" i="80"/>
  <c r="E183" i="80"/>
  <c r="E185" i="80"/>
  <c r="E188" i="80"/>
  <c r="E192" i="80"/>
  <c r="E36" i="80"/>
  <c r="E38" i="80"/>
  <c r="E40" i="80"/>
  <c r="E42" i="80"/>
  <c r="E44" i="80"/>
  <c r="E46" i="80"/>
  <c r="E48" i="80"/>
  <c r="E50" i="80"/>
  <c r="E52" i="80"/>
  <c r="E54" i="80"/>
  <c r="E56" i="80"/>
  <c r="E58" i="80"/>
  <c r="E60" i="80"/>
  <c r="E62" i="80"/>
  <c r="E64" i="80"/>
  <c r="E66" i="80"/>
  <c r="E68" i="80"/>
  <c r="E70" i="80"/>
  <c r="E72" i="80"/>
  <c r="E74" i="80"/>
  <c r="E76" i="80"/>
  <c r="E78" i="80"/>
  <c r="E80" i="80"/>
  <c r="E82" i="80"/>
  <c r="E84" i="80"/>
  <c r="E86" i="80"/>
  <c r="E88" i="80"/>
  <c r="E90" i="80"/>
  <c r="E92" i="80"/>
  <c r="E94" i="80"/>
  <c r="E96" i="80"/>
  <c r="E98" i="80"/>
  <c r="E100" i="80"/>
  <c r="E102" i="80"/>
  <c r="E104" i="80"/>
  <c r="E106" i="80"/>
  <c r="E108" i="80"/>
  <c r="E110" i="80"/>
  <c r="E112" i="80"/>
  <c r="E114" i="80"/>
  <c r="E116" i="80"/>
  <c r="E118" i="80"/>
  <c r="E120" i="80"/>
  <c r="E122" i="80"/>
  <c r="E124" i="80"/>
  <c r="E126" i="80"/>
  <c r="E128" i="80"/>
  <c r="E130" i="80"/>
  <c r="E132" i="80"/>
  <c r="E134" i="80"/>
  <c r="E136" i="80"/>
  <c r="E138" i="80"/>
  <c r="E140" i="80"/>
  <c r="E142" i="80"/>
  <c r="E144" i="80"/>
  <c r="E146" i="80"/>
  <c r="E148" i="80"/>
  <c r="E150" i="80"/>
  <c r="E152" i="80"/>
  <c r="E154" i="80"/>
  <c r="E156" i="80"/>
  <c r="E158" i="80"/>
  <c r="E160" i="80"/>
  <c r="E162" i="80"/>
  <c r="E164" i="80"/>
  <c r="E166" i="80"/>
  <c r="E168" i="80"/>
  <c r="E170" i="80"/>
  <c r="E172" i="80"/>
  <c r="E174" i="80"/>
  <c r="E176" i="80"/>
  <c r="E178" i="80"/>
  <c r="E180" i="80"/>
  <c r="E182" i="80"/>
  <c r="E184" i="80"/>
  <c r="E186" i="80"/>
  <c r="E190" i="80"/>
  <c r="E194" i="80"/>
  <c r="K120" i="81"/>
  <c r="D121" i="81"/>
  <c r="C92" i="81"/>
  <c r="C94" i="81"/>
  <c r="H109" i="81"/>
  <c r="C26" i="80"/>
  <c r="C28" i="80"/>
  <c r="C30" i="80"/>
  <c r="C32" i="80"/>
  <c r="C34" i="80"/>
  <c r="R34" i="80" s="1"/>
  <c r="S34" i="80" s="1"/>
  <c r="C36" i="80"/>
  <c r="R36" i="80" s="1"/>
  <c r="S36" i="80" s="1"/>
  <c r="C38" i="80"/>
  <c r="R38" i="80" s="1"/>
  <c r="S38" i="80" s="1"/>
  <c r="C41" i="80"/>
  <c r="R41" i="80" s="1"/>
  <c r="S41" i="80" s="1"/>
  <c r="C42" i="80"/>
  <c r="R42" i="80" s="1"/>
  <c r="S42" i="80" s="1"/>
  <c r="C240" i="80"/>
  <c r="R240" i="80" s="1"/>
  <c r="S240" i="80" s="1"/>
  <c r="C239" i="80"/>
  <c r="R239" i="80" s="1"/>
  <c r="S239" i="80" s="1"/>
  <c r="C238" i="80"/>
  <c r="R238" i="80" s="1"/>
  <c r="S238" i="80" s="1"/>
  <c r="C237" i="80"/>
  <c r="R237" i="80" s="1"/>
  <c r="S237" i="80" s="1"/>
  <c r="C236" i="80"/>
  <c r="R236" i="80" s="1"/>
  <c r="S236" i="80" s="1"/>
  <c r="C235" i="80"/>
  <c r="R235" i="80" s="1"/>
  <c r="S235" i="80" s="1"/>
  <c r="C234" i="80"/>
  <c r="R234" i="80" s="1"/>
  <c r="S234" i="80" s="1"/>
  <c r="C233" i="80"/>
  <c r="R233" i="80" s="1"/>
  <c r="S233" i="80" s="1"/>
  <c r="C232" i="80"/>
  <c r="R232" i="80" s="1"/>
  <c r="S232" i="80" s="1"/>
  <c r="C231" i="80"/>
  <c r="R231" i="80" s="1"/>
  <c r="S231" i="80" s="1"/>
  <c r="C230" i="80"/>
  <c r="R230" i="80" s="1"/>
  <c r="S230" i="80" s="1"/>
  <c r="C229" i="80"/>
  <c r="R229" i="80" s="1"/>
  <c r="S229" i="80" s="1"/>
  <c r="C228" i="80"/>
  <c r="R228" i="80" s="1"/>
  <c r="S228" i="80" s="1"/>
  <c r="C227" i="80"/>
  <c r="R227" i="80" s="1"/>
  <c r="S227" i="80" s="1"/>
  <c r="C226" i="80"/>
  <c r="R226" i="80" s="1"/>
  <c r="S226" i="80" s="1"/>
  <c r="C225" i="80"/>
  <c r="R225" i="80" s="1"/>
  <c r="S225" i="80" s="1"/>
  <c r="C224" i="80"/>
  <c r="R224" i="80" s="1"/>
  <c r="S224" i="80" s="1"/>
  <c r="C223" i="80"/>
  <c r="R223" i="80" s="1"/>
  <c r="S223" i="80" s="1"/>
  <c r="C222" i="80"/>
  <c r="R222" i="80" s="1"/>
  <c r="S222" i="80" s="1"/>
  <c r="C221" i="80"/>
  <c r="R221" i="80" s="1"/>
  <c r="S221" i="80" s="1"/>
  <c r="C220" i="80"/>
  <c r="R220" i="80" s="1"/>
  <c r="S220" i="80" s="1"/>
  <c r="C219" i="80"/>
  <c r="R219" i="80" s="1"/>
  <c r="S219" i="80" s="1"/>
  <c r="C218" i="80"/>
  <c r="R218" i="80" s="1"/>
  <c r="S218" i="80" s="1"/>
  <c r="C217" i="80"/>
  <c r="R217" i="80" s="1"/>
  <c r="S217" i="80" s="1"/>
  <c r="C216" i="80"/>
  <c r="R216" i="80" s="1"/>
  <c r="S216" i="80" s="1"/>
  <c r="C215" i="80"/>
  <c r="R215" i="80" s="1"/>
  <c r="S215" i="80" s="1"/>
  <c r="C214" i="80"/>
  <c r="R214" i="80" s="1"/>
  <c r="S214" i="80" s="1"/>
  <c r="C213" i="80"/>
  <c r="R213" i="80" s="1"/>
  <c r="S213" i="80" s="1"/>
  <c r="C212" i="80"/>
  <c r="R212" i="80" s="1"/>
  <c r="S212" i="80" s="1"/>
  <c r="C211" i="80"/>
  <c r="R211" i="80" s="1"/>
  <c r="S211" i="80" s="1"/>
  <c r="C210" i="80"/>
  <c r="R210" i="80" s="1"/>
  <c r="S210" i="80" s="1"/>
  <c r="C209" i="80"/>
  <c r="R209" i="80" s="1"/>
  <c r="S209" i="80" s="1"/>
  <c r="C208" i="80"/>
  <c r="R208" i="80" s="1"/>
  <c r="S208" i="80" s="1"/>
  <c r="C207" i="80"/>
  <c r="R207" i="80" s="1"/>
  <c r="S207" i="80" s="1"/>
  <c r="C206" i="80"/>
  <c r="R206" i="80" s="1"/>
  <c r="S206" i="80" s="1"/>
  <c r="C205" i="80"/>
  <c r="R205" i="80" s="1"/>
  <c r="S205" i="80" s="1"/>
  <c r="C204" i="80"/>
  <c r="R204" i="80" s="1"/>
  <c r="S204" i="80" s="1"/>
  <c r="C203" i="80"/>
  <c r="R203" i="80" s="1"/>
  <c r="S203" i="80" s="1"/>
  <c r="C202" i="80"/>
  <c r="R202" i="80" s="1"/>
  <c r="S202" i="80" s="1"/>
  <c r="C201" i="80"/>
  <c r="R201" i="80" s="1"/>
  <c r="S201" i="80" s="1"/>
  <c r="C200" i="80"/>
  <c r="R200" i="80" s="1"/>
  <c r="S200" i="80" s="1"/>
  <c r="C199" i="80"/>
  <c r="R199" i="80" s="1"/>
  <c r="S199" i="80" s="1"/>
  <c r="C198" i="80"/>
  <c r="R198" i="80" s="1"/>
  <c r="S198" i="80" s="1"/>
  <c r="C197" i="80"/>
  <c r="R197" i="80" s="1"/>
  <c r="S197" i="80" s="1"/>
  <c r="C196" i="80"/>
  <c r="R196" i="80" s="1"/>
  <c r="S196" i="80" s="1"/>
  <c r="C195" i="80"/>
  <c r="R195" i="80" s="1"/>
  <c r="S195" i="80" s="1"/>
  <c r="C194" i="80"/>
  <c r="R194" i="80" s="1"/>
  <c r="S194" i="80" s="1"/>
  <c r="C193" i="80"/>
  <c r="R193" i="80" s="1"/>
  <c r="S193" i="80" s="1"/>
  <c r="C192" i="80"/>
  <c r="R192" i="80" s="1"/>
  <c r="S192" i="80" s="1"/>
  <c r="C191" i="80"/>
  <c r="R191" i="80" s="1"/>
  <c r="S191" i="80" s="1"/>
  <c r="C190" i="80"/>
  <c r="R190" i="80" s="1"/>
  <c r="S190" i="80" s="1"/>
  <c r="C189" i="80"/>
  <c r="R189" i="80" s="1"/>
  <c r="S189" i="80" s="1"/>
  <c r="C188" i="80"/>
  <c r="R188" i="80" s="1"/>
  <c r="S188" i="80" s="1"/>
  <c r="C187" i="80"/>
  <c r="R187" i="80" s="1"/>
  <c r="S187" i="80" s="1"/>
  <c r="C186" i="80"/>
  <c r="R186" i="80" s="1"/>
  <c r="S186" i="80" s="1"/>
  <c r="C185" i="80"/>
  <c r="R185" i="80" s="1"/>
  <c r="S185" i="80" s="1"/>
  <c r="C184" i="80"/>
  <c r="R184" i="80" s="1"/>
  <c r="S184" i="80" s="1"/>
  <c r="C183" i="80"/>
  <c r="R183" i="80" s="1"/>
  <c r="S183" i="80" s="1"/>
  <c r="C182" i="80"/>
  <c r="R182" i="80" s="1"/>
  <c r="S182" i="80" s="1"/>
  <c r="C181" i="80"/>
  <c r="R181" i="80" s="1"/>
  <c r="S181" i="80" s="1"/>
  <c r="C180" i="80"/>
  <c r="R180" i="80" s="1"/>
  <c r="S180" i="80" s="1"/>
  <c r="C179" i="80"/>
  <c r="R179" i="80" s="1"/>
  <c r="S179" i="80" s="1"/>
  <c r="C178" i="80"/>
  <c r="R178" i="80" s="1"/>
  <c r="S178" i="80" s="1"/>
  <c r="C177" i="80"/>
  <c r="R177" i="80" s="1"/>
  <c r="S177" i="80" s="1"/>
  <c r="C175" i="80"/>
  <c r="R175" i="80" s="1"/>
  <c r="S175" i="80" s="1"/>
  <c r="C173" i="80"/>
  <c r="R173" i="80" s="1"/>
  <c r="S173" i="80" s="1"/>
  <c r="C171" i="80"/>
  <c r="R171" i="80" s="1"/>
  <c r="S171" i="80" s="1"/>
  <c r="C176" i="80"/>
  <c r="R176" i="80" s="1"/>
  <c r="S176" i="80" s="1"/>
  <c r="C174" i="80"/>
  <c r="R174" i="80" s="1"/>
  <c r="S174" i="80" s="1"/>
  <c r="C172" i="80"/>
  <c r="R172" i="80" s="1"/>
  <c r="S172" i="80" s="1"/>
  <c r="C170" i="80"/>
  <c r="R170" i="80" s="1"/>
  <c r="S170" i="80" s="1"/>
  <c r="C169" i="80"/>
  <c r="R169" i="80" s="1"/>
  <c r="S169" i="80" s="1"/>
  <c r="C168" i="80"/>
  <c r="R168" i="80" s="1"/>
  <c r="S168" i="80" s="1"/>
  <c r="C167" i="80"/>
  <c r="R167" i="80" s="1"/>
  <c r="S167" i="80" s="1"/>
  <c r="C166" i="80"/>
  <c r="R166" i="80" s="1"/>
  <c r="S166" i="80" s="1"/>
  <c r="C165" i="80"/>
  <c r="R165" i="80" s="1"/>
  <c r="S165" i="80" s="1"/>
  <c r="C164" i="80"/>
  <c r="R164" i="80" s="1"/>
  <c r="S164" i="80" s="1"/>
  <c r="C163" i="80"/>
  <c r="R163" i="80" s="1"/>
  <c r="S163" i="80" s="1"/>
  <c r="C162" i="80"/>
  <c r="R162" i="80" s="1"/>
  <c r="S162" i="80" s="1"/>
  <c r="C161" i="80"/>
  <c r="R161" i="80" s="1"/>
  <c r="S161" i="80" s="1"/>
  <c r="C160" i="80"/>
  <c r="R160" i="80" s="1"/>
  <c r="S160" i="80" s="1"/>
  <c r="C159" i="80"/>
  <c r="R159" i="80" s="1"/>
  <c r="S159" i="80" s="1"/>
  <c r="C158" i="80"/>
  <c r="R158" i="80" s="1"/>
  <c r="S158" i="80" s="1"/>
  <c r="C157" i="80"/>
  <c r="R157" i="80" s="1"/>
  <c r="S157" i="80" s="1"/>
  <c r="C156" i="80"/>
  <c r="R156" i="80" s="1"/>
  <c r="S156" i="80" s="1"/>
  <c r="C155" i="80"/>
  <c r="R155" i="80" s="1"/>
  <c r="S155" i="80" s="1"/>
  <c r="C154" i="80"/>
  <c r="R154" i="80" s="1"/>
  <c r="S154" i="80" s="1"/>
  <c r="C153" i="80"/>
  <c r="R153" i="80" s="1"/>
  <c r="S153" i="80" s="1"/>
  <c r="C152" i="80"/>
  <c r="R152" i="80" s="1"/>
  <c r="S152" i="80" s="1"/>
  <c r="C151" i="80"/>
  <c r="R151" i="80" s="1"/>
  <c r="S151" i="80" s="1"/>
  <c r="C150" i="80"/>
  <c r="R150" i="80" s="1"/>
  <c r="S150" i="80" s="1"/>
  <c r="C149" i="80"/>
  <c r="R149" i="80" s="1"/>
  <c r="S149" i="80" s="1"/>
  <c r="C148" i="80"/>
  <c r="R148" i="80" s="1"/>
  <c r="S148" i="80" s="1"/>
  <c r="C147" i="80"/>
  <c r="R147" i="80" s="1"/>
  <c r="S147" i="80" s="1"/>
  <c r="C146" i="80"/>
  <c r="R146" i="80" s="1"/>
  <c r="S146" i="80" s="1"/>
  <c r="C145" i="80"/>
  <c r="R145" i="80" s="1"/>
  <c r="S145" i="80" s="1"/>
  <c r="C144" i="80"/>
  <c r="R144" i="80" s="1"/>
  <c r="S144" i="80" s="1"/>
  <c r="C143" i="80"/>
  <c r="R143" i="80" s="1"/>
  <c r="S143" i="80" s="1"/>
  <c r="C142" i="80"/>
  <c r="R142" i="80" s="1"/>
  <c r="S142" i="80" s="1"/>
  <c r="C141" i="80"/>
  <c r="R141" i="80" s="1"/>
  <c r="S141" i="80" s="1"/>
  <c r="C140" i="80"/>
  <c r="R140" i="80" s="1"/>
  <c r="S140" i="80" s="1"/>
  <c r="C139" i="80"/>
  <c r="R139" i="80" s="1"/>
  <c r="S139" i="80" s="1"/>
  <c r="C138" i="80"/>
  <c r="R138" i="80" s="1"/>
  <c r="S138" i="80" s="1"/>
  <c r="C137" i="80"/>
  <c r="R137" i="80" s="1"/>
  <c r="S137" i="80" s="1"/>
  <c r="C136" i="80"/>
  <c r="R136" i="80" s="1"/>
  <c r="S136" i="80" s="1"/>
  <c r="C135" i="80"/>
  <c r="R135" i="80" s="1"/>
  <c r="S135" i="80" s="1"/>
  <c r="C134" i="80"/>
  <c r="R134" i="80" s="1"/>
  <c r="S134" i="80" s="1"/>
  <c r="C133" i="80"/>
  <c r="R133" i="80" s="1"/>
  <c r="S133" i="80" s="1"/>
  <c r="C132" i="80"/>
  <c r="R132" i="80" s="1"/>
  <c r="S132" i="80" s="1"/>
  <c r="C131" i="80"/>
  <c r="R131" i="80" s="1"/>
  <c r="S131" i="80" s="1"/>
  <c r="C130" i="80"/>
  <c r="R130" i="80" s="1"/>
  <c r="S130" i="80" s="1"/>
  <c r="C129" i="80"/>
  <c r="R129" i="80" s="1"/>
  <c r="S129" i="80" s="1"/>
  <c r="C128" i="80"/>
  <c r="R128" i="80" s="1"/>
  <c r="S128" i="80" s="1"/>
  <c r="C127" i="80"/>
  <c r="R127" i="80" s="1"/>
  <c r="S127" i="80" s="1"/>
  <c r="C126" i="80"/>
  <c r="R126" i="80" s="1"/>
  <c r="S126" i="80" s="1"/>
  <c r="C125" i="80"/>
  <c r="R125" i="80" s="1"/>
  <c r="S125" i="80" s="1"/>
  <c r="C124" i="80"/>
  <c r="R124" i="80" s="1"/>
  <c r="S124" i="80" s="1"/>
  <c r="C123" i="80"/>
  <c r="R123" i="80" s="1"/>
  <c r="S123" i="80" s="1"/>
  <c r="C122" i="80"/>
  <c r="R122" i="80" s="1"/>
  <c r="S122" i="80" s="1"/>
  <c r="C121" i="80"/>
  <c r="R121" i="80" s="1"/>
  <c r="S121" i="80" s="1"/>
  <c r="C120" i="80"/>
  <c r="R120" i="80" s="1"/>
  <c r="S120" i="80" s="1"/>
  <c r="C119" i="80"/>
  <c r="R119" i="80" s="1"/>
  <c r="S119" i="80" s="1"/>
  <c r="C118" i="80"/>
  <c r="R118" i="80" s="1"/>
  <c r="S118" i="80" s="1"/>
  <c r="C117" i="80"/>
  <c r="R117" i="80" s="1"/>
  <c r="S117" i="80" s="1"/>
  <c r="C116" i="80"/>
  <c r="R116" i="80" s="1"/>
  <c r="S116" i="80" s="1"/>
  <c r="C115" i="80"/>
  <c r="R115" i="80" s="1"/>
  <c r="S115" i="80" s="1"/>
  <c r="C114" i="80"/>
  <c r="R114" i="80" s="1"/>
  <c r="S114" i="80" s="1"/>
  <c r="C113" i="80"/>
  <c r="R113" i="80" s="1"/>
  <c r="S113" i="80" s="1"/>
  <c r="C112" i="80"/>
  <c r="R112" i="80" s="1"/>
  <c r="S112" i="80" s="1"/>
  <c r="C111" i="80"/>
  <c r="R111" i="80" s="1"/>
  <c r="S111" i="80" s="1"/>
  <c r="C110" i="80"/>
  <c r="R110" i="80" s="1"/>
  <c r="S110" i="80" s="1"/>
  <c r="C109" i="80"/>
  <c r="R109" i="80" s="1"/>
  <c r="S109" i="80" s="1"/>
  <c r="C108" i="80"/>
  <c r="R108" i="80" s="1"/>
  <c r="S108" i="80" s="1"/>
  <c r="C107" i="80"/>
  <c r="R107" i="80" s="1"/>
  <c r="S107" i="80" s="1"/>
  <c r="C106" i="80"/>
  <c r="R106" i="80" s="1"/>
  <c r="S106" i="80" s="1"/>
  <c r="C105" i="80"/>
  <c r="R105" i="80" s="1"/>
  <c r="S105" i="80" s="1"/>
  <c r="C104" i="80"/>
  <c r="R104" i="80" s="1"/>
  <c r="S104" i="80" s="1"/>
  <c r="C103" i="80"/>
  <c r="R103" i="80" s="1"/>
  <c r="S103" i="80" s="1"/>
  <c r="C102" i="80"/>
  <c r="R102" i="80" s="1"/>
  <c r="S102" i="80" s="1"/>
  <c r="C101" i="80"/>
  <c r="R101" i="80" s="1"/>
  <c r="S101" i="80" s="1"/>
  <c r="C100" i="80"/>
  <c r="R100" i="80" s="1"/>
  <c r="S100" i="80" s="1"/>
  <c r="C99" i="80"/>
  <c r="R99" i="80" s="1"/>
  <c r="S99" i="80" s="1"/>
  <c r="C98" i="80"/>
  <c r="R98" i="80" s="1"/>
  <c r="S98" i="80" s="1"/>
  <c r="C97" i="80"/>
  <c r="R97" i="80" s="1"/>
  <c r="S97" i="80" s="1"/>
  <c r="C96" i="80"/>
  <c r="R96" i="80" s="1"/>
  <c r="S96" i="80" s="1"/>
  <c r="C95" i="80"/>
  <c r="R95" i="80" s="1"/>
  <c r="S95" i="80" s="1"/>
  <c r="C94" i="80"/>
  <c r="R94" i="80" s="1"/>
  <c r="S94" i="80" s="1"/>
  <c r="C93" i="80"/>
  <c r="R93" i="80" s="1"/>
  <c r="S93" i="80" s="1"/>
  <c r="C92" i="80"/>
  <c r="R92" i="80" s="1"/>
  <c r="S92" i="80" s="1"/>
  <c r="C91" i="80"/>
  <c r="R91" i="80" s="1"/>
  <c r="S91" i="80" s="1"/>
  <c r="C90" i="80"/>
  <c r="R90" i="80" s="1"/>
  <c r="S90" i="80" s="1"/>
  <c r="C89" i="80"/>
  <c r="R89" i="80" s="1"/>
  <c r="S89" i="80" s="1"/>
  <c r="C25" i="80"/>
  <c r="C27" i="80"/>
  <c r="C29" i="80"/>
  <c r="C31" i="80"/>
  <c r="C33" i="80"/>
  <c r="C35" i="80"/>
  <c r="R35" i="80" s="1"/>
  <c r="S35" i="80" s="1"/>
  <c r="C37" i="80"/>
  <c r="R37" i="80" s="1"/>
  <c r="S37" i="80" s="1"/>
  <c r="C39" i="80"/>
  <c r="R39" i="80" s="1"/>
  <c r="S39" i="80" s="1"/>
  <c r="C40" i="80"/>
  <c r="R40" i="80" s="1"/>
  <c r="S40" i="80" s="1"/>
  <c r="C43" i="80"/>
  <c r="R43" i="80" s="1"/>
  <c r="S43" i="80" s="1"/>
  <c r="C44" i="80"/>
  <c r="R44" i="80" s="1"/>
  <c r="S44" i="80" s="1"/>
  <c r="C45" i="80"/>
  <c r="R45" i="80" s="1"/>
  <c r="S45" i="80" s="1"/>
  <c r="C46" i="80"/>
  <c r="R46" i="80" s="1"/>
  <c r="S46" i="80" s="1"/>
  <c r="C47" i="80"/>
  <c r="R47" i="80" s="1"/>
  <c r="S47" i="80" s="1"/>
  <c r="C48" i="80"/>
  <c r="R48" i="80" s="1"/>
  <c r="S48" i="80" s="1"/>
  <c r="C49" i="80"/>
  <c r="R49" i="80" s="1"/>
  <c r="S49" i="80" s="1"/>
  <c r="C50" i="80"/>
  <c r="R50" i="80" s="1"/>
  <c r="S50" i="80" s="1"/>
  <c r="C51" i="80"/>
  <c r="R51" i="80" s="1"/>
  <c r="S51" i="80" s="1"/>
  <c r="C52" i="80"/>
  <c r="R52" i="80" s="1"/>
  <c r="S52" i="80" s="1"/>
  <c r="C53" i="80"/>
  <c r="R53" i="80" s="1"/>
  <c r="S53" i="80" s="1"/>
  <c r="C54" i="80"/>
  <c r="R54" i="80" s="1"/>
  <c r="S54" i="80" s="1"/>
  <c r="C55" i="80"/>
  <c r="R55" i="80" s="1"/>
  <c r="S55" i="80" s="1"/>
  <c r="C56" i="80"/>
  <c r="R56" i="80" s="1"/>
  <c r="S56" i="80" s="1"/>
  <c r="C57" i="80"/>
  <c r="R57" i="80" s="1"/>
  <c r="S57" i="80" s="1"/>
  <c r="C58" i="80"/>
  <c r="R58" i="80" s="1"/>
  <c r="S58" i="80" s="1"/>
  <c r="C59" i="80"/>
  <c r="R59" i="80" s="1"/>
  <c r="S59" i="80" s="1"/>
  <c r="C60" i="80"/>
  <c r="R60" i="80" s="1"/>
  <c r="S60" i="80" s="1"/>
  <c r="C61" i="80"/>
  <c r="R61" i="80" s="1"/>
  <c r="S61" i="80" s="1"/>
  <c r="C62" i="80"/>
  <c r="R62" i="80" s="1"/>
  <c r="S62" i="80" s="1"/>
  <c r="C63" i="80"/>
  <c r="R63" i="80" s="1"/>
  <c r="S63" i="80" s="1"/>
  <c r="C64" i="80"/>
  <c r="R64" i="80" s="1"/>
  <c r="S64" i="80" s="1"/>
  <c r="C65" i="80"/>
  <c r="R65" i="80" s="1"/>
  <c r="S65" i="80" s="1"/>
  <c r="C66" i="80"/>
  <c r="R66" i="80" s="1"/>
  <c r="S66" i="80" s="1"/>
  <c r="C67" i="80"/>
  <c r="R67" i="80" s="1"/>
  <c r="S67" i="80" s="1"/>
  <c r="C68" i="80"/>
  <c r="R68" i="80" s="1"/>
  <c r="S68" i="80" s="1"/>
  <c r="C69" i="80"/>
  <c r="R69" i="80" s="1"/>
  <c r="S69" i="80" s="1"/>
  <c r="C70" i="80"/>
  <c r="R70" i="80" s="1"/>
  <c r="S70" i="80" s="1"/>
  <c r="C71" i="80"/>
  <c r="R71" i="80" s="1"/>
  <c r="S71" i="80" s="1"/>
  <c r="C72" i="80"/>
  <c r="R72" i="80" s="1"/>
  <c r="S72" i="80" s="1"/>
  <c r="C73" i="80"/>
  <c r="R73" i="80" s="1"/>
  <c r="S73" i="80" s="1"/>
  <c r="C74" i="80"/>
  <c r="R74" i="80" s="1"/>
  <c r="S74" i="80" s="1"/>
  <c r="C75" i="80"/>
  <c r="R75" i="80" s="1"/>
  <c r="S75" i="80" s="1"/>
  <c r="C76" i="80"/>
  <c r="R76" i="80" s="1"/>
  <c r="S76" i="80" s="1"/>
  <c r="C77" i="80"/>
  <c r="R77" i="80" s="1"/>
  <c r="S77" i="80" s="1"/>
  <c r="C78" i="80"/>
  <c r="R78" i="80" s="1"/>
  <c r="S78" i="80" s="1"/>
  <c r="C79" i="80"/>
  <c r="R79" i="80" s="1"/>
  <c r="S79" i="80" s="1"/>
  <c r="C80" i="80"/>
  <c r="R80" i="80" s="1"/>
  <c r="S80" i="80" s="1"/>
  <c r="C81" i="80"/>
  <c r="R81" i="80" s="1"/>
  <c r="S81" i="80" s="1"/>
  <c r="C82" i="80"/>
  <c r="R82" i="80" s="1"/>
  <c r="S82" i="80" s="1"/>
  <c r="C83" i="80"/>
  <c r="R83" i="80" s="1"/>
  <c r="S83" i="80" s="1"/>
  <c r="C84" i="80"/>
  <c r="R84" i="80" s="1"/>
  <c r="S84" i="80" s="1"/>
  <c r="C85" i="80"/>
  <c r="R85" i="80" s="1"/>
  <c r="S85" i="80" s="1"/>
  <c r="C86" i="80"/>
  <c r="R86" i="80" s="1"/>
  <c r="S86" i="80" s="1"/>
  <c r="C87" i="80"/>
  <c r="R87" i="80" s="1"/>
  <c r="S87" i="80" s="1"/>
  <c r="C88" i="80"/>
  <c r="R88" i="80" s="1"/>
  <c r="S88" i="80" s="1"/>
  <c r="D24" i="79"/>
  <c r="P61" i="79"/>
  <c r="D22" i="79"/>
  <c r="J51" i="79"/>
  <c r="F20" i="6"/>
  <c r="F19" i="6"/>
  <c r="B24" i="31"/>
  <c r="K13" i="3"/>
  <c r="I13" i="3"/>
  <c r="D235" i="77"/>
  <c r="D220" i="77"/>
  <c r="M24" i="79"/>
  <c r="F42" i="79"/>
  <c r="F13" i="79"/>
  <c r="M23" i="79"/>
  <c r="C14" i="79"/>
  <c r="M6" i="79"/>
  <c r="F8" i="79"/>
  <c r="F6" i="79"/>
  <c r="F26" i="79"/>
  <c r="M22" i="79"/>
  <c r="J15" i="79"/>
  <c r="M27" i="79"/>
  <c r="M28" i="79"/>
  <c r="M8" i="79"/>
  <c r="F37" i="79"/>
  <c r="F40" i="79"/>
  <c r="M26" i="79"/>
  <c r="F7" i="79"/>
  <c r="F43" i="79"/>
  <c r="M29" i="79"/>
  <c r="F9" i="79"/>
  <c r="F16" i="79"/>
  <c r="F36" i="79"/>
  <c r="C76" i="79"/>
  <c r="M9" i="79"/>
  <c r="F38" i="79"/>
  <c r="D124" i="81" l="1"/>
  <c r="D125" i="81" s="1"/>
  <c r="H110" i="81"/>
  <c r="C18" i="79"/>
  <c r="C15" i="79"/>
  <c r="C6" i="79"/>
  <c r="F64" i="79"/>
  <c r="F66" i="79"/>
  <c r="F51" i="79"/>
  <c r="F68" i="79"/>
  <c r="F71" i="79"/>
  <c r="C27" i="79"/>
  <c r="F65" i="79"/>
  <c r="F50" i="79"/>
  <c r="M7" i="79"/>
  <c r="Q71" i="79"/>
  <c r="AB7" i="71"/>
  <c r="AB6" i="71"/>
  <c r="AB5" i="71"/>
  <c r="AA6" i="71"/>
  <c r="AA5" i="71"/>
  <c r="Y5" i="71"/>
  <c r="Y6" i="71"/>
  <c r="Z6" i="71" s="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5" i="71"/>
  <c r="P15" i="71"/>
  <c r="O15" i="71"/>
  <c r="N15"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H19" i="21" s="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U21" i="33" s="1"/>
  <c r="F21" i="33"/>
  <c r="AA21" i="33" s="1"/>
  <c r="E83" i="21"/>
  <c r="F83" i="21" s="1"/>
  <c r="G83" i="21" s="1"/>
  <c r="H1" i="69"/>
  <c r="AC25" i="40"/>
  <c r="W25" i="40"/>
  <c r="AB25" i="40"/>
  <c r="U25" i="40"/>
  <c r="AB29" i="39"/>
  <c r="U29" i="39"/>
  <c r="AC29" i="39"/>
  <c r="W29" i="39"/>
  <c r="AC18" i="36"/>
  <c r="W18" i="36"/>
  <c r="AB21" i="37"/>
  <c r="U21" i="37"/>
  <c r="AA21" i="37"/>
  <c r="S21" i="37"/>
  <c r="AB21" i="34"/>
  <c r="U21" i="34"/>
  <c r="S21" i="33"/>
  <c r="AB18" i="35"/>
  <c r="U18" i="35"/>
  <c r="AC18" i="35"/>
  <c r="W18" i="35"/>
  <c r="G77" i="37"/>
  <c r="J21" i="37"/>
  <c r="G84" i="34"/>
  <c r="J21" i="34"/>
  <c r="G83" i="33"/>
  <c r="J21" i="33"/>
  <c r="W21" i="33" s="1"/>
  <c r="H21" i="21"/>
  <c r="AB21" i="21" s="1"/>
  <c r="F38" i="69"/>
  <c r="E37" i="69"/>
  <c r="F36" i="69"/>
  <c r="F35" i="69"/>
  <c r="F21" i="69"/>
  <c r="C21" i="69" s="1"/>
  <c r="F20" i="69"/>
  <c r="E10" i="69"/>
  <c r="E9" i="69"/>
  <c r="C7" i="69"/>
  <c r="AC21" i="37"/>
  <c r="W21" i="37"/>
  <c r="AC21" i="34"/>
  <c r="W21" i="34"/>
  <c r="AC21" i="33"/>
  <c r="J21" i="21"/>
  <c r="AC21" i="21" s="1"/>
  <c r="C40" i="69"/>
  <c r="F38" i="68"/>
  <c r="E37" i="68"/>
  <c r="F36" i="68"/>
  <c r="F35" i="68"/>
  <c r="F21" i="68"/>
  <c r="C21" i="68"/>
  <c r="F20" i="68"/>
  <c r="E10" i="68"/>
  <c r="E9" i="68"/>
  <c r="C7" i="68"/>
  <c r="C5" i="68" s="1"/>
  <c r="W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81" s="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4" i="31"/>
  <c r="S382" i="31"/>
  <c r="S372" i="31"/>
  <c r="S362" i="31"/>
  <c r="S350" i="31"/>
  <c r="S340" i="31"/>
  <c r="S330" i="31"/>
  <c r="S320" i="31"/>
  <c r="S310" i="31"/>
  <c r="S300" i="31"/>
  <c r="S288" i="31"/>
  <c r="S278" i="31"/>
  <c r="S268" i="31"/>
  <c r="S256" i="31"/>
  <c r="S253" i="31"/>
  <c r="S251" i="31"/>
  <c r="S249" i="31"/>
  <c r="S247" i="31"/>
  <c r="S245" i="31"/>
  <c r="S243" i="31"/>
  <c r="S241" i="31"/>
  <c r="S429" i="31"/>
  <c r="S427" i="31"/>
  <c r="S425" i="31"/>
  <c r="S497" i="31"/>
  <c r="S495" i="31"/>
  <c r="S493" i="31"/>
  <c r="S491" i="31"/>
  <c r="S489" i="31"/>
  <c r="S487" i="31"/>
  <c r="S485" i="31"/>
  <c r="S483" i="31"/>
  <c r="S481" i="31"/>
  <c r="S479" i="31"/>
  <c r="S477" i="31"/>
  <c r="S475" i="31"/>
  <c r="S473" i="31"/>
  <c r="S471" i="31"/>
  <c r="S469" i="31"/>
  <c r="S443" i="31"/>
  <c r="S441" i="31"/>
  <c r="S439" i="31"/>
  <c r="S437" i="31"/>
  <c r="S435" i="31"/>
  <c r="S433" i="31"/>
  <c r="S431" i="31"/>
  <c r="S467" i="31"/>
  <c r="S465" i="31"/>
  <c r="S463" i="31"/>
  <c r="S461" i="31"/>
  <c r="S459" i="31"/>
  <c r="S457" i="31"/>
  <c r="S455" i="31"/>
  <c r="S453" i="31"/>
  <c r="S451" i="31"/>
  <c r="S445" i="31"/>
  <c r="S447"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S42" i="34" s="1"/>
  <c r="J38" i="34"/>
  <c r="W38" i="34"/>
  <c r="D114" i="34"/>
  <c r="F38" i="34"/>
  <c r="S38" i="34"/>
  <c r="D112" i="34"/>
  <c r="E112" i="34"/>
  <c r="F112" i="34"/>
  <c r="G112" i="34"/>
  <c r="H112" i="34"/>
  <c r="I112" i="34"/>
  <c r="J112" i="34"/>
  <c r="K112" i="34"/>
  <c r="L112" i="34"/>
  <c r="M112" i="34"/>
  <c r="F40" i="33"/>
  <c r="AA40" i="33" s="1"/>
  <c r="J41" i="33"/>
  <c r="D113" i="33"/>
  <c r="F37" i="33"/>
  <c r="D111" i="33"/>
  <c r="E111" i="33" s="1"/>
  <c r="F111" i="33" s="1"/>
  <c r="S515" i="31"/>
  <c r="S517" i="31"/>
  <c r="S519" i="31"/>
  <c r="S521" i="31"/>
  <c r="S523" i="31"/>
  <c r="F41" i="21"/>
  <c r="AA41" i="21" s="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F10" i="34"/>
  <c r="AA10" i="34" s="1"/>
  <c r="Q9" i="34"/>
  <c r="Z9" i="34"/>
  <c r="J9" i="34"/>
  <c r="AC9" i="34"/>
  <c r="H9" i="34"/>
  <c r="F9" i="34"/>
  <c r="AA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G79" i="21" s="1"/>
  <c r="D85" i="21"/>
  <c r="F19" i="21"/>
  <c r="AA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c r="F39" i="21"/>
  <c r="AA39" i="21" s="1"/>
  <c r="J40" i="21"/>
  <c r="W40" i="21" s="1"/>
  <c r="H35" i="21"/>
  <c r="AB35" i="21"/>
  <c r="J8" i="21"/>
  <c r="AC8" i="2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s="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s="1"/>
  <c r="S9"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s="1"/>
  <c r="F27" i="34"/>
  <c r="AA27" i="34" s="1"/>
  <c r="F25" i="34"/>
  <c r="S25" i="34"/>
  <c r="H23" i="34"/>
  <c r="U23" i="34"/>
  <c r="J23" i="34"/>
  <c r="F19" i="34"/>
  <c r="H17" i="34"/>
  <c r="U17" i="34" s="1"/>
  <c r="F15" i="34"/>
  <c r="AA15" i="34" s="1"/>
  <c r="J15" i="34"/>
  <c r="AC15" i="34" s="1"/>
  <c r="H15" i="34"/>
  <c r="AB15" i="34" s="1"/>
  <c r="S9" i="34"/>
  <c r="W8" i="34"/>
  <c r="J28" i="34"/>
  <c r="W28" i="34" s="1"/>
  <c r="F41" i="33"/>
  <c r="AA41" i="33"/>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s="1"/>
  <c r="J17" i="34"/>
  <c r="W17" i="34" s="1"/>
  <c r="AB17" i="34"/>
  <c r="S15" i="34"/>
  <c r="S41" i="33"/>
  <c r="F113" i="33"/>
  <c r="G113" i="33"/>
  <c r="H113" i="33"/>
  <c r="I113" i="33"/>
  <c r="J113" i="33"/>
  <c r="K113" i="33"/>
  <c r="L113" i="33"/>
  <c r="M113" i="33"/>
  <c r="H37" i="33"/>
  <c r="AB37" i="33" s="1"/>
  <c r="H15" i="33"/>
  <c r="AB15" i="33" s="1"/>
  <c r="H11" i="33"/>
  <c r="AB11" i="33" s="1"/>
  <c r="F28" i="40"/>
  <c r="AA28" i="40"/>
  <c r="AA29" i="35"/>
  <c r="AA42" i="34"/>
  <c r="AC38" i="34"/>
  <c r="AA38" i="34"/>
  <c r="J37" i="34"/>
  <c r="AC37" i="34" s="1"/>
  <c r="J11" i="33"/>
  <c r="W11" i="33" s="1"/>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AB31" i="33" s="1"/>
  <c r="F31" i="33"/>
  <c r="AA31" i="33" s="1"/>
  <c r="H45" i="33"/>
  <c r="U45" i="33" s="1"/>
  <c r="J45" i="33"/>
  <c r="W45" i="33" s="1"/>
  <c r="F45" i="33"/>
  <c r="AA45" i="33" s="1"/>
  <c r="J14" i="34"/>
  <c r="W14" i="34" s="1"/>
  <c r="F14" i="34"/>
  <c r="S14" i="34" s="1"/>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G105" i="37"/>
  <c r="AB11" i="36"/>
  <c r="AB11" i="35"/>
  <c r="J10" i="36"/>
  <c r="AC10" i="36"/>
  <c r="AB26" i="33"/>
  <c r="AB30" i="21"/>
  <c r="AA14" i="37"/>
  <c r="AC13" i="36"/>
  <c r="W13" i="36"/>
  <c r="S11" i="36"/>
  <c r="W11" i="36"/>
  <c r="W11" i="35"/>
  <c r="AB46" i="34"/>
  <c r="AC30" i="34"/>
  <c r="AA14" i="34"/>
  <c r="AB45" i="33"/>
  <c r="U31" i="33"/>
  <c r="W29" i="33"/>
  <c r="U13" i="33"/>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c r="AB27" i="37"/>
  <c r="U32" i="33"/>
  <c r="AA36" i="39"/>
  <c r="F39" i="33"/>
  <c r="AA39" i="33"/>
  <c r="E123" i="33"/>
  <c r="J42" i="33" s="1"/>
  <c r="H28" i="34"/>
  <c r="AB28" i="34" s="1"/>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35" i="21"/>
  <c r="AC35" i="21"/>
  <c r="U10" i="21"/>
  <c r="G8" i="1"/>
  <c r="G9" i="1"/>
  <c r="G10" i="1"/>
  <c r="F48" i="9"/>
  <c r="O52" i="9" s="1"/>
  <c r="AC11" i="39"/>
  <c r="AZ563" i="3"/>
  <c r="AZ501" i="3"/>
  <c r="W37" i="37"/>
  <c r="W44" i="34"/>
  <c r="AC44" i="34"/>
  <c r="S15" i="37"/>
  <c r="U13" i="37"/>
  <c r="U12" i="40"/>
  <c r="AA12" i="40"/>
  <c r="J37" i="33"/>
  <c r="W37" i="33" s="1"/>
  <c r="F106" i="33"/>
  <c r="G106" i="33"/>
  <c r="H106" i="33"/>
  <c r="I106" i="33"/>
  <c r="J106" i="33"/>
  <c r="K106" i="33"/>
  <c r="L106" i="33"/>
  <c r="M106" i="33"/>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T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AA29" i="34"/>
  <c r="U27" i="34"/>
  <c r="S23" i="34"/>
  <c r="S10" i="34"/>
  <c r="S13" i="34"/>
  <c r="H67" i="34"/>
  <c r="H10" i="34"/>
  <c r="F11" i="34"/>
  <c r="S11" i="34" s="1"/>
  <c r="F70" i="34"/>
  <c r="S27" i="33"/>
  <c r="AA29" i="33"/>
  <c r="AB29" i="33"/>
  <c r="W38" i="33"/>
  <c r="H41" i="33"/>
  <c r="F121" i="33"/>
  <c r="G121" i="33"/>
  <c r="H121" i="33"/>
  <c r="I121" i="33"/>
  <c r="J121" i="33"/>
  <c r="K121" i="33"/>
  <c r="L121" i="33"/>
  <c r="M121" i="33"/>
  <c r="G108" i="33"/>
  <c r="H108" i="33"/>
  <c r="I108" i="33"/>
  <c r="J108" i="33"/>
  <c r="K108" i="33"/>
  <c r="L108" i="33"/>
  <c r="M108" i="33"/>
  <c r="J35" i="33"/>
  <c r="AC35" i="33" s="1"/>
  <c r="S37" i="33"/>
  <c r="AA37" i="33"/>
  <c r="S39" i="33"/>
  <c r="J32" i="33"/>
  <c r="S46" i="33"/>
  <c r="W43" i="33"/>
  <c r="S43" i="33"/>
  <c r="H27" i="33"/>
  <c r="AB27" i="33" s="1"/>
  <c r="F87" i="33"/>
  <c r="H25" i="33"/>
  <c r="F25" i="33"/>
  <c r="J23" i="33"/>
  <c r="W23" i="33" s="1"/>
  <c r="F85" i="33"/>
  <c r="H23" i="33"/>
  <c r="U23" i="33" s="1"/>
  <c r="F81" i="33"/>
  <c r="F19" i="33"/>
  <c r="S19" i="33" s="1"/>
  <c r="W19" i="33"/>
  <c r="J17" i="33"/>
  <c r="F79" i="33"/>
  <c r="U9" i="33"/>
  <c r="I66" i="33"/>
  <c r="J10" i="33"/>
  <c r="H10" i="33"/>
  <c r="AB10" i="33" s="1"/>
  <c r="AC11" i="33"/>
  <c r="AB14" i="33"/>
  <c r="W43" i="21"/>
  <c r="W36" i="21"/>
  <c r="W41" i="21"/>
  <c r="AA36" i="21"/>
  <c r="AC40" i="21"/>
  <c r="J15" i="21"/>
  <c r="W15" i="21"/>
  <c r="F23" i="21"/>
  <c r="S23" i="21"/>
  <c r="E85" i="21"/>
  <c r="AC11" i="21"/>
  <c r="AA14" i="21"/>
  <c r="AB8" i="21"/>
  <c r="M3" i="43"/>
  <c r="M1" i="43"/>
  <c r="N8" i="43"/>
  <c r="D120" i="9"/>
  <c r="C18" i="9"/>
  <c r="D18" i="9" s="1"/>
  <c r="F34" i="67"/>
  <c r="F62" i="67"/>
  <c r="M20" i="67"/>
  <c r="F34" i="15"/>
  <c r="F62" i="15" s="1"/>
  <c r="G13" i="3"/>
  <c r="G5" i="3" s="1"/>
  <c r="B3" i="3" s="1"/>
  <c r="BA13" i="3"/>
  <c r="E10" i="6"/>
  <c r="BA5" i="3"/>
  <c r="E11" i="6"/>
  <c r="E61" i="39" s="1"/>
  <c r="BL17" i="3"/>
  <c r="AZ17" i="3"/>
  <c r="BL13" i="3"/>
  <c r="E65" i="39"/>
  <c r="G30" i="6"/>
  <c r="G31" i="6" s="1"/>
  <c r="J56" i="9"/>
  <c r="J57" i="9"/>
  <c r="A24" i="51"/>
  <c r="B18" i="72" s="1"/>
  <c r="U29" i="34"/>
  <c r="E14" i="6"/>
  <c r="E64" i="39" s="1"/>
  <c r="E5" i="6"/>
  <c r="D9" i="11" s="1"/>
  <c r="C9" i="11" s="1"/>
  <c r="E32" i="6"/>
  <c r="L19" i="6"/>
  <c r="G1" i="68"/>
  <c r="K1" i="12"/>
  <c r="F30" i="6"/>
  <c r="E28" i="6"/>
  <c r="E56"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D58" i="33" s="1"/>
  <c r="C7" i="21"/>
  <c r="C58" i="21" s="1"/>
  <c r="D58" i="21" s="1"/>
  <c r="E58" i="21" s="1"/>
  <c r="F58" i="21" s="1"/>
  <c r="C7" i="40"/>
  <c r="C63" i="40" s="1"/>
  <c r="M47" i="9"/>
  <c r="G19" i="43"/>
  <c r="O19" i="43" s="1"/>
  <c r="C19" i="43" s="1"/>
  <c r="T35" i="4"/>
  <c r="A19" i="51"/>
  <c r="B14" i="72" s="1"/>
  <c r="C46" i="36"/>
  <c r="D46" i="36"/>
  <c r="C59" i="34"/>
  <c r="D59" i="34"/>
  <c r="E59" i="34" s="1"/>
  <c r="F59" i="34" s="1"/>
  <c r="G59" i="34" s="1"/>
  <c r="H59" i="34" s="1"/>
  <c r="I59" i="34" s="1"/>
  <c r="J59" i="34" s="1"/>
  <c r="C52" i="37"/>
  <c r="D52" i="37"/>
  <c r="E52" i="37" s="1"/>
  <c r="A4" i="51"/>
  <c r="B6" i="72" s="1"/>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S31" i="33"/>
  <c r="W13" i="33"/>
  <c r="AC13" i="33"/>
  <c r="S11" i="33"/>
  <c r="W9" i="33"/>
  <c r="W8" i="33"/>
  <c r="S44" i="21"/>
  <c r="U28" i="21"/>
  <c r="AA11" i="21"/>
  <c r="S45" i="21"/>
  <c r="F33" i="21"/>
  <c r="J33" i="21"/>
  <c r="AC33" i="21" s="1"/>
  <c r="H33" i="21"/>
  <c r="AB33" i="21"/>
  <c r="AA26" i="21"/>
  <c r="AB14" i="21"/>
  <c r="AB46" i="21"/>
  <c r="U40" i="21"/>
  <c r="AB31" i="21"/>
  <c r="U31" i="21"/>
  <c r="AC15"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J9" i="21"/>
  <c r="J32" i="21"/>
  <c r="AC32" i="21" s="1"/>
  <c r="F32" i="21"/>
  <c r="AA32" i="21" s="1"/>
  <c r="AA31" i="21"/>
  <c r="U17" i="21"/>
  <c r="S9" i="21"/>
  <c r="AA9" i="21"/>
  <c r="K141" i="21"/>
  <c r="K144" i="21"/>
  <c r="K143" i="21"/>
  <c r="U27" i="21"/>
  <c r="AB25" i="21"/>
  <c r="AB44" i="21"/>
  <c r="AA30" i="21"/>
  <c r="W13" i="21"/>
  <c r="W42" i="21"/>
  <c r="AC45" i="21"/>
  <c r="F10" i="21"/>
  <c r="AA10" i="21" s="1"/>
  <c r="K145" i="21"/>
  <c r="W25" i="21"/>
  <c r="AA29" i="21"/>
  <c r="W31" i="21"/>
  <c r="S27" i="21"/>
  <c r="AC26" i="21"/>
  <c r="AB29" i="21"/>
  <c r="S28" i="21"/>
  <c r="AC34"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AZ5" i="3" s="1"/>
  <c r="F30" i="11"/>
  <c r="C48" i="11" s="1"/>
  <c r="E63" i="39"/>
  <c r="D9" i="69"/>
  <c r="C9" i="69" s="1"/>
  <c r="E30" i="6"/>
  <c r="K15"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W10" i="34" s="1"/>
  <c r="I67" i="34"/>
  <c r="AB41" i="33"/>
  <c r="U41" i="33"/>
  <c r="W35" i="33"/>
  <c r="AC32" i="33"/>
  <c r="W32" i="33"/>
  <c r="J27" i="33"/>
  <c r="U25" i="33"/>
  <c r="AB25" i="33"/>
  <c r="S25" i="33"/>
  <c r="AA25" i="33"/>
  <c r="G87" i="33"/>
  <c r="H87" i="33"/>
  <c r="I87" i="33"/>
  <c r="J87" i="33"/>
  <c r="K87" i="33"/>
  <c r="L87" i="33"/>
  <c r="M87" i="33"/>
  <c r="J25" i="33"/>
  <c r="AB23" i="33"/>
  <c r="F23" i="33"/>
  <c r="AA23" i="33" s="1"/>
  <c r="G85" i="33"/>
  <c r="H19" i="33"/>
  <c r="U19" i="33" s="1"/>
  <c r="G81" i="33"/>
  <c r="G79" i="33"/>
  <c r="H17" i="33"/>
  <c r="F17" i="33"/>
  <c r="S17" i="33" s="1"/>
  <c r="W17" i="33"/>
  <c r="AC17" i="33"/>
  <c r="AC10" i="33"/>
  <c r="W10" i="33"/>
  <c r="U33" i="21"/>
  <c r="AA23" i="21"/>
  <c r="J23" i="21"/>
  <c r="AC23" i="21" s="1"/>
  <c r="F85" i="21"/>
  <c r="G85" i="21"/>
  <c r="H23" i="21"/>
  <c r="D6" i="52"/>
  <c r="D121" i="9"/>
  <c r="D7" i="52"/>
  <c r="K120" i="9"/>
  <c r="K14" i="1"/>
  <c r="M14" i="1" s="1"/>
  <c r="BL5" i="3"/>
  <c r="J59" i="9"/>
  <c r="J61" i="9"/>
  <c r="E140" i="3"/>
  <c r="E120" i="3"/>
  <c r="E85" i="3"/>
  <c r="E45" i="3"/>
  <c r="E223" i="3"/>
  <c r="E277"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B5" i="62"/>
  <c r="B73" i="72" s="1"/>
  <c r="AP7" i="1"/>
  <c r="C36" i="69" s="1"/>
  <c r="AB45" i="21"/>
  <c r="W33" i="21"/>
  <c r="S33" i="21"/>
  <c r="AA33" i="21"/>
  <c r="AB9" i="21"/>
  <c r="U9" i="21"/>
  <c r="W9" i="21"/>
  <c r="AC9" i="21"/>
  <c r="E6" i="70"/>
  <c r="E2" i="70" s="1"/>
  <c r="A18" i="62"/>
  <c r="B64" i="72" s="1"/>
  <c r="U32" i="39"/>
  <c r="AB32" i="39"/>
  <c r="AC32" i="39"/>
  <c r="W32" i="39"/>
  <c r="W19" i="37"/>
  <c r="AC19" i="37"/>
  <c r="W23" i="37"/>
  <c r="AC23" i="37"/>
  <c r="AB11" i="37"/>
  <c r="U11" i="37"/>
  <c r="H63" i="37"/>
  <c r="I63" i="37"/>
  <c r="J63" i="37"/>
  <c r="K63" i="37"/>
  <c r="L63" i="37"/>
  <c r="M63" i="37"/>
  <c r="J11" i="37"/>
  <c r="W10" i="37"/>
  <c r="AC10" i="37"/>
  <c r="H70" i="34"/>
  <c r="I70" i="34"/>
  <c r="J70" i="34"/>
  <c r="K70" i="34"/>
  <c r="L70" i="34"/>
  <c r="M70" i="34"/>
  <c r="J11" i="34"/>
  <c r="W11" i="34" s="1"/>
  <c r="W27" i="33"/>
  <c r="AC27" i="33"/>
  <c r="W25" i="33"/>
  <c r="AC25" i="33"/>
  <c r="U17" i="33"/>
  <c r="AB17" i="33"/>
  <c r="U23" i="21"/>
  <c r="AB23" i="21"/>
  <c r="C17" i="4"/>
  <c r="B4" i="52" s="1"/>
  <c r="B43" i="72" s="1"/>
  <c r="L18" i="9"/>
  <c r="AC11" i="37"/>
  <c r="W11" i="37"/>
  <c r="F34" i="11"/>
  <c r="C36" i="11" s="1"/>
  <c r="F11" i="12"/>
  <c r="C23" i="12" s="1"/>
  <c r="F34" i="68"/>
  <c r="C36" i="68" s="1"/>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s="1"/>
  <c r="P21" i="43"/>
  <c r="P22" i="43"/>
  <c r="G20" i="43"/>
  <c r="V9" i="71"/>
  <c r="P23" i="43"/>
  <c r="B71" i="39"/>
  <c r="C9" i="71"/>
  <c r="D10" i="71"/>
  <c r="P25" i="43"/>
  <c r="E41" i="43"/>
  <c r="C41" i="43"/>
  <c r="C20" i="43"/>
  <c r="D7" i="71"/>
  <c r="T9" i="71"/>
  <c r="D8" i="71"/>
  <c r="D9" i="71"/>
  <c r="M20" i="43"/>
  <c r="U9" i="71"/>
  <c r="F31" i="79"/>
  <c r="C17" i="79"/>
  <c r="B8" i="76"/>
  <c r="F40" i="67"/>
  <c r="B9" i="76"/>
  <c r="M22" i="67"/>
  <c r="E7" i="76"/>
  <c r="F26" i="15"/>
  <c r="F5" i="73"/>
  <c r="F38" i="15"/>
  <c r="M24" i="15"/>
  <c r="M9" i="67"/>
  <c r="AO10" i="1"/>
  <c r="B7" i="76"/>
  <c r="M17" i="79"/>
  <c r="M27" i="67"/>
  <c r="F8" i="15"/>
  <c r="F7" i="15"/>
  <c r="M29" i="15"/>
  <c r="F8" i="67"/>
  <c r="F4" i="73"/>
  <c r="M29" i="67"/>
  <c r="M8" i="15"/>
  <c r="D6" i="73"/>
  <c r="C76" i="15"/>
  <c r="M22" i="15"/>
  <c r="F43" i="67"/>
  <c r="AO8" i="1"/>
  <c r="F41" i="67"/>
  <c r="E13" i="76"/>
  <c r="F40" i="15"/>
  <c r="D34" i="9"/>
  <c r="D5" i="73"/>
  <c r="B10" i="76"/>
  <c r="C76" i="67"/>
  <c r="F6" i="15"/>
  <c r="F9" i="67"/>
  <c r="L47" i="79"/>
  <c r="D2" i="33"/>
  <c r="M8" i="67"/>
  <c r="F26" i="67"/>
  <c r="F6" i="67"/>
  <c r="D2" i="34"/>
  <c r="F36" i="67"/>
  <c r="F7" i="67"/>
  <c r="J15" i="67"/>
  <c r="F37" i="67"/>
  <c r="F42" i="15"/>
  <c r="D35" i="9"/>
  <c r="F36" i="15"/>
  <c r="L47" i="15"/>
  <c r="D4" i="73"/>
  <c r="B13" i="76"/>
  <c r="F16" i="15"/>
  <c r="M28" i="15"/>
  <c r="L48" i="67"/>
  <c r="F43" i="15"/>
  <c r="J15" i="15"/>
  <c r="M23" i="15"/>
  <c r="AO9" i="1"/>
  <c r="E12" i="76"/>
  <c r="M27" i="15"/>
  <c r="F42" i="67"/>
  <c r="F6" i="73"/>
  <c r="M9" i="15"/>
  <c r="D7" i="73"/>
  <c r="F13" i="67"/>
  <c r="AO12" i="1"/>
  <c r="F7" i="73"/>
  <c r="B11" i="76"/>
  <c r="F16" i="67"/>
  <c r="D2" i="37"/>
  <c r="F59" i="79"/>
  <c r="E11" i="76"/>
  <c r="F35" i="67"/>
  <c r="F13" i="15"/>
  <c r="M6" i="15"/>
  <c r="M23" i="67"/>
  <c r="B12" i="76"/>
  <c r="M6" i="67"/>
  <c r="M26" i="15"/>
  <c r="F38" i="67"/>
  <c r="E9" i="76"/>
  <c r="D3" i="73"/>
  <c r="F9" i="15"/>
  <c r="C16" i="79"/>
  <c r="D2" i="21"/>
  <c r="M24" i="67"/>
  <c r="F3" i="73"/>
  <c r="F37" i="15"/>
  <c r="E8" i="76"/>
  <c r="D2" i="36"/>
  <c r="F20" i="31"/>
  <c r="M26" i="67"/>
  <c r="L48" i="15"/>
  <c r="L48" i="79"/>
  <c r="AO13" i="1"/>
  <c r="L47" i="67"/>
  <c r="D2" i="35"/>
  <c r="AO11" i="1"/>
  <c r="E2" i="68"/>
  <c r="M21" i="67"/>
  <c r="M28" i="67"/>
  <c r="E10" i="76"/>
  <c r="E2" i="69"/>
  <c r="S41" i="21" l="1"/>
  <c r="AB41" i="21"/>
  <c r="AA43" i="21"/>
  <c r="AB39" i="21"/>
  <c r="G113" i="21"/>
  <c r="F37" i="21"/>
  <c r="AA37" i="21" s="1"/>
  <c r="AB19" i="21"/>
  <c r="U19" i="21"/>
  <c r="S19" i="21"/>
  <c r="E81" i="21"/>
  <c r="F81" i="21" s="1"/>
  <c r="G81" i="21" s="1"/>
  <c r="U43" i="21"/>
  <c r="AB42" i="21"/>
  <c r="AA38" i="21"/>
  <c r="S37" i="21"/>
  <c r="S34" i="21"/>
  <c r="U32" i="21"/>
  <c r="S32" i="21"/>
  <c r="S42" i="21"/>
  <c r="S39" i="21"/>
  <c r="U34" i="21"/>
  <c r="AC28" i="21"/>
  <c r="W23" i="21"/>
  <c r="U21" i="21"/>
  <c r="S21" i="21"/>
  <c r="W17" i="21"/>
  <c r="S17" i="21"/>
  <c r="W32" i="21"/>
  <c r="AA15" i="21"/>
  <c r="AB15" i="21"/>
  <c r="S10" i="21"/>
  <c r="W10" i="21"/>
  <c r="S8" i="21"/>
  <c r="W27" i="21"/>
  <c r="AC27" i="21"/>
  <c r="AC29" i="21"/>
  <c r="W29" i="21"/>
  <c r="S13" i="21"/>
  <c r="S17" i="34"/>
  <c r="AC17" i="34"/>
  <c r="U15" i="34"/>
  <c r="W15" i="34"/>
  <c r="AC10" i="34"/>
  <c r="AC11" i="34"/>
  <c r="AA28" i="33"/>
  <c r="S28" i="33"/>
  <c r="U27" i="33"/>
  <c r="AC30" i="33"/>
  <c r="AB28" i="33"/>
  <c r="S32" i="33"/>
  <c r="S26" i="33"/>
  <c r="F36" i="33"/>
  <c r="H36" i="33"/>
  <c r="G111" i="33"/>
  <c r="H111" i="33" s="1"/>
  <c r="I111" i="33" s="1"/>
  <c r="J111" i="33" s="1"/>
  <c r="K111" i="33" s="1"/>
  <c r="L111" i="33" s="1"/>
  <c r="M111" i="33" s="1"/>
  <c r="J36" i="33"/>
  <c r="W36" i="33" s="1"/>
  <c r="AC42" i="33"/>
  <c r="W42" i="33"/>
  <c r="F123" i="33"/>
  <c r="G123" i="33" s="1"/>
  <c r="H123" i="33" s="1"/>
  <c r="I123" i="33" s="1"/>
  <c r="J123" i="33" s="1"/>
  <c r="K123" i="33" s="1"/>
  <c r="L123" i="33" s="1"/>
  <c r="M123" i="33" s="1"/>
  <c r="F42" i="33"/>
  <c r="AA42" i="33" s="1"/>
  <c r="S42" i="33"/>
  <c r="U42" i="33"/>
  <c r="AC37" i="33"/>
  <c r="AA35" i="33"/>
  <c r="U40" i="33"/>
  <c r="U37" i="33"/>
  <c r="U35" i="33"/>
  <c r="AC23" i="33"/>
  <c r="S23" i="33"/>
  <c r="AB21" i="33"/>
  <c r="AB19" i="33"/>
  <c r="AA19" i="33"/>
  <c r="AA17" i="33"/>
  <c r="W15" i="33"/>
  <c r="U15" i="33"/>
  <c r="S15" i="33"/>
  <c r="AC36" i="33"/>
  <c r="AA10" i="33"/>
  <c r="U10" i="33"/>
  <c r="AC28" i="33"/>
  <c r="U8" i="33"/>
  <c r="S8" i="33"/>
  <c r="S45" i="33"/>
  <c r="U46" i="33"/>
  <c r="A2" i="81"/>
  <c r="A118" i="81"/>
  <c r="D63" i="40"/>
  <c r="C65" i="40"/>
  <c r="C13" i="12"/>
  <c r="C77" i="81"/>
  <c r="C74" i="81"/>
  <c r="C28" i="79"/>
  <c r="G7" i="34"/>
  <c r="I7" i="34"/>
  <c r="E7" i="34"/>
  <c r="J51" i="15"/>
  <c r="N59" i="79"/>
  <c r="M59" i="79"/>
  <c r="L59" i="79"/>
  <c r="Q74" i="79" s="1"/>
  <c r="J53" i="79"/>
  <c r="L56" i="79" s="1"/>
  <c r="L58" i="79"/>
  <c r="Q73" i="79" s="1"/>
  <c r="J57" i="79"/>
  <c r="J55" i="79" s="1"/>
  <c r="J58" i="79" s="1"/>
  <c r="Q50" i="79" s="1"/>
  <c r="I54" i="79"/>
  <c r="P61" i="15"/>
  <c r="E13" i="49"/>
  <c r="B6" i="49"/>
  <c r="B13" i="49"/>
  <c r="AB11" i="34"/>
  <c r="AC28" i="34"/>
  <c r="W31" i="34"/>
  <c r="S28" i="34"/>
  <c r="AA11" i="34"/>
  <c r="G17" i="43"/>
  <c r="C16" i="43" s="1"/>
  <c r="C5" i="43" s="1"/>
  <c r="C19" i="79"/>
  <c r="D5" i="43"/>
  <c r="B4" i="62"/>
  <c r="B71" i="72" s="1"/>
  <c r="Q60" i="79"/>
  <c r="C32" i="79"/>
  <c r="Q61" i="79"/>
  <c r="J6" i="79"/>
  <c r="C49" i="79"/>
  <c r="B10" i="49"/>
  <c r="E4" i="49"/>
  <c r="E22" i="49"/>
  <c r="E21" i="49"/>
  <c r="B22" i="49"/>
  <c r="E6" i="49"/>
  <c r="E10" i="49"/>
  <c r="E7" i="49"/>
  <c r="C92" i="9"/>
  <c r="C94" i="9"/>
  <c r="C5" i="11"/>
  <c r="F30" i="69"/>
  <c r="C48" i="69" s="1"/>
  <c r="F54" i="9"/>
  <c r="M18" i="15"/>
  <c r="F52" i="9"/>
  <c r="F32" i="15"/>
  <c r="F60" i="15" s="1"/>
  <c r="F32" i="67"/>
  <c r="F60" i="67" s="1"/>
  <c r="F28" i="67"/>
  <c r="C28" i="67" s="1"/>
  <c r="C30" i="11"/>
  <c r="D68" i="9"/>
  <c r="F28" i="15"/>
  <c r="C28" i="15" s="1"/>
  <c r="M18" i="67"/>
  <c r="F31" i="12"/>
  <c r="C31" i="12" s="1"/>
  <c r="F30" i="68"/>
  <c r="C24" i="12"/>
  <c r="C77" i="9"/>
  <c r="C74" i="9" s="1"/>
  <c r="B4" i="49"/>
  <c r="E11" i="49"/>
  <c r="E8" i="49"/>
  <c r="B11" i="49"/>
  <c r="E9" i="49"/>
  <c r="B14" i="49"/>
  <c r="B8" i="49"/>
  <c r="B9" i="49"/>
  <c r="E14" i="49"/>
  <c r="AR11" i="1"/>
  <c r="T11" i="1"/>
  <c r="T10" i="1"/>
  <c r="T12" i="1"/>
  <c r="L27" i="6"/>
  <c r="K6" i="1"/>
  <c r="Q16" i="1" s="1"/>
  <c r="F27" i="68" s="1"/>
  <c r="C29" i="68" s="1"/>
  <c r="D27" i="68" s="1"/>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57" i="40"/>
  <c r="E62" i="39"/>
  <c r="D101" i="43"/>
  <c r="I101" i="43"/>
  <c r="AJ11" i="43"/>
  <c r="AJ13" i="43" s="1"/>
  <c r="AF11" i="43"/>
  <c r="AF13" i="43" s="1"/>
  <c r="AB11" i="43"/>
  <c r="AB13" i="43" s="1"/>
  <c r="Z7" i="43"/>
  <c r="AG11" i="43"/>
  <c r="AG13" i="43" s="1"/>
  <c r="AC11" i="43"/>
  <c r="AC13" i="43" s="1"/>
  <c r="Y11" i="43"/>
  <c r="Y13" i="43" s="1"/>
  <c r="J22" i="43"/>
  <c r="H22" i="43"/>
  <c r="M101" i="43"/>
  <c r="E101" i="43"/>
  <c r="AH11" i="43"/>
  <c r="AH13" i="43" s="1"/>
  <c r="AD11" i="43"/>
  <c r="AD13" i="43" s="1"/>
  <c r="Z11" i="43"/>
  <c r="Z13" i="43" s="1"/>
  <c r="AI11" i="43"/>
  <c r="AI13" i="43" s="1"/>
  <c r="AE11" i="43"/>
  <c r="AE13" i="43" s="1"/>
  <c r="AA11" i="43"/>
  <c r="AA13" i="43" s="1"/>
  <c r="AY6" i="3"/>
  <c r="F27" i="6"/>
  <c r="F31" i="6" s="1"/>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7" i="6"/>
  <c r="K24" i="6" s="1"/>
  <c r="M24" i="6" s="1"/>
  <c r="I24" i="6" s="1"/>
  <c r="D3" i="34"/>
  <c r="D3" i="33"/>
  <c r="E6" i="6"/>
  <c r="D37" i="11"/>
  <c r="C37" i="11" s="1"/>
  <c r="D14" i="12"/>
  <c r="M18" i="9"/>
  <c r="B118" i="9" s="1"/>
  <c r="B1" i="74" s="1"/>
  <c r="C8" i="74" s="1"/>
  <c r="D3" i="21"/>
  <c r="D19" i="11"/>
  <c r="C19" i="11" s="1"/>
  <c r="D3" i="37"/>
  <c r="AY82" i="3"/>
  <c r="AY191" i="3"/>
  <c r="AY132" i="3"/>
  <c r="AY31" i="3"/>
  <c r="AY292" i="3"/>
  <c r="AY147" i="3"/>
  <c r="AY220" i="3"/>
  <c r="AY350" i="3"/>
  <c r="AY486" i="3"/>
  <c r="AY425" i="3"/>
  <c r="AY199" i="3"/>
  <c r="AY244" i="3"/>
  <c r="AY355" i="3"/>
  <c r="AY481" i="3"/>
  <c r="AY404" i="3"/>
  <c r="AY562" i="3"/>
  <c r="BO6" i="3"/>
  <c r="AY207" i="3"/>
  <c r="AY42" i="3"/>
  <c r="AY168" i="3"/>
  <c r="AY366" i="3"/>
  <c r="AY441" i="3"/>
  <c r="AY260" i="3"/>
  <c r="AY310" i="3"/>
  <c r="AY549" i="3"/>
  <c r="AY555" i="3"/>
  <c r="AY85" i="3"/>
  <c r="AY68" i="3"/>
  <c r="AY25" i="3"/>
  <c r="AY178" i="3"/>
  <c r="AY157" i="3"/>
  <c r="AY117" i="3"/>
  <c r="AY271" i="3"/>
  <c r="AY254" i="3"/>
  <c r="AY211" i="3"/>
  <c r="AY365" i="3"/>
  <c r="BI6" i="3"/>
  <c r="AY57" i="3"/>
  <c r="AY186" i="3"/>
  <c r="AY130"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M7" i="1"/>
  <c r="K22" i="6"/>
  <c r="M22" i="6" s="1"/>
  <c r="I22" i="6" s="1"/>
  <c r="S22" i="6" s="1"/>
  <c r="K21" i="6"/>
  <c r="M21" i="6" s="1"/>
  <c r="I21" i="6" s="1"/>
  <c r="K25" i="6"/>
  <c r="M25" i="6" s="1"/>
  <c r="I25" i="6" s="1"/>
  <c r="S25" i="6" s="1"/>
  <c r="E16" i="6"/>
  <c r="E66" i="39"/>
  <c r="E59" i="40"/>
  <c r="D19" i="12"/>
  <c r="C19" i="12" s="1"/>
  <c r="S21" i="6"/>
  <c r="O14" i="1"/>
  <c r="P14" i="1" s="1"/>
  <c r="P11" i="1"/>
  <c r="AR9" i="1"/>
  <c r="AQ9" i="1"/>
  <c r="O12" i="1"/>
  <c r="P12" i="1" s="1"/>
  <c r="F22" i="43"/>
  <c r="K101" i="43"/>
  <c r="F101" i="43"/>
  <c r="N101" i="43"/>
  <c r="E22" i="43"/>
  <c r="B113" i="43"/>
  <c r="G101" i="43"/>
  <c r="C101" i="43"/>
  <c r="J101" i="43"/>
  <c r="N104" i="46"/>
  <c r="L101" i="43"/>
  <c r="H101" i="43"/>
  <c r="G22" i="43"/>
  <c r="K16" i="1"/>
  <c r="O9" i="1"/>
  <c r="P9" i="1" s="1"/>
  <c r="O8" i="1"/>
  <c r="C34" i="43"/>
  <c r="C7" i="74"/>
  <c r="D12" i="52"/>
  <c r="D127" i="9"/>
  <c r="D13" i="52" s="1"/>
  <c r="C37" i="43"/>
  <c r="C35" i="43"/>
  <c r="C36" i="43"/>
  <c r="C39" i="43"/>
  <c r="K59" i="34"/>
  <c r="C33" i="43"/>
  <c r="C38" i="43"/>
  <c r="G58" i="21"/>
  <c r="F52" i="37"/>
  <c r="G52" i="37" s="1"/>
  <c r="H52" i="37" s="1"/>
  <c r="I52" i="37" s="1"/>
  <c r="J52" i="37" s="1"/>
  <c r="K52" i="37" s="1"/>
  <c r="L52" i="37" s="1"/>
  <c r="M52" i="37" s="1"/>
  <c r="N52" i="37" s="1"/>
  <c r="O52" i="37" s="1"/>
  <c r="F7" i="37"/>
  <c r="D68" i="39"/>
  <c r="C70" i="39"/>
  <c r="E58" i="33"/>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J7" i="35"/>
  <c r="G46" i="36"/>
  <c r="C6" i="67"/>
  <c r="J53" i="15"/>
  <c r="L56" i="15" s="1"/>
  <c r="J57" i="15"/>
  <c r="J55" i="15" s="1"/>
  <c r="J58" i="15" s="1"/>
  <c r="Q50" i="15" s="1"/>
  <c r="I54" i="15"/>
  <c r="K1" i="73"/>
  <c r="B10" i="70"/>
  <c r="Q71" i="15"/>
  <c r="C6" i="15"/>
  <c r="F69" i="67"/>
  <c r="E20" i="43"/>
  <c r="F66" i="67"/>
  <c r="B11" i="70"/>
  <c r="M59" i="15"/>
  <c r="L58" i="15"/>
  <c r="N59" i="15"/>
  <c r="L59" i="15"/>
  <c r="B8" i="70"/>
  <c r="F66" i="15"/>
  <c r="Q71" i="67"/>
  <c r="F64" i="15"/>
  <c r="F70" i="67"/>
  <c r="C27" i="67"/>
  <c r="F71" i="67"/>
  <c r="C27" i="15"/>
  <c r="I1" i="73"/>
  <c r="B39" i="1" s="1"/>
  <c r="F51" i="67"/>
  <c r="F65" i="15"/>
  <c r="F65" i="67"/>
  <c r="B9" i="70"/>
  <c r="L58" i="67"/>
  <c r="L59" i="67"/>
  <c r="M59" i="67"/>
  <c r="N59" i="67"/>
  <c r="M7" i="15"/>
  <c r="J6" i="15" s="1"/>
  <c r="F50" i="15"/>
  <c r="B13" i="70"/>
  <c r="F50" i="67"/>
  <c r="M7" i="67"/>
  <c r="C34" i="67"/>
  <c r="F63" i="67"/>
  <c r="C62" i="67" s="1"/>
  <c r="J20" i="67"/>
  <c r="F68" i="67"/>
  <c r="F51" i="15"/>
  <c r="B12" i="70"/>
  <c r="F64" i="67"/>
  <c r="F71" i="15"/>
  <c r="F68" i="15"/>
  <c r="J57" i="67"/>
  <c r="J55" i="67" s="1"/>
  <c r="J58" i="67" s="1"/>
  <c r="Q50" i="67" s="1"/>
  <c r="L56" i="67"/>
  <c r="I54" i="67"/>
  <c r="J53" i="67"/>
  <c r="F31" i="15"/>
  <c r="C17" i="67"/>
  <c r="C14" i="15"/>
  <c r="C16" i="15"/>
  <c r="F59" i="15"/>
  <c r="F59" i="67"/>
  <c r="M17" i="67"/>
  <c r="F31" i="67"/>
  <c r="M17" i="15"/>
  <c r="G1" i="73"/>
  <c r="C17" i="15"/>
  <c r="C14" i="67"/>
  <c r="C16" i="67"/>
  <c r="H37" i="21" l="1"/>
  <c r="J37" i="21"/>
  <c r="H113" i="21"/>
  <c r="C49" i="15"/>
  <c r="AB36" i="33"/>
  <c r="U36" i="33"/>
  <c r="AA36" i="33"/>
  <c r="S36" i="33"/>
  <c r="F7" i="35"/>
  <c r="H7" i="35"/>
  <c r="H7" i="33"/>
  <c r="J7" i="33"/>
  <c r="H7" i="37"/>
  <c r="J7" i="37"/>
  <c r="E63" i="40"/>
  <c r="D65" i="40"/>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87" i="3"/>
  <c r="AY34" i="3"/>
  <c r="AY144" i="3"/>
  <c r="AY95" i="3"/>
  <c r="AY152" i="3"/>
  <c r="AY111" i="3"/>
  <c r="AY253" i="3"/>
  <c r="AY382" i="3"/>
  <c r="AY303" i="3"/>
  <c r="AY460" i="3"/>
  <c r="AY529" i="3"/>
  <c r="AY300" i="3"/>
  <c r="AY217" i="3"/>
  <c r="AY327" i="3"/>
  <c r="AY463" i="3"/>
  <c r="AY401" i="3"/>
  <c r="AY544"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9" i="3"/>
  <c r="AY150" i="3"/>
  <c r="AY40" i="3"/>
  <c r="AY93" i="3"/>
  <c r="BS6" i="3"/>
  <c r="AY389" i="3"/>
  <c r="AY222" i="3"/>
  <c r="AY239" i="3"/>
  <c r="AY302" i="3"/>
  <c r="AY126" i="3"/>
  <c r="AY146" i="3"/>
  <c r="AY182" i="3"/>
  <c r="AY36" i="3"/>
  <c r="AY53" i="3"/>
  <c r="AY89" i="3"/>
  <c r="AY533" i="3"/>
  <c r="AY420" i="3"/>
  <c r="AY372" i="3"/>
  <c r="AY26" i="3"/>
  <c r="AY473" i="3"/>
  <c r="AY236" i="3"/>
  <c r="AY281" i="3"/>
  <c r="AY124" i="3"/>
  <c r="AY51" i="3"/>
  <c r="AY574" i="3"/>
  <c r="AY535" i="3"/>
  <c r="AY447" i="3"/>
  <c r="AY311" i="3"/>
  <c r="AY390" i="3"/>
  <c r="AY269" i="3"/>
  <c r="AY526" i="3"/>
  <c r="AY444" i="3"/>
  <c r="AY334" i="3"/>
  <c r="AY387" i="3"/>
  <c r="AY237" i="3"/>
  <c r="AY75" i="3"/>
  <c r="AY163" i="3"/>
  <c r="AY90" i="3"/>
  <c r="AY171" i="3"/>
  <c r="AY18" i="3"/>
  <c r="AY98" i="3"/>
  <c r="F1" i="79"/>
  <c r="Q52" i="79"/>
  <c r="T10" i="43"/>
  <c r="V10" i="43" s="1"/>
  <c r="T12" i="43"/>
  <c r="V12" i="43" s="1"/>
  <c r="T15" i="43"/>
  <c r="V15" i="43" s="1"/>
  <c r="T13" i="43"/>
  <c r="V13" i="43" s="1"/>
  <c r="T14" i="43"/>
  <c r="V14" i="43" s="1"/>
  <c r="T11" i="43"/>
  <c r="V11" i="43" s="1"/>
  <c r="T9" i="43"/>
  <c r="V9" i="43" s="1"/>
  <c r="T16" i="43"/>
  <c r="V16" i="43" s="1"/>
  <c r="T8" i="43"/>
  <c r="V8" i="43" s="1"/>
  <c r="F11" i="79"/>
  <c r="M11" i="79"/>
  <c r="J18" i="79"/>
  <c r="J10" i="79"/>
  <c r="J5" i="79" s="1"/>
  <c r="C20" i="79"/>
  <c r="C26" i="79" s="1"/>
  <c r="C30" i="69"/>
  <c r="C48" i="68"/>
  <c r="C30" i="68"/>
  <c r="C18" i="15"/>
  <c r="C15" i="15"/>
  <c r="O7" i="1"/>
  <c r="P7" i="1" s="1"/>
  <c r="G16" i="1"/>
  <c r="H16" i="1"/>
  <c r="M6" i="1"/>
  <c r="O6" i="1" s="1"/>
  <c r="P6" i="1" s="1"/>
  <c r="C34" i="69"/>
  <c r="J10" i="40"/>
  <c r="AC10" i="40" s="1"/>
  <c r="O16" i="1"/>
  <c r="M16" i="1"/>
  <c r="C34" i="68" s="1"/>
  <c r="C35" i="68" s="1"/>
  <c r="K19" i="6"/>
  <c r="K23" i="6"/>
  <c r="M23" i="6" s="1"/>
  <c r="I23" i="6" s="1"/>
  <c r="H6"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83" i="3"/>
  <c r="AY23" i="3"/>
  <c r="AY155" i="3"/>
  <c r="AY59" i="3"/>
  <c r="AY131" i="3"/>
  <c r="AY58" i="3"/>
  <c r="AY268" i="3"/>
  <c r="AY371" i="3"/>
  <c r="AY318" i="3"/>
  <c r="AY428" i="3"/>
  <c r="AY106" i="3"/>
  <c r="AY245" i="3"/>
  <c r="AY395" i="3"/>
  <c r="AY342" i="3"/>
  <c r="AY452" i="3"/>
  <c r="AY513" i="3"/>
  <c r="AY569"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37" i="3"/>
  <c r="AY321"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4" i="43"/>
  <c r="E107" i="43"/>
  <c r="E105" i="43"/>
  <c r="E109" i="43"/>
  <c r="E102" i="43"/>
  <c r="E106" i="43"/>
  <c r="E103" i="43"/>
  <c r="D109" i="43"/>
  <c r="D105" i="43"/>
  <c r="D106" i="43"/>
  <c r="D102" i="43"/>
  <c r="D103" i="43"/>
  <c r="D107" i="43"/>
  <c r="D104" i="43"/>
  <c r="M109" i="43"/>
  <c r="M104" i="43"/>
  <c r="M107" i="43"/>
  <c r="M105" i="43"/>
  <c r="M102" i="43"/>
  <c r="M106" i="43"/>
  <c r="M103" i="43"/>
  <c r="I109" i="43"/>
  <c r="I104" i="43"/>
  <c r="I107" i="43"/>
  <c r="I105" i="43"/>
  <c r="I106" i="43"/>
  <c r="I102" i="43"/>
  <c r="I103" i="43"/>
  <c r="S24" i="6"/>
  <c r="E31" i="6"/>
  <c r="K26" i="6"/>
  <c r="M26" i="6" s="1"/>
  <c r="I26" i="6" s="1"/>
  <c r="K20" i="6"/>
  <c r="AC6" i="3"/>
  <c r="D17" i="12"/>
  <c r="C17" i="12" s="1"/>
  <c r="C14" i="12"/>
  <c r="D10" i="68"/>
  <c r="D10" i="11"/>
  <c r="C10" i="11" s="1"/>
  <c r="D6" i="6"/>
  <c r="D10" i="69"/>
  <c r="D20" i="12"/>
  <c r="C20" i="12" s="1"/>
  <c r="C18" i="12" s="1"/>
  <c r="F27" i="69"/>
  <c r="F27" i="11"/>
  <c r="F28" i="12"/>
  <c r="C29" i="12" s="1"/>
  <c r="D28" i="12" s="1"/>
  <c r="C20" i="11"/>
  <c r="C28" i="11" s="1"/>
  <c r="C27" i="11" s="1"/>
  <c r="C104" i="43"/>
  <c r="C107" i="43"/>
  <c r="C103" i="43"/>
  <c r="C105" i="43"/>
  <c r="C102" i="43"/>
  <c r="C106"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8" i="43"/>
  <c r="E118" i="43" s="1"/>
  <c r="F118" i="43" s="1"/>
  <c r="N102" i="43"/>
  <c r="N105" i="43"/>
  <c r="N104" i="43"/>
  <c r="N109" i="43"/>
  <c r="N106" i="43"/>
  <c r="N103" i="43"/>
  <c r="N107" i="43"/>
  <c r="K103" i="43"/>
  <c r="K102" i="43"/>
  <c r="K105" i="43"/>
  <c r="K109" i="43"/>
  <c r="K104" i="43"/>
  <c r="K107" i="43"/>
  <c r="K106" i="43"/>
  <c r="N16" i="1"/>
  <c r="L16" i="1"/>
  <c r="C34" i="11"/>
  <c r="H107" i="43"/>
  <c r="H106" i="43"/>
  <c r="H105" i="43"/>
  <c r="H102" i="43"/>
  <c r="H103" i="43"/>
  <c r="H104" i="43"/>
  <c r="H109" i="43"/>
  <c r="H10" i="40"/>
  <c r="U10" i="40" s="1"/>
  <c r="C47" i="68"/>
  <c r="D45" i="68" s="1"/>
  <c r="H10" i="39"/>
  <c r="U10" i="39" s="1"/>
  <c r="P8" i="1"/>
  <c r="L109" i="43"/>
  <c r="L102" i="43"/>
  <c r="L105" i="43"/>
  <c r="L104" i="43"/>
  <c r="L106" i="43"/>
  <c r="L107" i="43"/>
  <c r="L103" i="43"/>
  <c r="J104" i="43"/>
  <c r="J107" i="43"/>
  <c r="J102" i="43"/>
  <c r="J109" i="43"/>
  <c r="J106" i="43"/>
  <c r="J105" i="43"/>
  <c r="J103" i="43"/>
  <c r="G105" i="43"/>
  <c r="G107" i="43"/>
  <c r="G104" i="43"/>
  <c r="G106" i="43"/>
  <c r="G102" i="43"/>
  <c r="G103" i="43"/>
  <c r="G109" i="43"/>
  <c r="D22" i="43"/>
  <c r="F104" i="43"/>
  <c r="F102" i="43"/>
  <c r="F105" i="43"/>
  <c r="F109" i="43"/>
  <c r="F107" i="43"/>
  <c r="F106" i="43"/>
  <c r="F103" i="43"/>
  <c r="E34" i="43"/>
  <c r="G34" i="43"/>
  <c r="I34" i="43" s="1"/>
  <c r="H46" i="36"/>
  <c r="I46" i="36" s="1"/>
  <c r="J46" i="36" s="1"/>
  <c r="K46" i="36" s="1"/>
  <c r="L46" i="36" s="1"/>
  <c r="M46" i="36" s="1"/>
  <c r="N46" i="36" s="1"/>
  <c r="O46" i="36" s="1"/>
  <c r="AA7" i="35"/>
  <c r="R38" i="35" s="1"/>
  <c r="S7" i="35"/>
  <c r="U7" i="35"/>
  <c r="AB7" i="35"/>
  <c r="T38" i="35" s="1"/>
  <c r="G38" i="35" s="1"/>
  <c r="AB7" i="33"/>
  <c r="U7" i="33"/>
  <c r="W7" i="33"/>
  <c r="AC7" i="33"/>
  <c r="V48" i="33" s="1"/>
  <c r="I48" i="33" s="1"/>
  <c r="AB7" i="37"/>
  <c r="T42" i="37" s="1"/>
  <c r="G42" i="37" s="1"/>
  <c r="U7" i="37"/>
  <c r="AC7" i="37"/>
  <c r="V42" i="37" s="1"/>
  <c r="I42" i="37" s="1"/>
  <c r="W7" i="37"/>
  <c r="J7" i="36"/>
  <c r="H58" i="21"/>
  <c r="I58" i="21" s="1"/>
  <c r="J58" i="21" s="1"/>
  <c r="K58" i="21" s="1"/>
  <c r="L58" i="21" s="1"/>
  <c r="M58" i="21" s="1"/>
  <c r="N58" i="21" s="1"/>
  <c r="O58" i="21" s="1"/>
  <c r="G38" i="43"/>
  <c r="I38" i="43" s="1"/>
  <c r="E38" i="43"/>
  <c r="E39" i="43"/>
  <c r="G39" i="43"/>
  <c r="I39" i="43" s="1"/>
  <c r="E36" i="43"/>
  <c r="G36" i="43"/>
  <c r="I36" i="43" s="1"/>
  <c r="E37" i="43"/>
  <c r="G37" i="43"/>
  <c r="I37" i="43" s="1"/>
  <c r="H7" i="36"/>
  <c r="W7" i="35"/>
  <c r="AC7" i="35"/>
  <c r="V38" i="35" s="1"/>
  <c r="I38" i="35" s="1"/>
  <c r="S7" i="33"/>
  <c r="AA7" i="33"/>
  <c r="D70" i="39"/>
  <c r="E68" i="39"/>
  <c r="AA7" i="37"/>
  <c r="R42" i="37" s="1"/>
  <c r="S7" i="37"/>
  <c r="H7" i="21"/>
  <c r="E33" i="43"/>
  <c r="G33" i="43"/>
  <c r="I33" i="43" s="1"/>
  <c r="L59" i="34"/>
  <c r="E35" i="43"/>
  <c r="G35" i="43"/>
  <c r="I35" i="43" s="1"/>
  <c r="C18" i="67"/>
  <c r="C15" i="67"/>
  <c r="B40" i="1"/>
  <c r="F24" i="79" s="1"/>
  <c r="C24" i="79" s="1"/>
  <c r="J18" i="15"/>
  <c r="Q52" i="67"/>
  <c r="F1" i="67"/>
  <c r="Q74" i="67"/>
  <c r="Q61" i="67"/>
  <c r="Q52" i="15"/>
  <c r="F1" i="15"/>
  <c r="Q73" i="67"/>
  <c r="Q60" i="67"/>
  <c r="C49" i="67"/>
  <c r="F11" i="67"/>
  <c r="F11" i="15"/>
  <c r="M11" i="15"/>
  <c r="J10" i="15" s="1"/>
  <c r="J5" i="15" s="1"/>
  <c r="M11" i="67"/>
  <c r="J10" i="67" s="1"/>
  <c r="J6" i="67"/>
  <c r="Q61" i="15"/>
  <c r="Q74" i="15"/>
  <c r="Q73" i="15"/>
  <c r="Q60" i="15"/>
  <c r="O28" i="43"/>
  <c r="N28" i="43"/>
  <c r="P28" i="43"/>
  <c r="M28" i="43"/>
  <c r="C32" i="15"/>
  <c r="C32" i="67"/>
  <c r="AE6" i="1"/>
  <c r="AE7" i="1"/>
  <c r="W37" i="21" l="1"/>
  <c r="AC37" i="21"/>
  <c r="U37" i="21"/>
  <c r="AB37" i="21"/>
  <c r="R48" i="33"/>
  <c r="E48" i="33" s="1"/>
  <c r="I53" i="33" s="1"/>
  <c r="J53" i="33" s="1"/>
  <c r="T48" i="33"/>
  <c r="G48" i="33" s="1"/>
  <c r="F7" i="21"/>
  <c r="S7" i="21" s="1"/>
  <c r="J7" i="21"/>
  <c r="F7" i="36"/>
  <c r="AA7" i="36" s="1"/>
  <c r="R36" i="36" s="1"/>
  <c r="F63" i="40"/>
  <c r="E65" i="40"/>
  <c r="L19" i="81"/>
  <c r="M19" i="81"/>
  <c r="C118" i="81" s="1"/>
  <c r="S3" i="43"/>
  <c r="T3" i="43" s="1"/>
  <c r="V3" i="43" s="1"/>
  <c r="C23" i="43"/>
  <c r="C21" i="43" s="1"/>
  <c r="C29" i="43" s="1"/>
  <c r="S6" i="43"/>
  <c r="T6" i="43" s="1"/>
  <c r="V6" i="43" s="1"/>
  <c r="S7" i="43"/>
  <c r="T7" i="43" s="1"/>
  <c r="V7" i="43" s="1"/>
  <c r="S2" i="43"/>
  <c r="T2" i="43" s="1"/>
  <c r="V2" i="43" s="1"/>
  <c r="S4" i="43"/>
  <c r="T4" i="43" s="1"/>
  <c r="V4" i="43" s="1"/>
  <c r="S5" i="43"/>
  <c r="T5" i="43" s="1"/>
  <c r="V5" i="43" s="1"/>
  <c r="W10" i="40"/>
  <c r="C23" i="79"/>
  <c r="C29" i="79" s="1"/>
  <c r="J26" i="79"/>
  <c r="J24" i="79"/>
  <c r="C53" i="79"/>
  <c r="C48" i="79" s="1"/>
  <c r="C10" i="79"/>
  <c r="C5" i="79" s="1"/>
  <c r="C19" i="15"/>
  <c r="C20" i="15" s="1"/>
  <c r="M20" i="6"/>
  <c r="I20" i="6" s="1"/>
  <c r="S20" i="6" s="1"/>
  <c r="S7" i="1"/>
  <c r="M19" i="6"/>
  <c r="M27" i="6" s="1"/>
  <c r="S6" i="1"/>
  <c r="K27" i="6"/>
  <c r="P16" i="1"/>
  <c r="C11" i="12" s="1"/>
  <c r="C15" i="12" s="1"/>
  <c r="F10" i="39"/>
  <c r="J10" i="39"/>
  <c r="F10" i="40"/>
  <c r="C38" i="69"/>
  <c r="C35" i="69"/>
  <c r="C38" i="68"/>
  <c r="M19" i="9"/>
  <c r="C118" i="9" s="1"/>
  <c r="C14" i="74" s="1"/>
  <c r="B2" i="74" s="1"/>
  <c r="D19" i="6"/>
  <c r="D26" i="6"/>
  <c r="C18" i="4"/>
  <c r="D8" i="6"/>
  <c r="D23" i="6"/>
  <c r="D14" i="6"/>
  <c r="D12" i="6"/>
  <c r="D11" i="6"/>
  <c r="D13" i="6"/>
  <c r="D28" i="6"/>
  <c r="E61" i="40"/>
  <c r="D25" i="6"/>
  <c r="D15" i="6"/>
  <c r="D22" i="6"/>
  <c r="D21" i="6"/>
  <c r="D24" i="6"/>
  <c r="D20" i="6"/>
  <c r="D5" i="6"/>
  <c r="D9" i="6"/>
  <c r="D10" i="6"/>
  <c r="L19" i="9"/>
  <c r="D29" i="6"/>
  <c r="H21" i="6"/>
  <c r="R21" i="6" s="1"/>
  <c r="H25" i="6"/>
  <c r="R25" i="6" s="1"/>
  <c r="H22" i="6"/>
  <c r="AB10" i="39"/>
  <c r="E6" i="3"/>
  <c r="H23" i="6"/>
  <c r="S23" i="6"/>
  <c r="H24" i="6"/>
  <c r="R24" i="6" s="1"/>
  <c r="S26" i="6"/>
  <c r="H26" i="6"/>
  <c r="R26" i="6" s="1"/>
  <c r="H20" i="6"/>
  <c r="R20" i="6" s="1"/>
  <c r="R7" i="1" s="1"/>
  <c r="C29" i="11"/>
  <c r="D27" i="11" s="1"/>
  <c r="C47" i="11"/>
  <c r="D45" i="11" s="1"/>
  <c r="D19" i="68"/>
  <c r="C10" i="68"/>
  <c r="C47" i="69"/>
  <c r="D45" i="69" s="1"/>
  <c r="C29" i="69"/>
  <c r="D27" i="69" s="1"/>
  <c r="I19" i="6"/>
  <c r="C10" i="69"/>
  <c r="C8" i="69" s="1"/>
  <c r="C5" i="69" s="1"/>
  <c r="D19" i="69"/>
  <c r="AB10" i="40"/>
  <c r="C115" i="43"/>
  <c r="D113" i="43" s="1"/>
  <c r="C38" i="11"/>
  <c r="C35" i="11"/>
  <c r="F50" i="69"/>
  <c r="F50" i="11"/>
  <c r="F50" i="68"/>
  <c r="C19" i="67"/>
  <c r="C20" i="67" s="1"/>
  <c r="C26" i="67" s="1"/>
  <c r="M59" i="34"/>
  <c r="F68" i="39"/>
  <c r="E70" i="39"/>
  <c r="I42" i="35"/>
  <c r="J42" i="35" s="1"/>
  <c r="AB7" i="36"/>
  <c r="T36" i="36" s="1"/>
  <c r="G36" i="36" s="1"/>
  <c r="U7" i="36"/>
  <c r="AC7" i="36"/>
  <c r="V36" i="36" s="1"/>
  <c r="I36" i="36" s="1"/>
  <c r="W7" i="36"/>
  <c r="I46" i="37"/>
  <c r="J46" i="37" s="1"/>
  <c r="G46" i="37"/>
  <c r="H46" i="37" s="1"/>
  <c r="G47" i="37"/>
  <c r="H47" i="37" s="1"/>
  <c r="I52" i="33"/>
  <c r="J52" i="33" s="1"/>
  <c r="G42" i="35"/>
  <c r="H42" i="35" s="1"/>
  <c r="G43" i="35"/>
  <c r="H43" i="35" s="1"/>
  <c r="S7" i="36"/>
  <c r="U7" i="21"/>
  <c r="AB7" i="21"/>
  <c r="T48" i="21" s="1"/>
  <c r="G48" i="21" s="1"/>
  <c r="E42" i="37"/>
  <c r="R43" i="37"/>
  <c r="AC7" i="21"/>
  <c r="V48" i="21" s="1"/>
  <c r="I48" i="21" s="1"/>
  <c r="W7" i="21"/>
  <c r="G52" i="33"/>
  <c r="H52" i="33" s="1"/>
  <c r="G53" i="33"/>
  <c r="H53" i="33" s="1"/>
  <c r="R39" i="35"/>
  <c r="E38" i="35"/>
  <c r="J26" i="15"/>
  <c r="J24" i="15"/>
  <c r="C53" i="15"/>
  <c r="C48" i="15" s="1"/>
  <c r="C10" i="15"/>
  <c r="C5" i="15" s="1"/>
  <c r="F22" i="68"/>
  <c r="F24" i="15"/>
  <c r="C24" i="15" s="1"/>
  <c r="F22" i="69"/>
  <c r="F24" i="67"/>
  <c r="C24" i="67" s="1"/>
  <c r="F22" i="11"/>
  <c r="F25" i="12"/>
  <c r="J18" i="67"/>
  <c r="J5" i="67"/>
  <c r="C10" i="67"/>
  <c r="C5" i="67" s="1"/>
  <c r="C53" i="67"/>
  <c r="C48" i="67" s="1"/>
  <c r="F41" i="79"/>
  <c r="F35" i="15"/>
  <c r="F41" i="15"/>
  <c r="M21" i="15"/>
  <c r="AA7" i="21" l="1"/>
  <c r="R48" i="21" s="1"/>
  <c r="R49" i="21" s="1"/>
  <c r="R49" i="33"/>
  <c r="C49" i="33" s="1"/>
  <c r="B2" i="33" s="1"/>
  <c r="F65" i="40"/>
  <c r="G63" i="40"/>
  <c r="R23" i="6"/>
  <c r="C30" i="43"/>
  <c r="E30" i="43" s="1"/>
  <c r="C27" i="43" s="1"/>
  <c r="E29" i="43"/>
  <c r="C26" i="43" s="1"/>
  <c r="F69" i="79"/>
  <c r="F69" i="15"/>
  <c r="J29" i="15"/>
  <c r="J29" i="79"/>
  <c r="J20" i="15"/>
  <c r="F63" i="15"/>
  <c r="C62" i="15" s="1"/>
  <c r="C34" i="15"/>
  <c r="C66" i="79"/>
  <c r="C60" i="79"/>
  <c r="C38" i="79"/>
  <c r="C57" i="79"/>
  <c r="C36" i="79"/>
  <c r="J19" i="79"/>
  <c r="J14" i="79"/>
  <c r="C13" i="79"/>
  <c r="Q49" i="79"/>
  <c r="C33" i="79"/>
  <c r="J59" i="79"/>
  <c r="J60" i="79" s="1"/>
  <c r="C12" i="12"/>
  <c r="C16" i="12" s="1"/>
  <c r="C21" i="12" s="1"/>
  <c r="AQ6" i="1"/>
  <c r="T6" i="1"/>
  <c r="S16" i="1"/>
  <c r="AR6" i="1"/>
  <c r="AQ7" i="1"/>
  <c r="AR7" i="1"/>
  <c r="T7" i="1"/>
  <c r="W10" i="39"/>
  <c r="AC10" i="39"/>
  <c r="S10" i="40"/>
  <c r="AA10" i="40"/>
  <c r="AA10" i="39"/>
  <c r="S10" i="39"/>
  <c r="D30" i="6"/>
  <c r="D16" i="6"/>
  <c r="D8" i="74"/>
  <c r="D7" i="74"/>
  <c r="C23" i="15"/>
  <c r="R22" i="6"/>
  <c r="C4" i="52"/>
  <c r="B45" i="72" s="1"/>
  <c r="A7" i="51"/>
  <c r="B7" i="72" s="1"/>
  <c r="A10" i="51"/>
  <c r="B9" i="72" s="1"/>
  <c r="D27" i="6"/>
  <c r="D31" i="6" s="1"/>
  <c r="C19" i="68"/>
  <c r="C24" i="68" s="1"/>
  <c r="D37" i="68"/>
  <c r="C37" i="68" s="1"/>
  <c r="C33" i="68" s="1"/>
  <c r="C39" i="68" s="1"/>
  <c r="C19" i="69"/>
  <c r="C20" i="69" s="1"/>
  <c r="C28" i="69" s="1"/>
  <c r="C27" i="69" s="1"/>
  <c r="D37" i="69"/>
  <c r="C37" i="69" s="1"/>
  <c r="C33" i="69" s="1"/>
  <c r="C42" i="69" s="1"/>
  <c r="S19" i="6"/>
  <c r="S27" i="6" s="1"/>
  <c r="H19" i="6"/>
  <c r="I27" i="6"/>
  <c r="C33" i="11"/>
  <c r="C39" i="11" s="1"/>
  <c r="C46" i="11" s="1"/>
  <c r="C45" i="11" s="1"/>
  <c r="G40" i="36"/>
  <c r="H40" i="36" s="1"/>
  <c r="G41" i="36"/>
  <c r="H41" i="36" s="1"/>
  <c r="E53" i="33"/>
  <c r="F53" i="33" s="1"/>
  <c r="E52" i="33"/>
  <c r="F52" i="33" s="1"/>
  <c r="G68" i="39"/>
  <c r="F70" i="39"/>
  <c r="E43" i="35"/>
  <c r="F43" i="35" s="1"/>
  <c r="E42" i="35"/>
  <c r="F42" i="35" s="1"/>
  <c r="I52" i="21"/>
  <c r="J52" i="21" s="1"/>
  <c r="E47" i="37"/>
  <c r="F47" i="37" s="1"/>
  <c r="E46" i="37"/>
  <c r="F46" i="37" s="1"/>
  <c r="C39" i="35"/>
  <c r="B2" i="35" s="1"/>
  <c r="B3" i="35" s="1"/>
  <c r="C38" i="35"/>
  <c r="C42" i="37"/>
  <c r="C43" i="37"/>
  <c r="B2" i="37" s="1"/>
  <c r="B3" i="37" s="1"/>
  <c r="G52" i="21"/>
  <c r="H52" i="21" s="1"/>
  <c r="G53" i="21"/>
  <c r="H53" i="21" s="1"/>
  <c r="E36" i="36"/>
  <c r="R37" i="36"/>
  <c r="I47" i="37"/>
  <c r="J47" i="37" s="1"/>
  <c r="I40" i="36"/>
  <c r="J40" i="36" s="1"/>
  <c r="I41" i="36"/>
  <c r="J41" i="36" s="1"/>
  <c r="I43" i="35"/>
  <c r="J43" i="35" s="1"/>
  <c r="C48" i="33"/>
  <c r="N59" i="34"/>
  <c r="C66" i="67"/>
  <c r="C60" i="67"/>
  <c r="C38" i="67"/>
  <c r="C26" i="12"/>
  <c r="D25" i="12" s="1"/>
  <c r="C66" i="15"/>
  <c r="C60" i="15"/>
  <c r="C23" i="67"/>
  <c r="C29" i="67" s="1"/>
  <c r="C26" i="15"/>
  <c r="J26" i="67"/>
  <c r="J29" i="67" s="1"/>
  <c r="J24" i="67"/>
  <c r="C25" i="11"/>
  <c r="C26" i="11"/>
  <c r="D22" i="11" s="1"/>
  <c r="C23" i="11"/>
  <c r="C44" i="11"/>
  <c r="D41" i="11" s="1"/>
  <c r="C24" i="11"/>
  <c r="C44" i="69"/>
  <c r="D41" i="69" s="1"/>
  <c r="C23" i="69"/>
  <c r="C26" i="69"/>
  <c r="D22" i="69" s="1"/>
  <c r="C23" i="68"/>
  <c r="C26" i="68"/>
  <c r="D22" i="68" s="1"/>
  <c r="C44" i="68"/>
  <c r="D41" i="68" s="1"/>
  <c r="C38" i="15"/>
  <c r="E6" i="76"/>
  <c r="E48" i="21" l="1"/>
  <c r="I53" i="21" s="1"/>
  <c r="J53" i="21" s="1"/>
  <c r="H63" i="40"/>
  <c r="G65" i="40"/>
  <c r="E2" i="76"/>
  <c r="B2" i="43"/>
  <c r="C75" i="79"/>
  <c r="Q70" i="79"/>
  <c r="C37" i="79"/>
  <c r="C56" i="79"/>
  <c r="C65" i="79" s="1"/>
  <c r="C64" i="79"/>
  <c r="C61" i="79"/>
  <c r="Q48" i="79"/>
  <c r="J13" i="79"/>
  <c r="J23" i="79" s="1"/>
  <c r="J22" i="79"/>
  <c r="C43" i="11"/>
  <c r="C25" i="69"/>
  <c r="B3" i="33"/>
  <c r="C22" i="12"/>
  <c r="C30" i="12" s="1"/>
  <c r="C28" i="12" s="1"/>
  <c r="T16" i="1"/>
  <c r="C42" i="68"/>
  <c r="C29" i="15"/>
  <c r="Q49" i="15" s="1"/>
  <c r="C42" i="11"/>
  <c r="I6" i="6"/>
  <c r="I5" i="6"/>
  <c r="C24" i="69"/>
  <c r="R19" i="6"/>
  <c r="H27" i="6"/>
  <c r="C39" i="69"/>
  <c r="C43" i="69" s="1"/>
  <c r="C41" i="69" s="1"/>
  <c r="C46" i="68"/>
  <c r="C45" i="68" s="1"/>
  <c r="C43" i="68"/>
  <c r="C20" i="68"/>
  <c r="C25" i="68" s="1"/>
  <c r="C22" i="68" s="1"/>
  <c r="C36" i="36"/>
  <c r="C37" i="36"/>
  <c r="B2" i="36" s="1"/>
  <c r="B3" i="36" s="1"/>
  <c r="G70" i="39"/>
  <c r="H68" i="39"/>
  <c r="C49" i="21"/>
  <c r="B2" i="21" s="1"/>
  <c r="B3" i="21" s="1"/>
  <c r="C48" i="21"/>
  <c r="O59" i="34"/>
  <c r="J7" i="34" s="1"/>
  <c r="H7" i="34"/>
  <c r="E40" i="36"/>
  <c r="F40" i="36" s="1"/>
  <c r="E41" i="36"/>
  <c r="F41" i="36" s="1"/>
  <c r="C22" i="11"/>
  <c r="C31" i="11" s="1"/>
  <c r="J19" i="67"/>
  <c r="J17" i="67" s="1"/>
  <c r="C33" i="67"/>
  <c r="C31" i="67" s="1"/>
  <c r="C13" i="67"/>
  <c r="Q49" i="67"/>
  <c r="J14" i="67"/>
  <c r="C36" i="67"/>
  <c r="C57" i="67"/>
  <c r="J59" i="67"/>
  <c r="J60" i="67" s="1"/>
  <c r="B6" i="76"/>
  <c r="E53" i="21" l="1"/>
  <c r="F53" i="21" s="1"/>
  <c r="E52" i="21"/>
  <c r="F52" i="21" s="1"/>
  <c r="C36" i="15"/>
  <c r="F7" i="34"/>
  <c r="I63" i="40"/>
  <c r="H65" i="40"/>
  <c r="B2" i="76"/>
  <c r="B3" i="76" s="1"/>
  <c r="B3" i="43"/>
  <c r="C41" i="11"/>
  <c r="C49" i="11" s="1"/>
  <c r="C51" i="11" s="1"/>
  <c r="C52" i="11" s="1"/>
  <c r="B2" i="11" s="1"/>
  <c r="B3" i="11" s="1"/>
  <c r="C22" i="69"/>
  <c r="C31" i="69" s="1"/>
  <c r="C41" i="68"/>
  <c r="C49" i="68" s="1"/>
  <c r="C51" i="68" s="1"/>
  <c r="C57" i="15"/>
  <c r="C64" i="15" s="1"/>
  <c r="C27" i="12"/>
  <c r="C25" i="12" s="1"/>
  <c r="C32" i="12" s="1"/>
  <c r="B2" i="12" s="1"/>
  <c r="B3" i="12" s="1"/>
  <c r="J59" i="15"/>
  <c r="J60" i="15" s="1"/>
  <c r="L46" i="15" s="1"/>
  <c r="C13" i="15"/>
  <c r="Q70" i="15" s="1"/>
  <c r="R27" i="6"/>
  <c r="R6" i="1"/>
  <c r="C33" i="15"/>
  <c r="C31" i="15" s="1"/>
  <c r="J14" i="15"/>
  <c r="J22" i="15" s="1"/>
  <c r="J19" i="15"/>
  <c r="J17" i="15" s="1"/>
  <c r="C28" i="68"/>
  <c r="C27" i="68" s="1"/>
  <c r="C31" i="68" s="1"/>
  <c r="C46" i="69"/>
  <c r="C45" i="69" s="1"/>
  <c r="C49" i="69" s="1"/>
  <c r="C51" i="69" s="1"/>
  <c r="AA7" i="34"/>
  <c r="R49" i="34" s="1"/>
  <c r="S7" i="34"/>
  <c r="AB7" i="34"/>
  <c r="T49" i="34" s="1"/>
  <c r="G49" i="34" s="1"/>
  <c r="U7" i="34"/>
  <c r="AC7" i="34"/>
  <c r="V49" i="34" s="1"/>
  <c r="I49" i="34" s="1"/>
  <c r="W7" i="34"/>
  <c r="H70" i="39"/>
  <c r="I68" i="39"/>
  <c r="Q48" i="67"/>
  <c r="L46" i="67"/>
  <c r="J13" i="15"/>
  <c r="J23" i="15" s="1"/>
  <c r="C64" i="67"/>
  <c r="C61" i="67"/>
  <c r="C59" i="67" s="1"/>
  <c r="J13" i="67"/>
  <c r="J23" i="67" s="1"/>
  <c r="J22" i="67"/>
  <c r="C75" i="67"/>
  <c r="Q70" i="67"/>
  <c r="C37" i="67"/>
  <c r="C30" i="67" s="1"/>
  <c r="C39" i="67" s="1"/>
  <c r="C56" i="67"/>
  <c r="C65" i="67" s="1"/>
  <c r="Q48" i="15"/>
  <c r="F35" i="79"/>
  <c r="M21" i="79"/>
  <c r="I65" i="40" l="1"/>
  <c r="J63" i="40"/>
  <c r="C75" i="15"/>
  <c r="J20" i="79"/>
  <c r="J17" i="79" s="1"/>
  <c r="J16" i="79" s="1"/>
  <c r="J25" i="79" s="1"/>
  <c r="C34" i="79"/>
  <c r="C31" i="79" s="1"/>
  <c r="C30" i="79" s="1"/>
  <c r="C39" i="79" s="1"/>
  <c r="F63" i="79"/>
  <c r="C62" i="79" s="1"/>
  <c r="C59" i="79" s="1"/>
  <c r="C58" i="79" s="1"/>
  <c r="C67" i="79" s="1"/>
  <c r="C68" i="79" s="1"/>
  <c r="C71" i="79" s="1"/>
  <c r="R16" i="1"/>
  <c r="C52" i="69"/>
  <c r="B2" i="69" s="1"/>
  <c r="B3" i="69" s="1"/>
  <c r="C61" i="15"/>
  <c r="C59" i="15" s="1"/>
  <c r="C56" i="15"/>
  <c r="C65" i="15" s="1"/>
  <c r="C37" i="15"/>
  <c r="C30" i="15" s="1"/>
  <c r="C39" i="15" s="1"/>
  <c r="C40" i="15" s="1"/>
  <c r="C52" i="68"/>
  <c r="B2" i="68" s="1"/>
  <c r="B3" i="68" s="1"/>
  <c r="J16" i="67"/>
  <c r="J25" i="67" s="1"/>
  <c r="J16" i="15"/>
  <c r="J25" i="15" s="1"/>
  <c r="J68" i="39"/>
  <c r="I70" i="39"/>
  <c r="I53" i="34"/>
  <c r="J53" i="34" s="1"/>
  <c r="G54" i="34"/>
  <c r="H54" i="34" s="1"/>
  <c r="G53" i="34"/>
  <c r="H53" i="34" s="1"/>
  <c r="E49" i="34"/>
  <c r="I54" i="34" s="1"/>
  <c r="J54" i="34" s="1"/>
  <c r="R50" i="34"/>
  <c r="Q69" i="67"/>
  <c r="Q68" i="67" s="1"/>
  <c r="C40" i="67"/>
  <c r="C58" i="67"/>
  <c r="C67" i="67" s="1"/>
  <c r="C68" i="67" s="1"/>
  <c r="C80" i="67"/>
  <c r="C79" i="67" s="1"/>
  <c r="C56" i="11"/>
  <c r="C57" i="11" s="1"/>
  <c r="L51" i="67"/>
  <c r="L51" i="79"/>
  <c r="J65" i="40" l="1"/>
  <c r="K63" i="40"/>
  <c r="C58" i="15"/>
  <c r="C67" i="15" s="1"/>
  <c r="C68" i="15" s="1"/>
  <c r="C71" i="15" s="1"/>
  <c r="Q67" i="79"/>
  <c r="L57" i="79"/>
  <c r="L60" i="79" s="1"/>
  <c r="L46" i="79" s="1"/>
  <c r="C40" i="79"/>
  <c r="Q69" i="79"/>
  <c r="Q68" i="79" s="1"/>
  <c r="C80" i="79"/>
  <c r="C79" i="79" s="1"/>
  <c r="C57" i="69"/>
  <c r="C56" i="69" s="1"/>
  <c r="Q69" i="15"/>
  <c r="Q68" i="15" s="1"/>
  <c r="C80" i="15"/>
  <c r="C79" i="15" s="1"/>
  <c r="C57" i="68"/>
  <c r="C56" i="68" s="1"/>
  <c r="C49" i="34"/>
  <c r="C50" i="34"/>
  <c r="B2" i="34" s="1"/>
  <c r="E53" i="34"/>
  <c r="F53" i="34" s="1"/>
  <c r="E54" i="34"/>
  <c r="F54" i="34" s="1"/>
  <c r="J70" i="39"/>
  <c r="K68" i="39"/>
  <c r="Q67" i="67"/>
  <c r="L57" i="67"/>
  <c r="L60" i="67" s="1"/>
  <c r="L57" i="15"/>
  <c r="L60" i="15" s="1"/>
  <c r="B2" i="15"/>
  <c r="Q65" i="15"/>
  <c r="C43" i="15"/>
  <c r="Q47" i="15"/>
  <c r="Q53" i="15" s="1"/>
  <c r="Q56" i="15"/>
  <c r="C83" i="15"/>
  <c r="C82" i="15" s="1"/>
  <c r="C45" i="67"/>
  <c r="C46" i="67" s="1"/>
  <c r="C71" i="67"/>
  <c r="C43" i="67"/>
  <c r="D2" i="67"/>
  <c r="Q56" i="67"/>
  <c r="Q47" i="67"/>
  <c r="Q53" i="67" s="1"/>
  <c r="Q65" i="67"/>
  <c r="C83" i="67"/>
  <c r="C82" i="67" s="1"/>
  <c r="C19" i="81"/>
  <c r="AO7" i="1"/>
  <c r="L51" i="15"/>
  <c r="D19" i="9"/>
  <c r="C19" i="9"/>
  <c r="C46" i="15" l="1"/>
  <c r="K65" i="40"/>
  <c r="L63" i="40"/>
  <c r="Q67" i="15"/>
  <c r="Q57" i="79"/>
  <c r="Q66" i="79"/>
  <c r="Q47" i="79"/>
  <c r="Q53" i="79" s="1"/>
  <c r="Q65" i="79"/>
  <c r="Q75" i="79" s="1"/>
  <c r="C43" i="79"/>
  <c r="C46" i="79"/>
  <c r="B2" i="79"/>
  <c r="C83" i="79"/>
  <c r="C82" i="79" s="1"/>
  <c r="Q56" i="79"/>
  <c r="Q62" i="79" s="1"/>
  <c r="B7" i="70"/>
  <c r="C102" i="81"/>
  <c r="C21" i="81"/>
  <c r="C102" i="9"/>
  <c r="C21" i="9"/>
  <c r="B3" i="34"/>
  <c r="D21" i="9"/>
  <c r="G19" i="9"/>
  <c r="D22" i="9"/>
  <c r="D102" i="9"/>
  <c r="B3" i="15"/>
  <c r="K70" i="39"/>
  <c r="L68" i="39"/>
  <c r="Q66" i="15"/>
  <c r="Q57" i="15"/>
  <c r="Q62" i="15" s="1"/>
  <c r="Q66" i="67"/>
  <c r="Q75" i="67" s="1"/>
  <c r="Q57" i="67"/>
  <c r="Q62" i="67" s="1"/>
  <c r="B2" i="67"/>
  <c r="B3" i="67"/>
  <c r="Q75" i="15"/>
  <c r="D19" i="81"/>
  <c r="D20" i="9"/>
  <c r="C20" i="81"/>
  <c r="C20" i="9"/>
  <c r="AO6" i="1"/>
  <c r="L65" i="40" l="1"/>
  <c r="M63" i="40"/>
  <c r="B6" i="70"/>
  <c r="D21" i="81"/>
  <c r="D22" i="81"/>
  <c r="G19" i="81"/>
  <c r="C32" i="81" s="1"/>
  <c r="D102" i="81"/>
  <c r="B3" i="79"/>
  <c r="B2" i="70"/>
  <c r="B3" i="70" s="1"/>
  <c r="C103" i="81"/>
  <c r="C103" i="9"/>
  <c r="G20" i="9"/>
  <c r="R24" i="80" s="1"/>
  <c r="S24" i="80" s="1"/>
  <c r="D103" i="9"/>
  <c r="C32" i="9"/>
  <c r="G21" i="9"/>
  <c r="L70" i="39"/>
  <c r="M68" i="39"/>
  <c r="D20" i="81"/>
  <c r="R26" i="80" l="1"/>
  <c r="S26" i="80" s="1"/>
  <c r="R33" i="80"/>
  <c r="S33" i="80" s="1"/>
  <c r="R32" i="80"/>
  <c r="S32" i="80" s="1"/>
  <c r="R28" i="80"/>
  <c r="S28" i="80" s="1"/>
  <c r="R31" i="80"/>
  <c r="S31" i="80" s="1"/>
  <c r="R29" i="80"/>
  <c r="S29" i="80" s="1"/>
  <c r="R27" i="80"/>
  <c r="S27" i="80" s="1"/>
  <c r="R25" i="80"/>
  <c r="S25" i="80" s="1"/>
  <c r="R30" i="80"/>
  <c r="S30" i="80" s="1"/>
  <c r="N63" i="40"/>
  <c r="M65" i="40"/>
  <c r="G21" i="81"/>
  <c r="G20" i="81"/>
  <c r="R24" i="31" s="1"/>
  <c r="D103" i="81"/>
  <c r="C35" i="81"/>
  <c r="F118" i="81" s="1"/>
  <c r="H118" i="81"/>
  <c r="H118" i="9"/>
  <c r="C35" i="9"/>
  <c r="F118" i="9" s="1"/>
  <c r="M70" i="39"/>
  <c r="N68" i="39"/>
  <c r="S22" i="80" l="1"/>
  <c r="D14" i="74" s="1"/>
  <c r="G14" i="74" s="1"/>
  <c r="N65" i="40"/>
  <c r="H7" i="40" s="1"/>
  <c r="O63" i="40"/>
  <c r="O65" i="40" s="1"/>
  <c r="S24" i="3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3" i="31"/>
  <c r="S193"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B20" i="80"/>
  <c r="I118" i="81"/>
  <c r="C104" i="81"/>
  <c r="H119" i="81"/>
  <c r="H101" i="81"/>
  <c r="F119" i="81"/>
  <c r="G118" i="81"/>
  <c r="C34" i="81"/>
  <c r="D118" i="81" s="1"/>
  <c r="D119" i="81" s="1"/>
  <c r="C34" i="9"/>
  <c r="D118" i="9" s="1"/>
  <c r="D4" i="52" s="1"/>
  <c r="B47" i="72" s="1"/>
  <c r="F4" i="52"/>
  <c r="B51" i="72" s="1"/>
  <c r="G118" i="9"/>
  <c r="G4" i="52" s="1"/>
  <c r="B52" i="72" s="1"/>
  <c r="F119" i="9"/>
  <c r="F5" i="52" s="1"/>
  <c r="B53" i="72" s="1"/>
  <c r="C104" i="9"/>
  <c r="H101" i="9"/>
  <c r="I118" i="9"/>
  <c r="H119" i="9"/>
  <c r="H5" i="52" s="1"/>
  <c r="H4" i="52"/>
  <c r="O68" i="39"/>
  <c r="O70" i="39" s="1"/>
  <c r="N70" i="39"/>
  <c r="R22" i="80" l="1"/>
  <c r="B21" i="80" s="1"/>
  <c r="F7" i="40"/>
  <c r="J7" i="40"/>
  <c r="AB7" i="40"/>
  <c r="T42" i="40" s="1"/>
  <c r="G42" i="40" s="1"/>
  <c r="U7" i="40"/>
  <c r="S22" i="31"/>
  <c r="E118" i="81"/>
  <c r="C105" i="81"/>
  <c r="H102" i="81"/>
  <c r="H107" i="81"/>
  <c r="D45" i="81"/>
  <c r="M48" i="81"/>
  <c r="D119" i="9"/>
  <c r="D5" i="52" s="1"/>
  <c r="B49" i="72" s="1"/>
  <c r="E118" i="9"/>
  <c r="E4" i="52" s="1"/>
  <c r="B48" i="72" s="1"/>
  <c r="H102" i="9"/>
  <c r="D7" i="53" s="1"/>
  <c r="B21" i="72" s="1"/>
  <c r="C105" i="9"/>
  <c r="I4" i="52"/>
  <c r="M48" i="9"/>
  <c r="D5" i="53"/>
  <c r="H107" i="9"/>
  <c r="D45" i="9"/>
  <c r="F14" i="74"/>
  <c r="E14" i="74"/>
  <c r="J7" i="39"/>
  <c r="F7" i="39"/>
  <c r="H7" i="39"/>
  <c r="W7" i="40" l="1"/>
  <c r="AC7" i="40"/>
  <c r="V42" i="40" s="1"/>
  <c r="I42" i="40" s="1"/>
  <c r="I46" i="40" s="1"/>
  <c r="J46" i="40" s="1"/>
  <c r="G46" i="40"/>
  <c r="H46" i="40" s="1"/>
  <c r="S7" i="40"/>
  <c r="AA7" i="40"/>
  <c r="R42" i="40" s="1"/>
  <c r="R22" i="31"/>
  <c r="B21" i="31" s="1"/>
  <c r="D15" i="74"/>
  <c r="B20" i="31"/>
  <c r="C78" i="81"/>
  <c r="C73" i="81" s="1"/>
  <c r="D52" i="81"/>
  <c r="C93" i="81"/>
  <c r="C86" i="81" s="1"/>
  <c r="C85" i="81"/>
  <c r="C72" i="81"/>
  <c r="C64" i="81"/>
  <c r="C63" i="81" s="1"/>
  <c r="C67" i="81" s="1"/>
  <c r="C68" i="81" s="1"/>
  <c r="D54" i="81" s="1"/>
  <c r="D55" i="81"/>
  <c r="M53" i="81" s="1"/>
  <c r="D53" i="81"/>
  <c r="D122" i="81"/>
  <c r="D123" i="81" s="1"/>
  <c r="H108" i="81"/>
  <c r="M49" i="81"/>
  <c r="M49" i="9"/>
  <c r="H108" i="9"/>
  <c r="D15" i="53" s="1"/>
  <c r="B31" i="72" s="1"/>
  <c r="D122" i="9"/>
  <c r="D13" i="53"/>
  <c r="D55" i="9"/>
  <c r="M53" i="9" s="1"/>
  <c r="C72" i="9"/>
  <c r="D52" i="9"/>
  <c r="D53" i="9"/>
  <c r="C64" i="9"/>
  <c r="C63" i="9" s="1"/>
  <c r="C67" i="9" s="1"/>
  <c r="C68" i="9" s="1"/>
  <c r="D54" i="9" s="1"/>
  <c r="C93" i="9"/>
  <c r="C86" i="9" s="1"/>
  <c r="C78" i="9"/>
  <c r="C73" i="9" s="1"/>
  <c r="C85" i="9"/>
  <c r="D6" i="53"/>
  <c r="B22" i="72" s="1"/>
  <c r="B20" i="72"/>
  <c r="AB7" i="39"/>
  <c r="T47" i="39" s="1"/>
  <c r="G47" i="39" s="1"/>
  <c r="U7" i="39"/>
  <c r="S7" i="39"/>
  <c r="AA7" i="39"/>
  <c r="R47" i="39" s="1"/>
  <c r="AC7" i="39"/>
  <c r="V47" i="39" s="1"/>
  <c r="I47" i="39" s="1"/>
  <c r="W7" i="39"/>
  <c r="R43" i="40" l="1"/>
  <c r="E42" i="40"/>
  <c r="G47" i="40"/>
  <c r="H47" i="40" s="1"/>
  <c r="G15" i="74"/>
  <c r="B6" i="74" s="1"/>
  <c r="F15" i="74"/>
  <c r="E15" i="74"/>
  <c r="B5" i="74"/>
  <c r="C79" i="81"/>
  <c r="C95" i="81"/>
  <c r="L66" i="81"/>
  <c r="M66" i="81" s="1"/>
  <c r="L65" i="81"/>
  <c r="M65" i="81" s="1"/>
  <c r="L64" i="81"/>
  <c r="M64" i="81" s="1"/>
  <c r="L68" i="81"/>
  <c r="M68" i="81" s="1"/>
  <c r="L67" i="81"/>
  <c r="M67" i="81" s="1"/>
  <c r="L63" i="81"/>
  <c r="M63" i="81" s="1"/>
  <c r="C95" i="9"/>
  <c r="C96" i="9" s="1"/>
  <c r="E96" i="9" s="1"/>
  <c r="E97" i="9" s="1"/>
  <c r="C79" i="9"/>
  <c r="B30" i="72"/>
  <c r="D14" i="53"/>
  <c r="B32" i="72" s="1"/>
  <c r="D123" i="9"/>
  <c r="D9" i="52" s="1"/>
  <c r="D8" i="52"/>
  <c r="L65" i="9"/>
  <c r="M65" i="9" s="1"/>
  <c r="L64" i="9"/>
  <c r="M64" i="9" s="1"/>
  <c r="L67" i="9"/>
  <c r="M67" i="9" s="1"/>
  <c r="L68" i="9"/>
  <c r="M68" i="9" s="1"/>
  <c r="L66" i="9"/>
  <c r="M66" i="9" s="1"/>
  <c r="L63" i="9"/>
  <c r="M63" i="9" s="1"/>
  <c r="I51" i="39"/>
  <c r="J51" i="39" s="1"/>
  <c r="R48" i="39"/>
  <c r="E47" i="39"/>
  <c r="I52" i="39" s="1"/>
  <c r="J52" i="39" s="1"/>
  <c r="G52" i="39"/>
  <c r="H52" i="39" s="1"/>
  <c r="G51" i="39"/>
  <c r="H51" i="39" s="1"/>
  <c r="M69" i="9" l="1"/>
  <c r="N69" i="9" s="1"/>
  <c r="I47" i="40"/>
  <c r="J47" i="40" s="1"/>
  <c r="E47" i="40"/>
  <c r="F47" i="40" s="1"/>
  <c r="E46" i="40"/>
  <c r="F46" i="40" s="1"/>
  <c r="C42" i="40"/>
  <c r="C43" i="40"/>
  <c r="D5" i="74"/>
  <c r="C5" i="74"/>
  <c r="M69" i="81"/>
  <c r="N69" i="81" s="1"/>
  <c r="C97" i="9"/>
  <c r="D58" i="9" s="1"/>
  <c r="D56" i="9" s="1"/>
  <c r="M54" i="9" s="1"/>
  <c r="N57" i="9" s="1"/>
  <c r="N59" i="9" s="1"/>
  <c r="N61" i="9" s="1"/>
  <c r="C80" i="81"/>
  <c r="E80" i="81" s="1"/>
  <c r="E81" i="81" s="1"/>
  <c r="C96" i="81"/>
  <c r="E96" i="81" s="1"/>
  <c r="E97" i="81" s="1"/>
  <c r="C6" i="74"/>
  <c r="D6" i="74"/>
  <c r="C80" i="9"/>
  <c r="E80" i="9" s="1"/>
  <c r="E81" i="9" s="1"/>
  <c r="C48" i="39"/>
  <c r="C47" i="39"/>
  <c r="E52" i="39"/>
  <c r="F52" i="39" s="1"/>
  <c r="E51" i="39"/>
  <c r="F51" i="39" s="1"/>
  <c r="C81" i="9" l="1"/>
  <c r="B52" i="40"/>
  <c r="F52" i="40" s="1"/>
  <c r="B53" i="40"/>
  <c r="F53" i="40" s="1"/>
  <c r="B59" i="40"/>
  <c r="F59" i="40" s="1"/>
  <c r="B55" i="40"/>
  <c r="F55" i="40" s="1"/>
  <c r="B58" i="40"/>
  <c r="F58" i="40" s="1"/>
  <c r="B54" i="40"/>
  <c r="F54" i="40" s="1"/>
  <c r="B57" i="40"/>
  <c r="F57" i="40" s="1"/>
  <c r="B51" i="40"/>
  <c r="F51" i="40" s="1"/>
  <c r="F61" i="40"/>
  <c r="B2" i="40" s="1"/>
  <c r="B3" i="40" s="1"/>
  <c r="B56" i="40"/>
  <c r="F56" i="40" s="1"/>
  <c r="B60" i="40"/>
  <c r="F60" i="40" s="1"/>
  <c r="C97" i="81"/>
  <c r="D58" i="81" s="1"/>
  <c r="D56" i="81" s="1"/>
  <c r="M54" i="81" s="1"/>
  <c r="N57" i="81" s="1"/>
  <c r="N58" i="81" s="1"/>
  <c r="C81" i="81"/>
  <c r="N60" i="9"/>
  <c r="P57" i="9"/>
  <c r="N5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P57" i="81" l="1"/>
  <c r="N59" i="81"/>
  <c r="N61" i="81" s="1"/>
  <c r="N60"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<sst xmlns="http://schemas.openxmlformats.org/spreadsheetml/2006/main" count="8698" uniqueCount="3167">
  <si>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</si>
  <si>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</si>
  <si>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</si>
  <si>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</si>
  <si>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</si>
  <si>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</si>
  <si>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</si>
  <si>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</si>
  <si>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</si>
  <si>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</si>
  <si>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</si>
  <si>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</si>
  <si>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</si>
  <si>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</si>
  <si>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</si>
  <si>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</si>
  <si>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</si>
  <si>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</si>
  <si>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</si>
  <si>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</si>
  <si>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</si>
  <si>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</si>
  <si>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</si>
  <si>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</si>
  <si>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</si>
  <si>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</si>
  <si>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</si>
  <si>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</si>
  <si>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</si>
  <si>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</si>
  <si>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</si>
  <si>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</si>
  <si>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</si>
  <si>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</si>
  <si>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</si>
  <si>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</si>
  <si>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</si>
  <si>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</si>
  <si>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</si>
  <si>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</si>
  <si>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</si>
  <si>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</si>
  <si>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</si>
  <si>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</si>
  <si>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</si>
  <si>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</si>
  <si>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</si>
  <si>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</si>
  <si>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</si>
  <si>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</si>
  <si>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</si>
  <si>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</si>
  <si>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</si>
  <si>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</si>
  <si>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</si>
  <si>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</si>
  <si>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</si>
  <si>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</si>
  <si>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</si>
  <si>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</si>
  <si>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</si>
  <si>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</si>
  <si>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</si>
  <si>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</si>
  <si>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</si>
  <si>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</si>
  <si>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</si>
  <si>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</si>
  <si>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</si>
  <si>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</si>
  <si>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</si>
  <si>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</si>
  <si>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</si>
  <si>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</si>
  <si>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</si>
  <si>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</si>
  <si>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</si>
  <si>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</si>
  <si>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</si>
  <si>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</si>
  <si>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</si>
  <si>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</si>
  <si>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</si>
  <si>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</si>
  <si>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</si>
  <si>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</si>
  <si>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</si>
  <si>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</si>
  <si>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</si>
  <si>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</si>
  <si>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</si>
  <si>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</si>
  <si>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</si>
  <si>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</si>
  <si>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</si>
  <si>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</si>
  <si>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</si>
  <si>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</si>
  <si>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</si>
  <si>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</si>
  <si>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</si>
  <si>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</si>
  <si>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</si>
  <si>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</si>
  <si>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</si>
  <si>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</si>
  <si>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</si>
  <si>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</si>
  <si>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</si>
  <si>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</si>
  <si>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</si>
  <si>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</si>
  <si>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</si>
  <si>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</si>
  <si>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</si>
  <si>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</si>
  <si>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</si>
  <si>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</si>
  <si>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</si>
  <si>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</si>
  <si>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</si>
  <si>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</si>
  <si>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</si>
  <si>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</si>
  <si>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</si>
  <si>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</si>
  <si>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</si>
  <si>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</si>
  <si>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</si>
  <si>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</si>
  <si>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</si>
  <si>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</si>
  <si>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</si>
  <si>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</si>
  <si>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</si>
  <si>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</si>
  <si>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</si>
  <si>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</si>
  <si>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</si>
  <si>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</si>
  <si>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</si>
  <si>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</si>
  <si>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</si>
  <si>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</si>
  <si>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</si>
  <si>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</si>
  <si>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</si>
  <si>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</si>
  <si>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</si>
  <si>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</si>
  <si>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</si>
  <si>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</si>
  <si>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</si>
  <si>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</si>
  <si>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</si>
  <si>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</si>
  <si>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</si>
  <si>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</si>
  <si>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</si>
  <si>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</si>
  <si>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</si>
  <si>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</si>
  <si>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</si>
  <si>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</si>
  <si>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</si>
  <si>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</si>
  <si>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</si>
  <si>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</si>
  <si>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</si>
  <si>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</si>
  <si>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</si>
  <si>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</si>
  <si>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</si>
  <si>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</si>
  <si>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</si>
  <si>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</si>
  <si>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</si>
  <si>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</si>
  <si>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</si>
  <si>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</si>
  <si>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</si>
  <si>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</si>
  <si>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</si>
  <si>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</si>
  <si>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</si>
  <si>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</si>
  <si>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</si>
  <si>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</si>
  <si>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</si>
  <si>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</si>
  <si>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</si>
  <si>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</si>
  <si>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</si>
  <si>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</si>
  <si>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</si>
  <si>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</si>
  <si>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</si>
  <si>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</si>
  <si>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</si>
  <si>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</si>
  <si>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</si>
  <si>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</si>
  <si>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</si>
  <si>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</si>
  <si>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</si>
  <si>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</si>
  <si>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</si>
  <si>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</si>
  <si>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</si>
  <si>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</si>
  <si>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</si>
  <si>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</si>
  <si>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</si>
  <si>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</si>
  <si>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</si>
  <si>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</si>
  <si>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</si>
  <si>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</si>
  <si>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</si>
  <si>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</si>
  <si>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</si>
  <si>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</si>
  <si>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</si>
  <si>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</si>
  <si>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</si>
  <si>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</si>
  <si>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</si>
  <si>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</si>
  <si>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</si>
  <si>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</si>
  <si>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</si>
  <si>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</si>
  <si>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</si>
  <si>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</si>
  <si>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</si>
  <si>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</si>
  <si>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</si>
  <si>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</si>
  <si>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</si>
  <si>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</si>
  <si>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</si>
  <si>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</si>
  <si>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</si>
  <si>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</si>
  <si>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</si>
  <si>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</si>
  <si>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</si>
  <si>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</si>
  <si>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</si>
  <si>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</si>
  <si>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</si>
  <si>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</si>
  <si>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</si>
  <si>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</si>
  <si>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</si>
  <si>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</si>
  <si>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</si>
  <si>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</si>
  <si>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</si>
  <si>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</si>
  <si>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</si>
  <si>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</si>
  <si>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</si>
  <si>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</si>
  <si>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</si>
  <si>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</si>
  <si>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</si>
  <si>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</si>
  <si>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</si>
  <si>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</si>
  <si>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</si>
  <si>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</si>
  <si>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</si>
  <si>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</si>
  <si>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</si>
  <si>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</si>
  <si>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</si>
  <si>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</si>
  <si>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</si>
  <si>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</si>
  <si>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</si>
  <si>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</si>
  <si>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</si>
  <si>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</si>
  <si>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</si>
  <si>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</si>
  <si>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</si>
  <si>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</si>
  <si>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</si>
  <si>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</si>
  <si>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</si>
  <si>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</si>
  <si>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</si>
  <si>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</si>
  <si>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</si>
  <si>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</si>
  <si>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</si>
  <si>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</si>
  <si>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</si>
  <si>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</si>
  <si>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</si>
  <si>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</si>
  <si>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</si>
  <si>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</si>
  <si>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</si>
  <si>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</si>
  <si>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</si>
  <si>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</si>
  <si>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</si>
  <si>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</si>
  <si>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</si>
  <si>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</si>
  <si>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</si>
  <si>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</si>
  <si>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</si>
  <si>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</si>
  <si>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</si>
  <si>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</si>
  <si>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</si>
  <si>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</si>
  <si>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</si>
  <si>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</si>
  <si>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</si>
  <si>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</si>
  <si>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</si>
  <si>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</si>
  <si>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</si>
  <si>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</si>
  <si>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</si>
  <si>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</si>
  <si>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</si>
  <si>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</si>
  <si>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</si>
  <si>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</si>
  <si>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</si>
  <si>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</si>
  <si>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</si>
  <si>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</si>
  <si>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</si>
  <si>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</si>
  <si>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</si>
  <si>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</si>
  <si>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</si>
  <si>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</si>
  <si>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</si>
  <si>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</si>
  <si>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</si>
  <si>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</si>
  <si>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</si>
  <si>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</si>
  <si>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</si>
  <si>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</si>
  <si>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</si>
  <si>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</si>
  <si>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</si>
  <si>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</si>
  <si>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</si>
  <si>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</si>
  <si>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</si>
  <si>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</si>
  <si>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</si>
  <si>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</si>
  <si>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</si>
  <si>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</si>
  <si>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</si>
  <si>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</si>
  <si>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</si>
  <si>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</si>
  <si>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</si>
  <si>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</si>
  <si>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</si>
  <si>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</si>
  <si>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</si>
  <si>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</si>
  <si>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</si>
  <si>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</si>
  <si>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</si>
  <si>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</si>
  <si>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</si>
  <si>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</si>
  <si>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</si>
  <si>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</si>
  <si>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</si>
  <si>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</si>
  <si>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</si>
  <si>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</si>
  <si>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</si>
  <si>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</si>
  <si>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</si>
  <si>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</si>
  <si>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</si>
  <si>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</si>
  <si>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</si>
  <si>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</si>
  <si>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</si>
  <si>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</si>
  <si>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</si>
  <si>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</si>
  <si>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</si>
  <si>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</si>
  <si>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</si>
  <si>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</si>
  <si>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</si>
  <si>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</si>
  <si>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</si>
  <si>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</si>
  <si>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</si>
  <si>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</si>
  <si>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</si>
  <si>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</si>
  <si>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</si>
  <si>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</si>
  <si>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</si>
  <si>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</si>
  <si>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</si>
  <si>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</si>
  <si>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</si>
  <si>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</si>
  <si>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</si>
  <si>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</si>
  <si>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</si>
  <si>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</si>
  <si>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</si>
  <si>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</si>
  <si>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</si>
  <si>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</si>
  <si>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</si>
  <si>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</si>
  <si>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</si>
  <si>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</si>
  <si>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</si>
  <si>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</si>
  <si>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</si>
  <si>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</si>
  <si>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</si>
  <si>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</si>
  <si>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</si>
  <si>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</si>
  <si>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</si>
  <si>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</si>
  <si>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</si>
  <si>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</si>
  <si>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</si>
  <si>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</si>
  <si>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</si>
  <si>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</si>
  <si>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</si>
  <si>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</si>
  <si>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</si>
  <si>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</si>
  <si>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</si>
  <si>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</si>
  <si>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</si>
  <si>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</si>
  <si>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</si>
  <si>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</si>
  <si>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</si>
  <si>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</si>
  <si>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</si>
  <si>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</si>
  <si>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</si>
  <si>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</si>
  <si>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</si>
  <si>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</si>
  <si>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</si>
  <si>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</si>
  <si>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</si>
  <si>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</si>
  <si>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</si>
  <si>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</si>
  <si>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</si>
  <si>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</si>
  <si>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</si>
  <si>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</si>
  <si>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</si>
  <si>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</si>
  <si>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</si>
  <si>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</si>
  <si>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</si>
  <si>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</si>
  <si>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</si>
  <si>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</si>
  <si>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</si>
  <si>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</si>
  <si>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</si>
  <si>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</si>
  <si>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</si>
  <si>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</si>
  <si>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</si>
  <si>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</si>
  <si>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</si>
  <si>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</si>
  <si>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</si>
  <si>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</si>
  <si>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</si>
  <si>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</si>
  <si>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</si>
  <si>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</si>
  <si>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</si>
  <si>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</si>
  <si>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</si>
  <si>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</si>
  <si>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</si>
  <si>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</si>
  <si>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</si>
  <si>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</si>
  <si>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</si>
  <si>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</si>
  <si>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</si>
  <si>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</si>
  <si>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</si>
  <si>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</si>
  <si>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</si>
  <si>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</si>
  <si>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</si>
  <si>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</si>
  <si>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</si>
  <si>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</si>
  <si>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</si>
  <si>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</si>
  <si>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</si>
  <si>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</si>
  <si>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</si>
  <si>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</si>
  <si>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</si>
  <si>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</si>
  <si>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</si>
  <si>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</si>
  <si>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</si>
  <si>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</si>
  <si>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</si>
  <si>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</si>
  <si>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</si>
  <si>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</si>
  <si>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</si>
  <si>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</si>
  <si>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</si>
  <si>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</si>
  <si>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</si>
  <si>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</si>
  <si>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</si>
  <si>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</si>
  <si>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</si>
  <si>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</si>
  <si>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</si>
  <si>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</si>
  <si>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</si>
  <si>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</si>
  <si>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</si>
  <si>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</si>
  <si>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</si>
  <si>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</si>
  <si>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</si>
  <si>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</si>
  <si>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</si>
  <si>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</si>
  <si>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</si>
  <si>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</si>
  <si>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</si>
  <si>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</si>
  <si>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</si>
  <si>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</si>
  <si>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</si>
  <si>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</si>
  <si>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</si>
  <si>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</si>
  <si>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</si>
  <si>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</si>
  <si>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</si>
  <si>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</si>
  <si>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</si>
  <si>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</si>
  <si>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</si>
  <si>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</si>
  <si>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</si>
  <si>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</si>
  <si>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</si>
  <si>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</si>
  <si>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</si>
  <si>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</si>
  <si>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</si>
  <si>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</si>
  <si>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</si>
  <si>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</si>
  <si>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</si>
  <si>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</si>
  <si>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</si>
  <si>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</si>
  <si>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</si>
  <si>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</si>
  <si>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</si>
  <si>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</si>
  <si>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</si>
  <si>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</si>
  <si>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</si>
  <si>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</si>
  <si>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</si>
  <si>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</si>
  <si>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</si>
  <si>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</si>
  <si>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</si>
  <si>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</si>
  <si>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</si>
  <si>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</si>
  <si>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</si>
  <si>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</si>
  <si>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</si>
  <si>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</si>
  <si>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</si>
  <si>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</si>
  <si>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</si>
  <si>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</si>
  <si>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</si>
  <si>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</si>
  <si>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</si>
  <si>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</si>
  <si>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</si>
  <si>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</si>
  <si>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</si>
  <si>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</si>
  <si>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</si>
  <si>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</si>
  <si>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</si>
  <si>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</si>
  <si>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</si>
  <si>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</si>
  <si>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</si>
  <si>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</si>
  <si>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</si>
  <si>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</si>
  <si>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</si>
  <si>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</si>
  <si>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</si>
  <si>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</si>
  <si>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</si>
  <si>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</si>
  <si>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</si>
  <si>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</si>
  <si>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</si>
  <si>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</si>
  <si>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</si>
  <si>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</si>
  <si>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</si>
  <si>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</si>
  <si>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</si>
  <si>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</si>
  <si>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</si>
  <si>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</si>
  <si>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</si>
  <si>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</si>
  <si>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</si>
  <si>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</si>
  <si>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</si>
  <si>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</si>
  <si>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</si>
  <si>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</si>
  <si>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</si>
  <si>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</si>
  <si>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</si>
  <si>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</si>
  <si>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</si>
  <si>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</si>
  <si>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</si>
  <si>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</si>
  <si>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</si>
  <si>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</si>
  <si>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</si>
  <si>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</si>
  <si>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</si>
  <si>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</si>
  <si>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</si>
  <si>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</si>
  <si>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</si>
  <si>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</si>
  <si>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</si>
  <si>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</si>
  <si>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</si>
  <si>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</si>
  <si>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</si>
  <si>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</si>
  <si>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</si>
  <si>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</si>
  <si>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</si>
  <si>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</si>
  <si>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</si>
  <si>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</si>
  <si>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</si>
  <si>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</si>
  <si>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</si>
  <si>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</si>
  <si>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</si>
  <si>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</si>
  <si>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</si>
  <si>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</si>
  <si>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</si>
  <si>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</si>
  <si>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</si>
  <si>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</si>
  <si>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</si>
  <si>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</si>
  <si>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</si>
  <si>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</si>
  <si>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</si>
  <si>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</si>
  <si>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</si>
  <si>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</si>
  <si>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</si>
  <si>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</si>
  <si>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</si>
  <si>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</si>
  <si>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</si>
  <si>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</si>
  <si>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</si>
  <si>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</si>
  <si>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</si>
  <si>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</si>
  <si>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</si>
  <si>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</si>
  <si>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</si>
  <si>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</si>
  <si>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</si>
  <si>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</si>
  <si>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</si>
  <si>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</si>
  <si>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</si>
  <si>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</si>
  <si>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</si>
  <si>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</si>
  <si>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</si>
  <si>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</si>
  <si>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</si>
  <si>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</si>
  <si>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</si>
  <si>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</si>
  <si>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</si>
  <si>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</si>
  <si>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</si>
  <si>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</si>
  <si>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</si>
  <si>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</si>
  <si>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</si>
  <si>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</si>
  <si>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</si>
  <si>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</si>
  <si>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</si>
  <si>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</si>
  <si>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</si>
  <si>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</si>
  <si>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</si>
  <si>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</si>
  <si>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</si>
  <si>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</si>
  <si>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</si>
  <si>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</si>
  <si>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</si>
  <si>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</si>
  <si>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</si>
  <si>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</si>
  <si>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</si>
  <si>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</si>
  <si>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</si>
  <si>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</si>
  <si>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</si>
  <si>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</si>
  <si>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</si>
  <si>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</si>
  <si>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</si>
  <si>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</si>
  <si>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</si>
  <si>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</si>
  <si>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</si>
  <si>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</si>
  <si>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</si>
  <si>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</si>
  <si>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</si>
  <si>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</si>
  <si>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</si>
  <si>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</si>
  <si>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</si>
  <si>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</si>
  <si>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</si>
  <si>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</si>
  <si>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</si>
  <si>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</si>
  <si>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</si>
  <si>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</si>
  <si>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</si>
  <si>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</si>
  <si>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</si>
  <si>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</si>
  <si>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</si>
  <si>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</si>
  <si>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</si>
  <si>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</si>
  <si>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</si>
  <si>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</si>
  <si>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</si>
  <si>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</si>
  <si>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</si>
  <si>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</si>
  <si>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</si>
  <si>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</si>
  <si>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</si>
  <si>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</si>
  <si>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</si>
  <si>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</si>
  <si>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</si>
  <si>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</si>
  <si>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</si>
  <si>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</si>
  <si>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</si>
  <si>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</si>
  <si>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</si>
  <si>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</si>
  <si>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</si>
  <si>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</si>
  <si>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</si>
  <si>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</si>
  <si>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</si>
  <si>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</si>
  <si>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</si>
  <si>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</si>
  <si>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</si>
  <si>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</si>
  <si>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</si>
  <si>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</si>
  <si>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</si>
  <si>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</si>
  <si>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</si>
  <si>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</si>
  <si>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</si>
  <si>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</si>
  <si>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</si>
  <si>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</si>
  <si>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</si>
  <si>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</si>
  <si>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</si>
  <si>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</si>
  <si>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</si>
  <si>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</si>
  <si>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</si>
  <si>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</si>
  <si>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</si>
  <si>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</si>
  <si>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</si>
  <si>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</si>
  <si>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</si>
  <si>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</si>
  <si>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</si>
  <si>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</si>
  <si>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</si>
  <si>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</si>
  <si>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</si>
  <si>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</si>
  <si>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</si>
  <si>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</si>
  <si>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</si>
  <si>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</si>
  <si>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</si>
  <si>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</si>
  <si>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</si>
  <si>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</si>
  <si>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</si>
  <si>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</si>
  <si>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</si>
  <si>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</si>
  <si>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</si>
  <si>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</si>
  <si>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</si>
  <si>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</si>
  <si>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</si>
  <si>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</si>
  <si>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</si>
  <si>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</si>
  <si>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</si>
  <si>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</si>
  <si>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</si>
  <si>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</si>
  <si>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</si>
  <si>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</si>
  <si>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</si>
  <si>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</si>
  <si>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</si>
  <si>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</si>
  <si>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</si>
  <si>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</si>
  <si>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</si>
  <si>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</si>
  <si>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</si>
  <si>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</si>
  <si>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</si>
  <si>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</si>
  <si>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</si>
  <si>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</si>
  <si>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</si>
  <si>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</si>
  <si>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</si>
  <si>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</si>
  <si>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</si>
  <si>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</si>
  <si>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</si>
  <si>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</si>
  <si>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</si>
  <si>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</si>
  <si>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</si>
  <si>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</si>
  <si>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</si>
  <si>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</si>
  <si>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</si>
  <si>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</si>
  <si>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</si>
  <si>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</si>
  <si>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</si>
  <si>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</si>
  <si>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</si>
  <si>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</si>
  <si>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</si>
  <si>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</si>
  <si>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</si>
  <si>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</si>
  <si>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</si>
  <si>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</si>
  <si>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</si>
  <si>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</si>
  <si>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</si>
  <si>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</si>
  <si>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</si>
  <si>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</si>
  <si>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</si>
  <si>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</si>
  <si>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</si>
  <si>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</si>
  <si>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</si>
  <si>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</si>
  <si>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</si>
  <si>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</si>
  <si>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</si>
  <si>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</si>
  <si>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</si>
  <si>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</si>
  <si>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</si>
  <si>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</si>
  <si>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</si>
  <si>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</si>
  <si>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</si>
  <si>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</si>
  <si>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</si>
  <si>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</si>
  <si>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</si>
  <si>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</si>
  <si>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</si>
  <si>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</si>
  <si>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</si>
  <si>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</si>
  <si>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</si>
  <si>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</si>
  <si>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</si>
  <si>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</si>
  <si>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</si>
  <si>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</si>
  <si>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</si>
  <si>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</si>
  <si>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</si>
  <si>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</si>
  <si>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</si>
  <si>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</si>
  <si>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</si>
  <si>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</si>
  <si>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</si>
  <si>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</si>
  <si>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</si>
  <si>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</si>
  <si>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</si>
  <si>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</si>
  <si>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</si>
  <si>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</si>
  <si>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</si>
  <si>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</si>
  <si>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</si>
  <si>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</si>
  <si>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</si>
  <si>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</si>
  <si>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</si>
  <si>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</si>
  <si>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</si>
  <si>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</si>
  <si>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</si>
  <si>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</si>
  <si>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</si>
  <si>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</si>
  <si>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</si>
  <si>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</si>
  <si>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</si>
  <si>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</si>
  <si>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</si>
  <si>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</si>
  <si>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</si>
  <si>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</si>
  <si>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</si>
  <si>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</si>
  <si>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</si>
  <si>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</si>
  <si>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</si>
  <si>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</si>
  <si>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</si>
  <si>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</si>
  <si>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</si>
  <si>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</si>
  <si>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</si>
  <si>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</si>
  <si>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</si>
  <si>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</si>
  <si>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</si>
  <si>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</si>
  <si>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</si>
  <si>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</si>
  <si>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</si>
  <si>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</si>
  <si>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</si>
  <si>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</si>
  <si>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</si>
  <si>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</si>
  <si>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</si>
  <si>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</si>
  <si>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</si>
  <si>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</si>
  <si>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</si>
  <si>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</si>
  <si>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</si>
  <si>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</si>
  <si>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</si>
  <si>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</si>
  <si>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</si>
  <si>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</si>
  <si>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</si>
  <si>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</si>
  <si>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</si>
  <si>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</si>
  <si>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</si>
  <si>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</si>
  <si>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</si>
  <si>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</si>
  <si>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</si>
  <si>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</si>
  <si>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</si>
  <si>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</si>
  <si>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</si>
  <si>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</si>
  <si>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</si>
  <si>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</si>
  <si>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</si>
  <si>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</si>
  <si>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</si>
  <si>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</si>
  <si>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</si>
  <si>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</si>
  <si>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</si>
  <si>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</si>
  <si>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</si>
  <si>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</si>
  <si>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</si>
  <si>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</si>
  <si>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</si>
  <si>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</si>
  <si>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</si>
  <si>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</si>
  <si>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</si>
  <si>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</si>
  <si>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</si>
  <si>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</si>
  <si>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</si>
  <si>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</si>
  <si>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</si>
  <si>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</si>
  <si>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</si>
  <si>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</si>
  <si>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</si>
  <si>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</si>
  <si>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</si>
  <si>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</si>
  <si>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</si>
  <si>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</si>
  <si>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</si>
  <si>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</si>
  <si>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</si>
  <si>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</si>
  <si>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</si>
  <si>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</si>
  <si>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</si>
  <si>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</si>
  <si>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</si>
  <si>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</si>
  <si>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</si>
  <si>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</si>
  <si>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</si>
  <si>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</si>
  <si>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</si>
  <si>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</si>
  <si>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</si>
  <si>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</si>
  <si>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</si>
  <si>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</si>
  <si>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</si>
  <si>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</si>
  <si>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</si>
  <si>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</si>
  <si>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</si>
  <si>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</si>
  <si>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</si>
  <si>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</si>
  <si>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</si>
  <si>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</si>
  <si>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</si>
  <si>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</si>
  <si>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</si>
  <si>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</si>
  <si>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</si>
  <si>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</si>
  <si>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</si>
  <si>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</si>
  <si>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</si>
  <si>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</si>
  <si>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</si>
  <si>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</si>
  <si>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</si>
  <si>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</si>
  <si>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</si>
  <si>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</si>
  <si>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</si>
  <si>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</si>
  <si>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</si>
  <si>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</si>
  <si>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</si>
  <si>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</si>
  <si>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</si>
  <si>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</si>
  <si>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</si>
  <si>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</si>
  <si>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</si>
  <si>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</si>
  <si>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</si>
  <si>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</si>
  <si>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</si>
  <si>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</si>
  <si>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</si>
  <si>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</si>
  <si>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</si>
  <si>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</si>
  <si>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</si>
  <si>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</si>
  <si>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</si>
  <si>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</si>
  <si>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</si>
  <si>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</si>
  <si>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</si>
  <si>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</si>
  <si>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</si>
  <si>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</si>
  <si>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</si>
  <si>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</si>
  <si>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</si>
  <si>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</si>
  <si>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</si>
  <si>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</si>
  <si>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</si>
  <si>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</si>
  <si>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</si>
  <si>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</si>
  <si>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</si>
  <si>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</si>
  <si>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</si>
  <si>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</si>
  <si>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</si>
  <si>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</si>
  <si>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</si>
  <si>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</si>
  <si>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</si>
  <si>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</si>
  <si>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</si>
  <si>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</si>
  <si>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</si>
  <si>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</si>
  <si>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</si>
  <si>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</si>
  <si>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</si>
  <si>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</si>
  <si>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</si>
  <si>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</si>
  <si>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</si>
  <si>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</si>
  <si>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</si>
  <si>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</si>
  <si>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</si>
  <si>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</si>
  <si>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</si>
  <si>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</si>
  <si>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</si>
  <si>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</si>
  <si>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</si>
  <si>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</si>
  <si>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</si>
  <si>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</si>
  <si>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</si>
  <si>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</si>
  <si>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</si>
  <si>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</si>
  <si>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</si>
  <si>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</si>
  <si>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</si>
  <si>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</si>
  <si>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</si>
  <si>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</si>
  <si>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</si>
  <si>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</si>
  <si>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</si>
  <si>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</si>
  <si>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</si>
  <si>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</si>
  <si>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</si>
  <si>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</si>
  <si>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</si>
  <si>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</si>
  <si>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</si>
  <si>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</si>
  <si>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</si>
  <si>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</si>
  <si>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</si>
  <si>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</si>
  <si>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</si>
  <si>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</si>
  <si>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</si>
  <si>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</si>
  <si>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</si>
  <si>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</si>
  <si>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</si>
  <si>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</si>
  <si>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</si>
  <si>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</si>
  <si>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</si>
  <si>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</si>
  <si>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</si>
  <si>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</si>
  <si>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</si>
  <si>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</si>
  <si>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</si>
  <si>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</si>
  <si>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</si>
  <si>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</si>
  <si>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</si>
  <si>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</si>
  <si>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</si>
  <si>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</si>
  <si>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</si>
  <si>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</si>
  <si>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</si>
  <si>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</si>
  <si>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</si>
  <si>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</si>
  <si>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</si>
  <si>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</si>
  <si>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</si>
  <si>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</si>
  <si>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</si>
  <si>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</si>
  <si>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</si>
  <si>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</si>
  <si>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</si>
  <si>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</si>
  <si>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</si>
  <si>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</si>
  <si>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</si>
  <si>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</si>
  <si>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</si>
  <si>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</si>
  <si>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</si>
  <si>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</si>
  <si>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</si>
  <si>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</si>
  <si>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</si>
  <si>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</si>
  <si>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</si>
  <si>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</si>
  <si>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</si>
  <si>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</si>
  <si>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</si>
  <si>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</si>
  <si>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</si>
  <si>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</si>
  <si>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</si>
  <si>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</si>
  <si>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</si>
  <si>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</si>
  <si>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</si>
  <si>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</si>
  <si>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</si>
  <si>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</si>
  <si>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</si>
  <si>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</si>
  <si>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</si>
  <si>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</si>
  <si>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</si>
  <si>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</si>
  <si>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</si>
  <si>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</si>
  <si>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</si>
  <si>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</si>
  <si>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</si>
  <si>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</si>
  <si>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</si>
  <si>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</si>
  <si>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</si>
  <si>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</si>
  <si>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</si>
  <si>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</si>
  <si>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</si>
  <si>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</si>
  <si>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</si>
  <si>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</si>
  <si>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</si>
  <si>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</si>
  <si>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</si>
  <si>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</si>
  <si>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</si>
  <si>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</si>
  <si>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</si>
  <si>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</si>
  <si>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</si>
  <si>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</si>
  <si>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</si>
  <si>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</si>
  <si>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</si>
  <si>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</si>
  <si>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</si>
  <si>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</si>
  <si>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</si>
  <si>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</si>
  <si>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</si>
  <si>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</si>
  <si>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</si>
  <si>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</si>
  <si>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</si>
  <si>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</si>
  <si>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</si>
  <si>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</si>
  <si>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</si>
  <si>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</si>
  <si>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</si>
  <si>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</si>
  <si>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</si>
  <si>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</si>
  <si>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</si>
  <si>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</si>
  <si>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</si>
  <si>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</si>
  <si>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</si>
  <si>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</si>
  <si>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</si>
  <si>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</si>
  <si>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</si>
  <si>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</si>
  <si>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</si>
  <si>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</si>
  <si>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</si>
  <si>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</si>
  <si>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</si>
  <si>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</si>
  <si>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</si>
  <si>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</si>
  <si>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</si>
  <si>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</si>
  <si>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</si>
  <si>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</si>
  <si>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</si>
  <si>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</si>
  <si>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</si>
  <si>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</si>
  <si>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</si>
  <si>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</si>
  <si>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</si>
  <si>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</si>
  <si>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</si>
  <si>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</si>
  <si>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</si>
  <si>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</si>
  <si>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</si>
  <si>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</si>
  <si>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</si>
  <si>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</si>
  <si>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</si>
  <si>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</si>
  <si>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</si>
  <si>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</si>
  <si>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</si>
  <si>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</si>
  <si>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</si>
  <si>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</si>
  <si>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</si>
  <si>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</si>
  <si>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</si>
  <si>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</si>
  <si>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</si>
  <si>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</si>
  <si>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</si>
  <si>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</si>
  <si>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</si>
  <si>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</si>
  <si>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</si>
  <si>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</si>
  <si>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</si>
  <si>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</si>
  <si>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</si>
  <si>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</si>
  <si>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</si>
  <si>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</si>
  <si>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</si>
  <si>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</si>
  <si>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</si>
  <si>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</si>
  <si>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</si>
  <si>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</si>
  <si>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</si>
  <si>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</si>
  <si>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</si>
  <si>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</si>
  <si>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</si>
  <si>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</si>
  <si>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</si>
  <si>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</si>
  <si>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</si>
  <si>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</si>
  <si>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</si>
  <si>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</si>
  <si>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</si>
  <si>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</si>
  <si>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</si>
  <si>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</si>
  <si>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</si>
  <si>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</si>
  <si>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</si>
  <si>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</si>
  <si>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</si>
  <si>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</si>
  <si>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</si>
  <si>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</si>
  <si>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</si>
  <si>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</si>
  <si>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</si>
  <si>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</si>
  <si>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</si>
  <si>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</si>
  <si>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</si>
  <si>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</si>
  <si>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</si>
  <si>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</si>
  <si>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</si>
  <si>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</si>
  <si>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</si>
  <si>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</si>
  <si>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</si>
  <si>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</si>
  <si>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</si>
  <si>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</si>
  <si>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</si>
  <si>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</si>
  <si>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</si>
  <si>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</si>
  <si>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</si>
  <si>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</si>
  <si>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</si>
  <si>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</si>
  <si>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</si>
  <si>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</si>
  <si>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</si>
  <si>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</si>
  <si>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</si>
  <si>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</si>
  <si>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</si>
  <si>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</si>
  <si>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</si>
  <si>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</si>
  <si>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</si>
  <si>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</si>
  <si>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</si>
  <si>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</si>
  <si>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</si>
  <si>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</si>
  <si>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</si>
  <si>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</si>
  <si>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</si>
  <si>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</si>
  <si>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</si>
  <si>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</si>
  <si>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</si>
  <si>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</si>
  <si>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</si>
  <si>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</si>
  <si>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</si>
  <si>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</si>
  <si>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</si>
  <si>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</si>
  <si>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</si>
  <si>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</si>
  <si>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</si>
  <si>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</si>
  <si>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</si>
  <si>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</si>
  <si>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</si>
  <si>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</si>
  <si>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</si>
  <si>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</si>
  <si>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</si>
  <si>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</si>
  <si>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</si>
  <si>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</si>
  <si>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</si>
  <si>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</si>
  <si>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</si>
  <si>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</si>
  <si>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</si>
  <si>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</si>
  <si>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</si>
  <si>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</si>
  <si>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</si>
  <si>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</si>
  <si>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</si>
  <si>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</si>
  <si>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</si>
  <si>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</si>
  <si>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</si>
  <si>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</si>
  <si>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</si>
  <si>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</si>
  <si>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</si>
  <si>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</si>
  <si>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</si>
  <si>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</si>
  <si>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</si>
  <si>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</si>
  <si>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</si>
  <si>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</si>
  <si>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</si>
  <si>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</si>
  <si>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</si>
  <si>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</si>
  <si>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</si>
  <si>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</si>
  <si>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</si>
  <si>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</si>
  <si>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</si>
  <si>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</si>
  <si>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</si>
  <si>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</si>
  <si>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</si>
  <si>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</si>
  <si>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</si>
  <si>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</si>
  <si>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</si>
  <si>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</si>
  <si>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</si>
  <si>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</si>
  <si>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</si>
  <si>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</si>
  <si>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</si>
  <si>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</si>
  <si>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</si>
  <si>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</si>
  <si>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</si>
  <si>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</si>
  <si>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</si>
  <si>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</si>
  <si>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</si>
  <si>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</si>
  <si>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</si>
  <si>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</si>
  <si>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</si>
  <si>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</si>
  <si>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</si>
  <si>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</si>
  <si>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</si>
  <si>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</si>
  <si>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</si>
  <si>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</si>
  <si>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</si>
  <si>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</si>
  <si>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</si>
  <si>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</si>
  <si>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</si>
  <si>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</si>
  <si>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</si>
  <si>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</si>
  <si>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</si>
  <si>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</si>
  <si>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</si>
  <si>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</si>
  <si>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</si>
  <si>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</si>
  <si>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</si>
  <si>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</si>
  <si>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</si>
  <si>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</si>
  <si>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</si>
  <si>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</si>
  <si>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</si>
  <si>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</si>
  <si>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</si>
  <si>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</si>
  <si>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</si>
  <si>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</si>
  <si>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</si>
  <si>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</si>
  <si>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</si>
  <si>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</si>
  <si>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</si>
  <si>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</si>
  <si>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</si>
  <si>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</si>
  <si>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</si>
  <si>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</si>
  <si>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</si>
  <si>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</si>
  <si>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</si>
  <si>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</si>
  <si>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</si>
  <si>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</si>
  <si>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</si>
  <si>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</si>
  <si>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</si>
  <si>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</si>
  <si>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</si>
  <si>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</si>
  <si>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</si>
  <si>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</si>
  <si>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</si>
  <si>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</si>
  <si>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</si>
  <si>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</si>
  <si>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</si>
  <si>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</si>
  <si>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</si>
  <si>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</si>
  <si>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</si>
  <si>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</si>
  <si>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</si>
  <si>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</si>
  <si>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</si>
  <si>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</si>
  <si>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</si>
  <si>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</si>
  <si>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</si>
  <si>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</si>
  <si>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</si>
  <si>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</si>
  <si>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</si>
  <si>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</si>
  <si>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</si>
  <si>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</si>
  <si>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</si>
  <si>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</si>
  <si>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</si>
  <si>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</si>
  <si>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</si>
  <si>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</si>
  <si>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</si>
  <si>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</si>
  <si>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</si>
  <si>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</si>
  <si>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</si>
  <si>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</si>
  <si>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</si>
  <si>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</si>
  <si>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</si>
  <si>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</si>
  <si>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</si>
  <si>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</si>
  <si>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</si>
  <si>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</si>
  <si>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</si>
  <si>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</si>
  <si>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</si>
  <si>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</si>
  <si>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</si>
  <si>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</si>
  <si>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</si>
  <si>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</si>
  <si>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</si>
  <si>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</si>
  <si>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</si>
  <si>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</si>
  <si>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</si>
  <si>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</si>
  <si>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</si>
  <si>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</si>
  <si>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</si>
  <si>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</si>
  <si>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</si>
  <si>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</si>
  <si>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</si>
  <si>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</si>
  <si>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</si>
  <si>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</si>
  <si>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</si>
  <si>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</si>
  <si>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</si>
  <si>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</si>
  <si>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</si>
  <si>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</si>
  <si>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</si>
  <si>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</si>
  <si>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</si>
  <si>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</si>
  <si>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</si>
  <si>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</si>
  <si>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</si>
  <si>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</si>
  <si>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</si>
  <si>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</si>
  <si>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</si>
  <si>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</si>
  <si>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</si>
  <si>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</si>
  <si>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</si>
  <si>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</si>
  <si>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</si>
  <si>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</si>
  <si>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</si>
  <si>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</si>
  <si>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</si>
  <si>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</si>
  <si>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</si>
  <si>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</si>
  <si>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</si>
  <si>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</si>
  <si>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</si>
  <si>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</si>
  <si>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</si>
  <si>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</si>
  <si>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</si>
  <si>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</si>
  <si>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</si>
  <si>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</si>
  <si>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</si>
  <si>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</si>
  <si>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</si>
  <si>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</si>
  <si>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</si>
  <si>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</si>
  <si>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</si>
  <si>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</si>
  <si>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</si>
  <si>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</si>
  <si>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</si>
  <si>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</si>
  <si>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</si>
  <si>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</si>
  <si>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</si>
  <si>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</si>
  <si>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</si>
  <si>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</si>
  <si>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</si>
  <si>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</si>
  <si>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</si>
  <si>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</si>
  <si>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</si>
  <si>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</si>
  <si>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</si>
  <si>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</si>
  <si>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</si>
  <si>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</si>
  <si>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</si>
  <si>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</si>
  <si>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</si>
  <si>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</si>
  <si>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</si>
  <si>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</si>
  <si>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</si>
  <si>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</si>
  <si>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</si>
  <si>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</si>
  <si>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</si>
  <si>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</si>
  <si>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</si>
  <si>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</si>
  <si>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</si>
  <si>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</si>
  <si>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</si>
  <si>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</si>
  <si>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</si>
  <si>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</si>
  <si>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</si>
  <si>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</si>
  <si>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</si>
  <si>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</si>
  <si>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</si>
  <si>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</si>
  <si>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</si>
  <si>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</si>
  <si>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</si>
  <si>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</si>
  <si>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</si>
  <si>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</si>
  <si>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</si>
  <si>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</si>
  <si>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</si>
  <si>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</si>
  <si>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</si>
  <si>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</si>
  <si>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</si>
  <si>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</si>
  <si>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</si>
  <si>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</si>
  <si>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</si>
  <si>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</si>
  <si>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</si>
  <si>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</si>
  <si>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</si>
  <si>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</si>
  <si>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</si>
  <si>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</si>
  <si>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</si>
  <si>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</si>
  <si>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</si>
  <si>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</si>
  <si>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</si>
  <si>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</si>
  <si>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</si>
  <si>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</si>
  <si>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</si>
  <si>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</si>
  <si>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</si>
  <si>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</si>
  <si>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</si>
  <si>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</si>
  <si>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</si>
  <si>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</si>
  <si>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</si>
  <si>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</si>
  <si>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</si>
  <si>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</si>
  <si>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</si>
  <si>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</si>
  <si>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</si>
  <si>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</si>
  <si>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</si>
  <si>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</si>
  <si>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</si>
  <si>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</si>
  <si>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</si>
  <si>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</si>
  <si>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</si>
  <si>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</si>
  <si>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</si>
  <si>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</si>
  <si>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</si>
  <si>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</si>
  <si>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</si>
  <si>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</si>
  <si>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</si>
  <si>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</si>
  <si>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</si>
  <si>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</si>
  <si>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</si>
  <si>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</si>
  <si>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</si>
  <si>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</si>
  <si>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</si>
  <si>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</si>
  <si>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</si>
  <si>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</si>
  <si>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</si>
  <si>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</si>
  <si>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</si>
  <si>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</si>
  <si>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</si>
  <si>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</si>
  <si>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</si>
  <si>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</si>
  <si>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</si>
  <si>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</si>
  <si>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</si>
  <si>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</si>
  <si>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</si>
  <si>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</si>
  <si>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</si>
  <si>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</si>
  <si>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</si>
  <si>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</si>
  <si>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</si>
  <si>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</si>
  <si>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</si>
  <si>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</si>
  <si>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</si>
  <si>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</si>
  <si>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</si>
  <si>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</si>
  <si>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</si>
  <si>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</si>
  <si>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</si>
  <si>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</si>
  <si>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</si>
  <si>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</si>
  <si>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</si>
  <si>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</si>
  <si>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</si>
  <si>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</si>
  <si>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</si>
  <si>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</si>
  <si>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</si>
  <si>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</si>
  <si>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</si>
  <si>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</si>
  <si>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</si>
  <si>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</si>
  <si>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</si>
  <si>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</si>
  <si>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</si>
  <si>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</si>
  <si>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</si>
  <si>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</si>
  <si>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</si>
  <si>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</si>
  <si>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</si>
  <si>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</si>
  <si>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</si>
  <si>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</si>
  <si>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</si>
  <si>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</si>
  <si>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</si>
  <si>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</si>
  <si>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</si>
  <si>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</si>
  <si>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</si>
  <si>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</si>
  <si>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</si>
  <si>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</si>
  <si>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</si>
  <si>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</si>
  <si>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</si>
  <si>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</si>
  <si>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</si>
  <si>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</si>
  <si>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</si>
  <si>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</si>
  <si>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</si>
  <si>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</si>
  <si>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</si>
  <si>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</si>
  <si>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</si>
  <si>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</si>
  <si>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</si>
  <si>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</si>
  <si>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</si>
  <si>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</si>
  <si>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</si>
  <si>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</si>
  <si>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</si>
  <si>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</si>
  <si>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</si>
  <si>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</si>
  <si>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</si>
  <si>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</si>
  <si>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</si>
  <si>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</si>
  <si>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</si>
  <si>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</si>
  <si>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</si>
  <si>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</si>
  <si>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</si>
  <si>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</si>
  <si>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</si>
  <si>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</si>
  <si>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</si>
  <si>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</si>
  <si>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</si>
  <si>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</si>
  <si>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</si>
  <si>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</si>
  <si>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</si>
  <si>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</si>
  <si>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</si>
  <si>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</si>
  <si>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</si>
  <si>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</si>
  <si>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</si>
  <si>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</si>
  <si>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</si>
  <si>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</si>
  <si>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</si>
  <si>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</si>
  <si>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</si>
  <si>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</si>
  <si>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</si>
  <si>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</si>
  <si>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</si>
  <si>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</si>
  <si>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</si>
  <si>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</si>
  <si>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</si>
  <si>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</si>
  <si>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</si>
  <si>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</si>
  <si>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</si>
  <si>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</si>
  <si>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</si>
  <si>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</si>
  <si>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</si>
  <si>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</si>
  <si>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</si>
  <si>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</si>
  <si>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</si>
  <si>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</si>
  <si>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</si>
  <si>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</si>
  <si>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</si>
  <si>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</si>
  <si>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</si>
  <si>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</si>
  <si>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</si>
  <si>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</si>
  <si>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</si>
  <si>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</si>
  <si>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</si>
  <si>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</si>
  <si>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</si>
  <si>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</si>
  <si>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</si>
  <si>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</si>
  <si>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</si>
  <si>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</si>
  <si>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</si>
  <si>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</si>
  <si>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</si>
  <si>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</si>
  <si>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</si>
  <si>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</si>
  <si>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</si>
  <si>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</si>
  <si>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</si>
  <si>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</si>
  <si>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</si>
  <si>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</si>
  <si>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</si>
  <si>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</si>
  <si>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</si>
  <si>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</si>
  <si>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</si>
  <si>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</si>
  <si>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</si>
  <si>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</si>
  <si>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</si>
  <si>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</si>
  <si>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</si>
  <si>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</si>
  <si>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</si>
  <si>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</si>
  <si>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</si>
  <si>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</si>
  <si>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</si>
  <si>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</si>
  <si>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</si>
  <si>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</si>
  <si>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</si>
  <si>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</si>
  <si>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</si>
  <si>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</si>
  <si>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</si>
  <si>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</si>
  <si>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</si>
  <si>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</si>
  <si>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</si>
  <si>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</si>
  <si>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</si>
  <si>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</si>
  <si>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</si>
  <si>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</si>
  <si>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</si>
  <si>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</si>
  <si>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</si>
  <si>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</si>
  <si>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</si>
  <si>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</si>
  <si>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</si>
  <si>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</si>
  <si>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</si>
  <si>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</si>
  <si>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</si>
  <si>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</si>
  <si>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</si>
  <si>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</si>
  <si>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</si>
  <si>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</si>
  <si>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</si>
  <si>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</si>
  <si>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</si>
  <si>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</si>
  <si>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</si>
  <si>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</si>
  <si>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</si>
  <si>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</si>
  <si>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</si>
  <si>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</si>
  <si>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</si>
  <si>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</si>
  <si>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</si>
  <si>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</si>
  <si>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</si>
  <si>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</si>
  <si>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</si>
  <si>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</si>
  <si>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</si>
  <si>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</si>
  <si>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</si>
  <si>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</si>
  <si>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</si>
  <si>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</si>
  <si>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</si>
  <si>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</si>
  <si>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</si>
  <si>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</si>
  <si>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</si>
  <si>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</si>
  <si>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</si>
  <si>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</si>
  <si>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</si>
  <si>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</si>
  <si>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</si>
  <si>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</si>
  <si>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</si>
  <si>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</si>
  <si>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</si>
  <si>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</si>
  <si>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</si>
  <si>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</si>
  <si>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</si>
  <si>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</si>
  <si>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</si>
  <si>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</si>
  <si>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</si>
  <si>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</si>
  <si>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</si>
  <si>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</si>
  <si>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</si>
  <si>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</si>
  <si>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</si>
  <si>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</si>
  <si>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</si>
  <si>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</si>
  <si>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</si>
  <si>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</si>
  <si>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</si>
  <si>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</si>
  <si>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</si>
  <si>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</si>
  <si>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</si>
  <si>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</si>
  <si>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</si>
  <si>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</si>
  <si>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</si>
  <si>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</si>
  <si>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</si>
  <si>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</si>
  <si>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</si>
  <si>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</si>
  <si>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</si>
  <si>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</si>
  <si>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</si>
  <si>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</si>
  <si>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</si>
  <si>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</si>
  <si>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</si>
  <si>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</si>
  <si>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</si>
  <si>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</si>
  <si>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</si>
  <si>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</si>
  <si>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</si>
  <si>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</si>
  <si>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</si>
  <si>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</si>
  <si>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</si>
  <si>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</si>
  <si>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</si>
  <si>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</si>
  <si>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</si>
  <si>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</si>
  <si>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</si>
  <si>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</si>
  <si>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</si>
  <si>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</si>
  <si>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</si>
  <si>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</si>
  <si>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</si>
  <si>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</si>
  <si>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</si>
  <si>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</si>
  <si>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</si>
  <si>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</si>
  <si>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</si>
  <si>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</si>
  <si>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</si>
  <si>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</si>
  <si>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</si>
  <si>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</si>
  <si>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</si>
  <si>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</si>
  <si>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</si>
  <si>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</si>
  <si>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</si>
  <si>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</si>
  <si>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</si>
  <si>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</si>
  <si>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</si>
  <si>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</si>
  <si>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</si>
  <si>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</si>
  <si>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</si>
  <si>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</si>
  <si>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</si>
  <si>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</si>
  <si>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</si>
  <si>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</si>
  <si>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</si>
  <si>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</si>
  <si>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</si>
  <si>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</si>
  <si>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</si>
  <si>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</si>
  <si>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</si>
  <si>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</si>
  <si>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</si>
  <si>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</si>
  <si>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</si>
  <si>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</si>
  <si>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</si>
  <si>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</si>
  <si>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</si>
  <si>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</si>
  <si>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</si>
  <si>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</si>
  <si>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</si>
  <si>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</si>
  <si>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</si>
  <si>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</si>
  <si>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</si>
  <si>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</si>
  <si>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</si>
  <si>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</si>
  <si>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</si>
  <si>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</si>
  <si>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</si>
  <si>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</si>
  <si>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</si>
  <si>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</si>
  <si>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</si>
  <si>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</si>
  <si>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</si>
  <si>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</si>
  <si>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</si>
  <si>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</si>
  <si>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</si>
  <si>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</si>
  <si>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</si>
  <si>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</si>
  <si>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</si>
  <si>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</si>
  <si>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</si>
  <si>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</si>
  <si>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</si>
  <si>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</si>
  <si>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</si>
  <si>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</si>
  <si>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</si>
  <si>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</si>
  <si>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</si>
  <si>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</si>
  <si>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</si>
  <si>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</si>
  <si>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</si>
  <si>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</si>
  <si>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</si>
  <si>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</si>
  <si>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</si>
  <si>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</si>
  <si>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</si>
  <si>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</si>
  <si>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</si>
  <si>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</si>
  <si>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</si>
  <si>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</si>
  <si>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</si>
  <si>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</si>
  <si>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</si>
  <si>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</si>
  <si>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</si>
  <si>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</si>
  <si>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</si>
  <si>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</si>
  <si>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</si>
  <si>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</si>
  <si>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</si>
  <si>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</si>
  <si>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</si>
  <si>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</si>
  <si>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</si>
  <si>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</si>
  <si>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</si>
  <si>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</si>
  <si>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</si>
  <si>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</si>
  <si>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</si>
  <si>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</si>
  <si>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</si>
  <si>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</si>
  <si>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</si>
  <si>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</si>
  <si>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</si>
  <si>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</si>
  <si>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</si>
  <si>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</si>
  <si>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</si>
  <si>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</si>
  <si>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</si>
  <si>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</si>
  <si>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</si>
  <si>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</si>
  <si>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</si>
  <si>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</si>
  <si>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</si>
  <si>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</si>
  <si>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</si>
  <si>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</si>
  <si>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</si>
  <si>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</si>
  <si>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</si>
  <si>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</si>
  <si>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</si>
  <si>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</si>
  <si>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</si>
  <si>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</si>
  <si>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</si>
  <si>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</si>
  <si>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</si>
  <si>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</si>
  <si>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</si>
  <si>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</si>
  <si>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</si>
  <si>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</si>
  <si>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</si>
  <si>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</si>
  <si>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</si>
  <si>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</si>
  <si>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</si>
  <si>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</si>
  <si>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</si>
  <si>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</si>
  <si>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</si>
  <si>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</si>
  <si>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</si>
  <si>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</si>
  <si>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</si>
  <si>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</si>
  <si>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</si>
  <si>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</si>
  <si>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</si>
  <si>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</si>
  <si>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</si>
  <si>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</si>
  <si>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</si>
  <si>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</si>
  <si>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</si>
  <si>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</si>
  <si>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</si>
  <si>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</si>
  <si>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</si>
  <si>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</si>
  <si>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</si>
  <si>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</si>
  <si>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</si>
  <si>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</si>
  <si>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</si>
  <si>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</si>
  <si>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</si>
  <si>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</si>
  <si>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</si>
  <si>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</si>
  <si>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</si>
  <si>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</si>
  <si>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</si>
  <si>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</si>
  <si>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</si>
  <si>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</si>
  <si>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</si>
  <si>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</si>
  <si>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</si>
  <si>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</si>
  <si>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</si>
  <si>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</si>
  <si>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</si>
  <si>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</si>
  <si>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</si>
  <si>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</si>
  <si>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</si>
  <si>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</si>
  <si>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</si>
  <si>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</si>
  <si>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</si>
  <si>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</si>
  <si>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</si>
  <si>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</si>
  <si>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</si>
  <si>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</si>
  <si>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</si>
  <si>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</si>
  <si>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</si>
  <si>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</si>
  <si>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</si>
  <si>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</si>
  <si>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</si>
  <si>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</si>
  <si>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</si>
  <si>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</si>
  <si>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</si>
  <si>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</si>
  <si>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</si>
  <si>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</si>
  <si>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</si>
  <si>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</si>
  <si>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</si>
  <si>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</si>
  <si>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</si>
  <si>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</si>
  <si>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</si>
  <si>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</si>
  <si>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</si>
  <si>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</si>
  <si>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</si>
  <si>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</si>
  <si>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</si>
  <si>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</si>
  <si>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</si>
  <si>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</si>
  <si>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</si>
  <si>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</si>
  <si>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</si>
  <si>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</si>
  <si>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</si>
  <si>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</si>
  <si>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</si>
  <si>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</si>
  <si>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</si>
  <si>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</si>
  <si>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</si>
  <si>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</si>
  <si>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</si>
  <si>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</si>
  <si>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</si>
  <si>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</si>
  <si>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</si>
  <si>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</si>
  <si>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</si>
  <si>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</si>
  <si>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</si>
  <si>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</si>
  <si>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</si>
  <si>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</si>
  <si>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</si>
  <si>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</si>
  <si>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</si>
  <si>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</si>
  <si>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</si>
  <si>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</si>
  <si>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</si>
  <si>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</si>
  <si>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</si>
  <si>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</si>
  <si>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</si>
  <si>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</si>
  <si>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</si>
  <si>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</si>
  <si>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</si>
  <si>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</si>
  <si>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</si>
  <si>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</si>
  <si>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</si>
  <si>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</si>
  <si>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</si>
  <si>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</si>
  <si>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</si>
  <si>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</si>
  <si>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</si>
  <si>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</si>
  <si>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</si>
  <si>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</si>
  <si>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</si>
  <si>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</si>
  <si>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</si>
  <si>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</si>
  <si>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</si>
  <si>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</si>
  <si>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</si>
  <si>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</si>
  <si>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</si>
  <si>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</si>
  <si>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</si>
  <si>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</si>
  <si>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</si>
  <si>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</si>
  <si>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</si>
  <si>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</si>
  <si>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</si>
  <si>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</si>
  <si>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</si>
  <si>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</si>
  <si>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</si>
  <si>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</si>
  <si>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</si>
  <si>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</si>
  <si>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</si>
  <si>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</si>
  <si>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</si>
  <si>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</si>
  <si>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</si>
  <si>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</si>
  <si>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</si>
  <si>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</si>
  <si>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</si>
  <si>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</si>
  <si>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</si>
  <si>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</si>
  <si>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</si>
  <si>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</si>
  <si>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</si>
  <si>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</si>
  <si>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</si>
  <si>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</si>
  <si>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</si>
  <si>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</si>
  <si>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</si>
  <si>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</si>
  <si>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</si>
  <si>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</si>
  <si>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</si>
  <si>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</si>
  <si>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</si>
  <si>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</si>
  <si>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</si>
  <si>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</si>
  <si>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</si>
  <si>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</si>
  <si>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</si>
  <si>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</si>
  <si>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</si>
  <si>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</si>
  <si>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</si>
  <si>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</si>
  <si>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</si>
  <si>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</si>
  <si>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</si>
  <si>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</si>
  <si>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</si>
  <si>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</si>
  <si>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</si>
  <si>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</si>
  <si>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</si>
  <si>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</si>
  <si>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</si>
  <si>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</si>
  <si>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</si>
  <si>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</si>
  <si>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</si>
  <si>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</si>
  <si>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</si>
  <si>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</si>
  <si>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</si>
  <si>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</si>
  <si>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</si>
  <si>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</si>
  <si>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</si>
  <si>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</si>
  <si>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</si>
  <si>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</si>
  <si>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</si>
  <si>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</si>
  <si>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</si>
  <si>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</si>
  <si>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</si>
  <si>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</si>
  <si>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</si>
  <si>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</si>
  <si>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</si>
  <si>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</si>
  <si>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</si>
  <si>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</si>
  <si>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</si>
  <si>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</si>
  <si>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</si>
  <si>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</si>
  <si>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</si>
  <si>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</si>
  <si>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</si>
  <si>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</si>
  <si>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</si>
  <si>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</si>
  <si>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</si>
  <si>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</si>
  <si>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</si>
  <si>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</si>
  <si>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</si>
  <si>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</si>
  <si>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</si>
  <si>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</si>
  <si>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</si>
  <si>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</si>
  <si>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</si>
  <si>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</si>
  <si>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</si>
  <si>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</si>
  <si>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</si>
  <si>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</si>
  <si>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</si>
  <si>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</si>
  <si>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</si>
  <si>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</si>
  <si>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</si>
  <si>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</si>
  <si>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</si>
  <si>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</si>
  <si>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</si>
  <si>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</si>
  <si>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</si>
  <si>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</si>
  <si>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</si>
  <si>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</si>
  <si>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</si>
  <si>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</si>
  <si>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</si>
  <si>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</si>
  <si>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</si>
  <si>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</si>
  <si>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</si>
  <si>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</si>
  <si>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</si>
  <si>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</si>
  <si>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</si>
  <si>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</si>
  <si>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</si>
  <si>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</si>
  <si>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</si>
  <si>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</si>
  <si>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</si>
  <si>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</si>
  <si>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</si>
  <si>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</si>
  <si>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</si>
  <si>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</si>
  <si>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</si>
  <si>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</si>
  <si>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</si>
  <si>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</si>
  <si>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</si>
  <si>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</si>
  <si>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</si>
  <si>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</si>
  <si>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</si>
  <si>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</si>
  <si>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</si>
  <si>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</si>
  <si>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</si>
  <si>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</si>
  <si>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</si>
  <si>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</si>
  <si>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</si>
  <si>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</si>
  <si>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</si>
  <si>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</si>
  <si>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</si>
  <si>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</si>
  <si>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</si>
  <si>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</si>
  <si>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</si>
  <si>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</si>
  <si>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</si>
  <si>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</si>
  <si>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</si>
  <si>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</si>
  <si>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</si>
  <si>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</si>
  <si>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</si>
  <si>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</si>
  <si>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</si>
  <si>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</si>
  <si>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</si>
  <si>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</si>
  <si>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</si>
  <si>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</si>
  <si>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</si>
  <si>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</si>
  <si>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</si>
  <si>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</si>
  <si>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</si>
  <si>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</si>
  <si>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</si>
  <si>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</si>
  <si>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</si>
  <si>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</si>
  <si>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</si>
  <si>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</si>
  <si>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</si>
  <si>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</si>
  <si>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</si>
  <si>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</si>
  <si>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</si>
  <si>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</si>
  <si>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</si>
  <si>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</si>
  <si>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</si>
  <si>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</si>
  <si>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</si>
  <si>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</si>
  <si>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</si>
  <si>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</si>
  <si>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</si>
  <si>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</si>
  <si>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</si>
  <si>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</si>
  <si>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</si>
  <si>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</si>
  <si>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</si>
  <si>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</si>
  <si>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</si>
  <si>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</si>
  <si>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</si>
  <si>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</si>
  <si>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</si>
  <si>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</si>
  <si>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</si>
  <si>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</si>
  <si>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</si>
  <si>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</si>
  <si>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</si>
  <si>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</si>
  <si>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</si>
  <si>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</si>
  <si>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</si>
  <si>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</si>
  <si>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</si>
  <si>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</si>
  <si>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</si>
  <si>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</si>
  <si>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</si>
  <si>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</si>
  <si>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</si>
  <si>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</si>
  <si>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</si>
  <si>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</si>
  <si>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</si>
  <si>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</si>
  <si>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</si>
  <si>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</si>
  <si>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</si>
  <si>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</si>
  <si>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</si>
  <si>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</si>
  <si>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</si>
  <si>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</si>
  <si>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</si>
  <si>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</si>
  <si>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</si>
  <si>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</si>
  <si>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</si>
  <si>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</si>
  <si>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</si>
  <si>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</si>
  <si>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</si>
  <si>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</si>
  <si>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</si>
  <si>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</si>
  <si>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</si>
  <si>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</si>
  <si>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</si>
  <si>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</si>
  <si>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</si>
  <si>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</si>
  <si>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</si>
  <si>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</si>
  <si>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</si>
  <si>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</si>
  <si>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</si>
  <si>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</si>
  <si>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</si>
  <si>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</si>
  <si>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</si>
  <si>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</si>
  <si>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</si>
  <si>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</si>
  <si>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</si>
  <si>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</si>
  <si>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</si>
  <si>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</si>
  <si>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</si>
  <si>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</si>
  <si>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</si>
  <si>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</si>
  <si>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</si>
  <si>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</si>
  <si>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</si>
  <si>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</si>
  <si>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</si>
  <si>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</si>
  <si>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</si>
  <si>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</si>
  <si>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</si>
  <si>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</si>
  <si>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</si>
  <si>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</si>
  <si>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</si>
  <si>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</si>
  <si>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</si>
  <si>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</si>
  <si>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</si>
  <si>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</si>
  <si>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</si>
  <si>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</si>
  <si>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</si>
  <si>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</si>
  <si>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</si>
  <si>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</si>
  <si>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</si>
  <si>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</si>
  <si>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</si>
  <si>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</si>
  <si>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</si>
  <si>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</si>
  <si>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</si>
  <si>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</si>
  <si>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</si>
  <si>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</si>
  <si>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</si>
  <si>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</si>
  <si>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</si>
  <si>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</si>
  <si>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</si>
  <si>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</si>
  <si>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</si>
  <si>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</si>
  <si>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</si>
  <si>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</si>
  <si>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</si>
  <si>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</si>
  <si>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</si>
  <si>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</si>
  <si>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</si>
  <si>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</si>
  <si>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</si>
  <si>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</si>
  <si>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</si>
  <si>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</si>
  <si>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</si>
  <si>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</si>
  <si>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</si>
  <si>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</si>
  <si>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</si>
  <si>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</si>
  <si>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</si>
  <si>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</si>
  <si>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</si>
  <si>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</si>
  <si>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</si>
  <si>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</si>
  <si>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</si>
  <si>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</si>
  <si>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</si>
  <si>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</si>
  <si>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</si>
  <si>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</si>
  <si>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</si>
  <si>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</si>
  <si>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</si>
  <si>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</si>
  <si>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</si>
  <si>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</si>
  <si>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</si>
  <si>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</si>
  <si>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</si>
  <si>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</si>
  <si>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</si>
  <si>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</si>
  <si>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</si>
  <si>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</si>
  <si>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</si>
  <si>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</si>
  <si>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</si>
  <si>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</si>
  <si>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</si>
  <si>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</si>
  <si>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</si>
  <si>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</si>
  <si>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</si>
  <si>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</si>
  <si>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</si>
  <si>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</si>
  <si>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</si>
  <si>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</si>
  <si>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</si>
  <si>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</si>
  <si>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</si>
  <si>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</si>
  <si>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</si>
  <si>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</si>
  <si>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</si>
  <si>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</si>
  <si>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</si>
  <si>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</si>
  <si>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</si>
  <si>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</si>
  <si>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</si>
  <si>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</si>
  <si>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</si>
  <si>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</si>
  <si>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</si>
  <si>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</si>
  <si>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</si>
  <si>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</si>
  <si>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</si>
  <si>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</si>
  <si>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</si>
  <si>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</si>
  <si>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</si>
  <si>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</si>
  <si>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</si>
  <si>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</si>
  <si>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</si>
  <si>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</si>
  <si>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</si>
  <si>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</si>
  <si>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</si>
  <si>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</si>
  <si>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</si>
  <si>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</si>
  <si>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</si>
  <si>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</si>
  <si>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</si>
  <si>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</si>
  <si>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</si>
  <si>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</si>
  <si>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</si>
  <si>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</si>
  <si>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</si>
  <si>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</si>
  <si>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</si>
  <si>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</si>
  <si>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</si>
  <si>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</si>
  <si>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</si>
  <si>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</si>
  <si>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</si>
  <si>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</si>
  <si>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</si>
  <si>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</si>
  <si>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</si>
  <si>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</si>
  <si>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</si>
  <si>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</si>
  <si>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</si>
  <si>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</si>
  <si>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</si>
  <si>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</si>
  <si>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</si>
  <si>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</si>
  <si>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</si>
  <si>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</si>
  <si>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</si>
  <si>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</si>
  <si>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</si>
  <si>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</si>
  <si>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</si>
  <si>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</si>
  <si>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</si>
  <si>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</si>
  <si>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</si>
  <si>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</si>
  <si>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</si>
  <si>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</si>
  <si>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</si>
  <si>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</si>
  <si>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</si>
  <si>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</si>
  <si>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</si>
  <si>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</si>
  <si>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</si>
  <si>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</si>
  <si>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</si>
  <si>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</si>
  <si>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</si>
  <si>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</si>
  <si>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</si>
  <si>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</si>
  <si>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</si>
  <si>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</si>
  <si>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</si>
  <si>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</si>
  <si>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</si>
  <si>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</si>
  <si>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</si>
  <si>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</si>
  <si>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</si>
  <si>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</si>
  <si>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</si>
  <si>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</si>
  <si>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</si>
  <si>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</si>
  <si>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</si>
  <si>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</si>
  <si>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</si>
  <si>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</si>
  <si>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</si>
  <si>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</si>
  <si>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</si>
  <si>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</si>
  <si>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</si>
  <si>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</si>
  <si>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</si>
  <si>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</si>
  <si>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</si>
  <si>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</si>
  <si>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</si>
  <si>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</si>
  <si>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</si>
  <si>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</si>
  <si>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</si>
  <si>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</si>
  <si>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</si>
  <si>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</si>
  <si>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</si>
  <si>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</si>
  <si>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</si>
  <si>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</si>
  <si>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</si>
  <si>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</si>
  <si>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</si>
  <si>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</si>
  <si>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</si>
  <si>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</si>
  <si>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</si>
  <si>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</si>
  <si>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</si>
  <si>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</si>
  <si>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</si>
  <si>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</si>
  <si>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</si>
  <si>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</si>
  <si>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</si>
  <si>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</si>
  <si>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</si>
  <si>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</si>
  <si>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</si>
  <si>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</si>
  <si>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序号</t>
    <phoneticPr fontId="3" type="noConversion"/>
  </si>
  <si>
    <t>幢号</t>
    <phoneticPr fontId="3" type="noConversion"/>
  </si>
  <si>
    <t>室号</t>
    <phoneticPr fontId="3" type="noConversion"/>
  </si>
  <si>
    <t>建筑面积（平方米）</t>
    <phoneticPr fontId="3" type="noConversion"/>
  </si>
  <si>
    <t>房屋性质</t>
    <phoneticPr fontId="3" type="noConversion"/>
  </si>
  <si>
    <t>663号</t>
    <phoneticPr fontId="3" type="noConversion"/>
  </si>
  <si>
    <t>办公</t>
    <phoneticPr fontId="3" type="noConversion"/>
  </si>
  <si>
    <t>面积合计</t>
    <phoneticPr fontId="3" type="noConversion"/>
  </si>
  <si>
    <t>静安区昌平路535-549号、西康路661、665号商铺列表</t>
    <phoneticPr fontId="3" type="noConversion"/>
  </si>
  <si>
    <t>序号</t>
    <phoneticPr fontId="3" type="noConversion"/>
  </si>
  <si>
    <t>幢号</t>
    <phoneticPr fontId="3" type="noConversion"/>
  </si>
  <si>
    <t>室号</t>
    <phoneticPr fontId="3" type="noConversion"/>
  </si>
  <si>
    <t>建筑面积（平方米）</t>
    <phoneticPr fontId="3" type="noConversion"/>
  </si>
  <si>
    <t>房屋性质</t>
    <phoneticPr fontId="3" type="noConversion"/>
  </si>
  <si>
    <t>3幢535号</t>
    <phoneticPr fontId="3" type="noConversion"/>
  </si>
  <si>
    <t>1-2层</t>
    <phoneticPr fontId="3" type="noConversion"/>
  </si>
  <si>
    <t>店铺</t>
    <phoneticPr fontId="3" type="noConversion"/>
  </si>
  <si>
    <t>3幢537号</t>
    <phoneticPr fontId="3" type="noConversion"/>
  </si>
  <si>
    <t>3幢539号</t>
    <phoneticPr fontId="3" type="noConversion"/>
  </si>
  <si>
    <t>3幢541号</t>
    <phoneticPr fontId="3" type="noConversion"/>
  </si>
  <si>
    <t>3幢543号</t>
    <phoneticPr fontId="3" type="noConversion"/>
  </si>
  <si>
    <t>3幢545号</t>
    <phoneticPr fontId="3" type="noConversion"/>
  </si>
  <si>
    <t>3幢547号</t>
    <phoneticPr fontId="3" type="noConversion"/>
  </si>
  <si>
    <t>3幢549号</t>
    <phoneticPr fontId="3" type="noConversion"/>
  </si>
  <si>
    <t>3幢661号</t>
    <phoneticPr fontId="3" type="noConversion"/>
  </si>
  <si>
    <t>3幢665号</t>
    <phoneticPr fontId="3" type="noConversion"/>
  </si>
  <si>
    <t>面积合计</t>
    <phoneticPr fontId="3" type="noConversion"/>
  </si>
  <si>
    <t>抵押</t>
  </si>
  <si>
    <t>房地产抵押价值</t>
  </si>
  <si>
    <t>收益法</t>
  </si>
  <si>
    <t>地上</t>
  </si>
  <si>
    <t>是</t>
  </si>
  <si>
    <t>办公</t>
    <phoneticPr fontId="7" type="noConversion"/>
  </si>
  <si>
    <t>商业</t>
    <phoneticPr fontId="7" type="noConversion"/>
  </si>
  <si>
    <t>比较法-商业</t>
  </si>
  <si>
    <t>成新度</t>
  </si>
  <si>
    <t>收益法 (办公)</t>
  </si>
  <si>
    <t>收益法 (办公)</t>
    <phoneticPr fontId="16" type="noConversion"/>
  </si>
  <si>
    <t>Room number</t>
  </si>
  <si>
    <t>Rental</t>
  </si>
  <si>
    <t>C/I date</t>
  </si>
  <si>
    <t>C/O Date</t>
  </si>
  <si>
    <t>面积</t>
    <phoneticPr fontId="143" type="noConversion"/>
  </si>
  <si>
    <t>售价</t>
  </si>
  <si>
    <t>正常</t>
  </si>
  <si>
    <t>君御豪庭663号可销售房源列表</t>
    <phoneticPr fontId="3" type="noConversion"/>
  </si>
  <si>
    <t>君御豪庭</t>
    <phoneticPr fontId="3" type="noConversion"/>
  </si>
  <si>
    <t>钢混</t>
  </si>
  <si>
    <t>非生产用房</t>
  </si>
  <si>
    <t>否</t>
  </si>
  <si>
    <t>类型</t>
    <phoneticPr fontId="3" type="noConversion"/>
  </si>
  <si>
    <r>
      <t>1</t>
    </r>
    <r>
      <rPr>
        <sz val="10"/>
        <color indexed="8"/>
        <rFont val="宋体"/>
        <family val="3"/>
        <charset val="134"/>
      </rPr>
      <t>层</t>
    </r>
    <phoneticPr fontId="143" type="noConversion"/>
  </si>
  <si>
    <r>
      <t>1</t>
    </r>
    <r>
      <rPr>
        <sz val="10"/>
        <color indexed="8"/>
        <rFont val="宋体"/>
        <family val="3"/>
        <charset val="134"/>
      </rPr>
      <t>托2</t>
    </r>
    <phoneticPr fontId="143" type="noConversion"/>
  </si>
  <si>
    <r>
      <t>1-2</t>
    </r>
    <r>
      <rPr>
        <sz val="10"/>
        <color indexed="8"/>
        <rFont val="宋体"/>
        <family val="3"/>
        <charset val="134"/>
      </rPr>
      <t>层</t>
    </r>
    <phoneticPr fontId="143" type="noConversion"/>
  </si>
  <si>
    <t>1-2层</t>
  </si>
  <si>
    <t>平层</t>
    <phoneticPr fontId="143" type="noConversion"/>
  </si>
  <si>
    <t>办公</t>
    <phoneticPr fontId="3" type="noConversion"/>
  </si>
  <si>
    <t>商业</t>
    <phoneticPr fontId="3" type="noConversion"/>
  </si>
  <si>
    <r>
      <t>4-5</t>
    </r>
    <r>
      <rPr>
        <sz val="10"/>
        <color indexed="8"/>
        <rFont val="宋体"/>
        <family val="3"/>
        <charset val="134"/>
      </rPr>
      <t>元</t>
    </r>
    <phoneticPr fontId="3" type="noConversion"/>
  </si>
  <si>
    <t>按租金收入计税</t>
  </si>
  <si>
    <t>押一</t>
  </si>
  <si>
    <t>划拨</t>
  </si>
  <si>
    <t>公寓</t>
    <phoneticPr fontId="3" type="noConversion"/>
  </si>
  <si>
    <t>租金</t>
    <phoneticPr fontId="3" type="noConversion"/>
  </si>
  <si>
    <t>现房</t>
  </si>
  <si>
    <t>新会路139号</t>
    <phoneticPr fontId="3" type="noConversion"/>
  </si>
  <si>
    <t>陕西北路1103号</t>
    <phoneticPr fontId="3" type="noConversion"/>
  </si>
  <si>
    <t>金昌大厦</t>
    <phoneticPr fontId="3" type="noConversion"/>
  </si>
  <si>
    <t>较大</t>
    <phoneticPr fontId="31" type="noConversion"/>
  </si>
  <si>
    <t>30-40（含）</t>
  </si>
  <si>
    <t>较好</t>
  </si>
  <si>
    <t>七通</t>
  </si>
  <si>
    <t>钢混</t>
    <phoneticPr fontId="31" type="noConversion"/>
  </si>
  <si>
    <t>精装</t>
  </si>
  <si>
    <t>精装</t>
    <phoneticPr fontId="31" type="noConversion"/>
  </si>
  <si>
    <t>七通</t>
    <phoneticPr fontId="31" type="noConversion"/>
  </si>
  <si>
    <r>
      <t>1</t>
    </r>
    <r>
      <rPr>
        <sz val="11"/>
        <color indexed="8"/>
        <rFont val="宋体"/>
        <family val="3"/>
        <charset val="134"/>
      </rPr>
      <t>层</t>
    </r>
    <phoneticPr fontId="31" type="noConversion"/>
  </si>
  <si>
    <r>
      <t>1</t>
    </r>
    <r>
      <rPr>
        <sz val="11"/>
        <color indexed="8"/>
        <rFont val="宋体"/>
        <family val="3"/>
        <charset val="134"/>
      </rPr>
      <t>拖</t>
    </r>
    <r>
      <rPr>
        <sz val="11"/>
        <color indexed="8"/>
        <rFont val="Arial"/>
        <family val="2"/>
      </rPr>
      <t>2</t>
    </r>
    <phoneticPr fontId="31" type="noConversion"/>
  </si>
  <si>
    <t>普通</t>
  </si>
  <si>
    <t>普通</t>
    <phoneticPr fontId="31" type="noConversion"/>
  </si>
  <si>
    <t>简装</t>
  </si>
  <si>
    <t>简装</t>
    <phoneticPr fontId="31" type="noConversion"/>
  </si>
  <si>
    <t>0-100</t>
    <phoneticPr fontId="31" type="noConversion"/>
  </si>
  <si>
    <t>100-300</t>
    <phoneticPr fontId="31" type="noConversion"/>
  </si>
  <si>
    <t>300-500</t>
    <phoneticPr fontId="31" type="noConversion"/>
  </si>
  <si>
    <t>1拖2</t>
  </si>
  <si>
    <t>1层</t>
  </si>
  <si>
    <r>
      <t>7-15</t>
    </r>
    <r>
      <rPr>
        <sz val="10"/>
        <color indexed="8"/>
        <rFont val="宋体"/>
        <family val="3"/>
        <charset val="134"/>
      </rPr>
      <t>元</t>
    </r>
    <phoneticPr fontId="3" type="noConversion"/>
  </si>
  <si>
    <r>
      <t>6-10</t>
    </r>
    <r>
      <rPr>
        <sz val="10"/>
        <color indexed="8"/>
        <rFont val="宋体"/>
        <family val="3"/>
        <charset val="134"/>
      </rPr>
      <t>元</t>
    </r>
    <phoneticPr fontId="3" type="noConversion"/>
  </si>
  <si>
    <t>华侨城苏河湾</t>
    <phoneticPr fontId="3" type="noConversion"/>
  </si>
  <si>
    <t>40-50（含）</t>
  </si>
  <si>
    <t>保利one56</t>
    <phoneticPr fontId="3" type="noConversion"/>
  </si>
  <si>
    <t>新天地一品苑</t>
    <phoneticPr fontId="3" type="noConversion"/>
  </si>
  <si>
    <t>好</t>
  </si>
  <si>
    <t>钢混</t>
    <phoneticPr fontId="25" type="noConversion"/>
  </si>
  <si>
    <t>精装</t>
    <phoneticPr fontId="25" type="noConversion"/>
  </si>
  <si>
    <t>高层</t>
  </si>
  <si>
    <t>高层</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</si>
  <si>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</si>
  <si>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</si>
  <si>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</si>
  <si>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</si>
  <si>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</si>
  <si>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</si>
  <si>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</si>
  <si>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大平层</t>
  </si>
  <si>
    <t>大平层</t>
    <phoneticPr fontId="25" type="noConversion"/>
  </si>
  <si>
    <t>标准</t>
  </si>
  <si>
    <t>标准</t>
    <phoneticPr fontId="25" type="noConversion"/>
  </si>
  <si>
    <t>简装</t>
    <phoneticPr fontId="25"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</si>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</sst>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4"/>
      <name val="宋体"/>
      <family val="3"/>
      <charset val="134"/>
    </font>
    <font>
      <b/>
      <sz val="14"/>
      <name val="MS Sans Serif"/>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0" fontId="56"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37" fillId="0" borderId="0" xfId="0" applyFont="1" applyAlignment="1"/>
    <xf numFmtId="0" fontId="19" fillId="0" borderId="0" xfId="0" applyFont="1" applyAlignment="1"/>
    <xf numFmtId="0" fontId="37" fillId="0" borderId="1" xfId="0" applyFont="1" applyBorder="1" applyAlignment="1">
      <alignment horizontal="center" vertical="center" wrapText="1"/>
    </xf>
    <xf numFmtId="43" fontId="37" fillId="0" borderId="1" xfId="17" applyFont="1" applyBorder="1" applyAlignment="1">
      <alignment horizontal="center" vertical="center" wrapText="1"/>
    </xf>
    <xf numFmtId="0" fontId="37" fillId="0" borderId="1" xfId="0" applyFont="1" applyBorder="1" applyAlignment="1">
      <alignment horizontal="center"/>
    </xf>
    <xf numFmtId="197" fontId="37" fillId="0" borderId="1" xfId="17" applyNumberFormat="1" applyFont="1" applyBorder="1" applyAlignment="1">
      <alignment horizontal="center" vertical="center"/>
    </xf>
    <xf numFmtId="0" fontId="37" fillId="0" borderId="0" xfId="0" applyFont="1" applyAlignment="1">
      <alignment horizontal="center"/>
    </xf>
    <xf numFmtId="43" fontId="37" fillId="0" borderId="0" xfId="17" applyFont="1" applyAlignment="1">
      <alignment horizontal="center"/>
    </xf>
    <xf numFmtId="197" fontId="37" fillId="0" borderId="1" xfId="17" applyNumberFormat="1"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14" fontId="0" fillId="0" borderId="0" xfId="0" applyNumberFormat="1" applyAlignment="1">
      <alignment horizontal="center"/>
    </xf>
    <xf numFmtId="197" fontId="37" fillId="0" borderId="1" xfId="17" applyNumberFormat="1" applyFont="1" applyBorder="1" applyAlignment="1" applyProtection="1">
      <alignment horizontal="center" vertical="center"/>
      <protection locked="0"/>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197" fontId="37" fillId="0" borderId="1" xfId="17" applyNumberFormat="1" applyFont="1" applyFill="1" applyBorder="1" applyAlignment="1" applyProtection="1">
      <alignment horizontal="center" vertical="center"/>
      <protection locked="0"/>
    </xf>
    <xf numFmtId="14" fontId="0" fillId="7" borderId="0" xfId="0" applyNumberFormat="1" applyFill="1" applyAlignment="1">
      <alignment horizontal="center"/>
    </xf>
    <xf numFmtId="0" fontId="37" fillId="0" borderId="1" xfId="0" applyFont="1" applyBorder="1" applyAlignment="1" applyProtection="1">
      <alignment horizontal="center"/>
      <protection locked="0"/>
    </xf>
    <xf numFmtId="0" fontId="80" fillId="6" borderId="0" xfId="0" applyFont="1" applyFill="1" applyAlignment="1" applyProtection="1">
      <alignment vertical="center"/>
      <protection locked="0"/>
    </xf>
    <xf numFmtId="58" fontId="50" fillId="10" borderId="6"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47" fillId="0" borderId="24" xfId="10" applyFont="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2" borderId="1" xfId="2" applyFont="1" applyFill="1" applyBorder="1" applyAlignment="1" applyProtection="1">
      <alignment horizontal="center" vertical="center" wrapText="1"/>
      <protection locked="0"/>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horizontal="left"/>
    </xf>
    <xf numFmtId="0" fontId="104" fillId="6" borderId="0" xfId="2" applyFont="1" applyFill="1" applyAlignment="1" applyProtection="1">
      <alignment vertical="center" wrapText="1"/>
      <protection locked="0"/>
    </xf>
    <xf numFmtId="0" fontId="104" fillId="6" borderId="0" xfId="2" applyFont="1" applyFill="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0" xfId="0" applyFont="1" applyBorder="1" applyAlignment="1">
      <alignment horizontal="center" vertical="center"/>
    </xf>
    <xf numFmtId="0" fontId="256" fillId="0" borderId="60" xfId="0" applyFont="1" applyBorder="1" applyAlignment="1">
      <alignment horizontal="center" vertical="center"/>
    </xf>
    <xf numFmtId="0" fontId="255" fillId="0" borderId="1" xfId="0" applyFont="1" applyBorder="1" applyAlignment="1">
      <alignment horizontal="center" vertical="center"/>
    </xf>
    <xf numFmtId="43" fontId="255" fillId="0" borderId="1" xfId="17"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9" fontId="47" fillId="7"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13</xdr:col>
      <xdr:colOff>713611</xdr:colOff>
      <xdr:row>4</xdr:row>
      <xdr:rowOff>218943</xdr:rowOff>
    </xdr:to>
    <xdr:pic>
      <xdr:nvPicPr>
        <xdr:cNvPr id="2" name="图片 1"/>
        <xdr:cNvPicPr>
          <a:picLocks noChangeAspect="1"/>
        </xdr:cNvPicPr>
      </xdr:nvPicPr>
      <xdr:blipFill>
        <a:blip xmlns:r="http://schemas.openxmlformats.org/officeDocument/2006/relationships" r:embed="rId1"/>
        <a:stretch>
          <a:fillRect/>
        </a:stretch>
      </xdr:blipFill>
      <xdr:spPr>
        <a:xfrm>
          <a:off x="7486650" y="523875"/>
          <a:ext cx="6114286" cy="1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16</xdr:col>
      <xdr:colOff>179594</xdr:colOff>
      <xdr:row>37</xdr:row>
      <xdr:rowOff>84922</xdr:rowOff>
    </xdr:to>
    <xdr:pic>
      <xdr:nvPicPr>
        <xdr:cNvPr id="3" name="图片 2"/>
        <xdr:cNvPicPr>
          <a:picLocks noChangeAspect="1"/>
        </xdr:cNvPicPr>
      </xdr:nvPicPr>
      <xdr:blipFill>
        <a:blip xmlns:r="http://schemas.openxmlformats.org/officeDocument/2006/relationships" r:embed="rId1"/>
        <a:stretch>
          <a:fillRect/>
        </a:stretch>
      </xdr:blipFill>
      <xdr:spPr>
        <a:xfrm>
          <a:off x="95250" y="0"/>
          <a:ext cx="11057144" cy="6428572"/>
        </a:xfrm>
        <a:prstGeom prst="rect">
          <a:avLst/>
        </a:prstGeom>
      </xdr:spPr>
    </xdr:pic>
    <xdr:clientData/>
  </xdr:twoCellAnchor>
  <xdr:twoCellAnchor>
    <xdr:from>
      <xdr:col>7</xdr:col>
      <xdr:colOff>19050</xdr:colOff>
      <xdr:row>2</xdr:row>
      <xdr:rowOff>133350</xdr:rowOff>
    </xdr:from>
    <xdr:to>
      <xdr:col>8</xdr:col>
      <xdr:colOff>390525</xdr:colOff>
      <xdr:row>4</xdr:row>
      <xdr:rowOff>152400</xdr:rowOff>
    </xdr:to>
    <xdr:sp macro="" textlink="">
      <xdr:nvSpPr>
        <xdr:cNvPr id="4" name="TextBox 3"/>
        <xdr:cNvSpPr txBox="1"/>
      </xdr:nvSpPr>
      <xdr:spPr>
        <a:xfrm>
          <a:off x="4819650" y="476250"/>
          <a:ext cx="105727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314</a:t>
          </a:r>
          <a:r>
            <a:rPr lang="zh-CN" altLang="en-US" sz="1100"/>
            <a:t>平米</a:t>
          </a:r>
          <a:r>
            <a:rPr lang="en-US" altLang="zh-CN" sz="1100"/>
            <a:t>50218</a:t>
          </a:r>
          <a:r>
            <a:rPr lang="zh-CN" altLang="en-US" sz="1100"/>
            <a:t>元</a:t>
          </a:r>
          <a:endParaRPr lang="en-US" altLang="zh-CN" sz="1100"/>
        </a:p>
        <a:p>
          <a:endParaRPr lang="zh-CN" altLang="en-US" sz="1100"/>
        </a:p>
      </xdr:txBody>
    </xdr:sp>
    <xdr:clientData/>
  </xdr:twoCellAnchor>
  <xdr:twoCellAnchor>
    <xdr:from>
      <xdr:col>9</xdr:col>
      <xdr:colOff>266700</xdr:colOff>
      <xdr:row>12</xdr:row>
      <xdr:rowOff>9525</xdr:rowOff>
    </xdr:from>
    <xdr:to>
      <xdr:col>11</xdr:col>
      <xdr:colOff>133350</xdr:colOff>
      <xdr:row>13</xdr:row>
      <xdr:rowOff>104775</xdr:rowOff>
    </xdr:to>
    <xdr:sp macro="" textlink="">
      <xdr:nvSpPr>
        <xdr:cNvPr id="5" name="TextBox 4"/>
        <xdr:cNvSpPr txBox="1"/>
      </xdr:nvSpPr>
      <xdr:spPr>
        <a:xfrm>
          <a:off x="6438900" y="2066925"/>
          <a:ext cx="12382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162</a:t>
          </a:r>
          <a:r>
            <a:rPr lang="zh-CN" altLang="en-US" sz="1100"/>
            <a:t>平米</a:t>
          </a:r>
          <a:r>
            <a:rPr lang="zh-CN" altLang="en-US" sz="1100" baseline="0"/>
            <a:t>  </a:t>
          </a:r>
          <a:r>
            <a:rPr lang="en-US" altLang="zh-CN" sz="1100" baseline="0"/>
            <a:t>61000</a:t>
          </a:r>
          <a:r>
            <a:rPr lang="zh-CN" altLang="en-US" sz="1100" baseline="0"/>
            <a:t>元</a:t>
          </a:r>
          <a:endParaRPr lang="en-US" altLang="zh-CN" sz="1100" baseline="0"/>
        </a:p>
        <a:p>
          <a:endParaRPr lang="zh-CN" altLang="en-US" sz="1100"/>
        </a:p>
      </xdr:txBody>
    </xdr:sp>
    <xdr:clientData/>
  </xdr:twoCellAnchor>
  <xdr:twoCellAnchor>
    <xdr:from>
      <xdr:col>7</xdr:col>
      <xdr:colOff>171450</xdr:colOff>
      <xdr:row>28</xdr:row>
      <xdr:rowOff>142875</xdr:rowOff>
    </xdr:from>
    <xdr:to>
      <xdr:col>8</xdr:col>
      <xdr:colOff>476250</xdr:colOff>
      <xdr:row>31</xdr:row>
      <xdr:rowOff>123825</xdr:rowOff>
    </xdr:to>
    <xdr:sp macro="" textlink="">
      <xdr:nvSpPr>
        <xdr:cNvPr id="6" name="TextBox 5"/>
        <xdr:cNvSpPr txBox="1"/>
      </xdr:nvSpPr>
      <xdr:spPr>
        <a:xfrm>
          <a:off x="4972050" y="4943475"/>
          <a:ext cx="9906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102</a:t>
          </a:r>
          <a:r>
            <a:rPr lang="zh-CN" altLang="en-US" sz="1100"/>
            <a:t>平米 </a:t>
          </a:r>
          <a:r>
            <a:rPr lang="en-US" altLang="zh-CN" sz="1100"/>
            <a:t>56000</a:t>
          </a:r>
          <a:r>
            <a:rPr lang="zh-CN" altLang="en-US" sz="1100"/>
            <a:t>元</a:t>
          </a:r>
          <a:endParaRPr lang="en-US" altLang="zh-CN" sz="1100"/>
        </a:p>
        <a:p>
          <a:endParaRPr lang="zh-CN" altLang="en-US" sz="1100"/>
        </a:p>
      </xdr:txBody>
    </xdr:sp>
    <xdr:clientData/>
  </xdr:twoCellAnchor>
  <xdr:twoCellAnchor>
    <xdr:from>
      <xdr:col>12</xdr:col>
      <xdr:colOff>180975</xdr:colOff>
      <xdr:row>4</xdr:row>
      <xdr:rowOff>19050</xdr:rowOff>
    </xdr:from>
    <xdr:to>
      <xdr:col>16</xdr:col>
      <xdr:colOff>85725</xdr:colOff>
      <xdr:row>9</xdr:row>
      <xdr:rowOff>104775</xdr:rowOff>
    </xdr:to>
    <xdr:sp macro="" textlink="">
      <xdr:nvSpPr>
        <xdr:cNvPr id="8" name="TextBox 7"/>
        <xdr:cNvSpPr txBox="1"/>
      </xdr:nvSpPr>
      <xdr:spPr>
        <a:xfrm>
          <a:off x="8410575" y="704850"/>
          <a:ext cx="264795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大面积上千平米的 </a:t>
          </a:r>
          <a:r>
            <a:rPr lang="en-US" altLang="zh-CN" sz="1100"/>
            <a:t>2-3</a:t>
          </a:r>
          <a:r>
            <a:rPr lang="zh-CN" altLang="en-US" sz="1100"/>
            <a:t>万的单价    小面积</a:t>
          </a:r>
          <a:r>
            <a:rPr lang="en-US" altLang="zh-CN" sz="1100"/>
            <a:t>50</a:t>
          </a:r>
          <a:r>
            <a:rPr lang="zh-CN" altLang="en-US" sz="1100"/>
            <a:t>平米左右的</a:t>
          </a:r>
          <a:r>
            <a:rPr lang="zh-CN" altLang="en-US" sz="1100" baseline="0"/>
            <a:t> 能高到</a:t>
          </a:r>
          <a:r>
            <a:rPr lang="en-US" altLang="zh-CN" sz="1100" baseline="0"/>
            <a:t>10</a:t>
          </a:r>
          <a:r>
            <a:rPr lang="zh-CN" altLang="en-US" sz="1100" baseline="0"/>
            <a:t>万以上的单价   ，跟估价对象差不多几百平米的  均价</a:t>
          </a:r>
          <a:r>
            <a:rPr lang="en-US" altLang="zh-CN" sz="1100" baseline="0"/>
            <a:t>5W </a:t>
          </a:r>
          <a:r>
            <a:rPr lang="zh-CN" altLang="en-US" sz="1100" baseline="0"/>
            <a:t>左右</a:t>
          </a:r>
          <a:endParaRPr lang="en-US" altLang="zh-CN" sz="1100" baseline="0"/>
        </a:p>
        <a:p>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22</xdr:row>
      <xdr:rowOff>151910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342858" cy="3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估价对象为房地产，为所有。根据《国有土地使用证》[]，估价对象（分摊）出让国有建设用地使用权面积为14543平方米，建筑面积为499.07平方米。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估价对象为房地产,属开发建设的，该项目尚在开发建设中。根据《国有土地使用证》[]，估价对象（分摊）出让国有建设用地使用权面积为14543平方米，规划建筑面积为499.07平方米。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2020年1月15日（评估专业人员实地查勘之日）</v>
      </c>
    </row>
    <row r="13" spans="1:2" s="1593" customFormat="1">
      <c r="A13" s="1591" t="s">
        <v>1222</v>
      </c>
      <c r="B13" s="1592" t="str">
        <f>'预评函-1'!A18</f>
        <v>本次估价的“房地产价值”是指在正常市场情况下，在价值时点2020年1月15日，估价对象规划用途为，土地取得方式为划拨，假定未设立法定优先受偿款下的房地产市场价值。</v>
      </c>
    </row>
    <row r="14" spans="1:2" s="1593" customFormat="1">
      <c r="A14" s="1591" t="s">
        <v>1223</v>
      </c>
      <c r="B14" s="159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2386</v>
      </c>
    </row>
    <row r="21" spans="1:2" s="1593" customFormat="1">
      <c r="A21" s="1591" t="s">
        <v>1230</v>
      </c>
      <c r="B21" s="1592">
        <f ca="1">'预评函-2'!D7</f>
        <v>47809</v>
      </c>
    </row>
    <row r="22" spans="1:2" s="1593" customFormat="1">
      <c r="A22" s="1591" t="s">
        <v>1231</v>
      </c>
      <c r="B22" s="1592" t="str">
        <f ca="1">'预评函-2'!D6</f>
        <v>贰仟叁佰捌拾陆万元整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2386</v>
      </c>
    </row>
    <row r="31" spans="1:2" s="1593" customFormat="1">
      <c r="A31" s="1591" t="s">
        <v>1269</v>
      </c>
      <c r="B31" s="1592">
        <f ca="1">'预评函-2'!D15</f>
        <v>47809</v>
      </c>
    </row>
    <row r="32" spans="1:2" s="1593" customFormat="1">
      <c r="A32" s="1591" t="s">
        <v>1236</v>
      </c>
      <c r="B32" s="1592" t="str">
        <f ca="1">'预评函-2'!D14</f>
        <v>贰仟叁佰捌拾陆万元整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499.07</v>
      </c>
    </row>
    <row r="44" spans="1:2" s="1593" customFormat="1">
      <c r="A44" s="1591" t="s">
        <v>1268</v>
      </c>
      <c r="B44" s="1592" t="str">
        <f>'预评函-3'!C2</f>
        <v>(分摊)土地面积</v>
      </c>
    </row>
    <row r="45" spans="1:2" s="1593" customFormat="1">
      <c r="A45" s="1591" t="s">
        <v>1240</v>
      </c>
      <c r="B45" s="1592">
        <f>'预评函-3'!C4</f>
        <v>14543</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3093</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21" t="s">
        <v>860</v>
      </c>
      <c r="C54" s="2018" t="s">
        <v>1276</v>
      </c>
    </row>
    <row r="55" spans="1:4">
      <c r="A55" s="3051"/>
      <c r="B55" s="2021" t="s">
        <v>861</v>
      </c>
      <c r="C55" s="2018" t="s">
        <v>1277</v>
      </c>
    </row>
    <row r="56" spans="1:4">
      <c r="A56" s="3051"/>
      <c r="B56" s="2021" t="s">
        <v>862</v>
      </c>
      <c r="C56" s="2018" t="s">
        <v>1281</v>
      </c>
    </row>
    <row r="57" spans="1:4">
      <c r="A57" s="305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52" t="str">
        <f>IF(B10="北京市","北京市",C10)&amp;F10&amp;IF(结果表!G1="在建","出让国有建设用地使用权及在建建筑物",IF(结果表!G1="土地","出让国有建设用地使用权",))&amp;B9&amp;"预评估"</f>
        <v>房地产抵押价值预评估</v>
      </c>
      <c r="C1" s="3053"/>
      <c r="D1" s="3053"/>
      <c r="E1" s="3053"/>
      <c r="F1" s="3053"/>
      <c r="G1" s="3053"/>
      <c r="H1" s="3053"/>
      <c r="I1" s="305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v>43845</v>
      </c>
      <c r="C3" s="2036" t="s">
        <v>1773</v>
      </c>
      <c r="D3" s="2035">
        <v>43845</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3083</v>
      </c>
      <c r="C8" s="2055"/>
      <c r="D8" s="3055" t="s">
        <v>1779</v>
      </c>
      <c r="E8" s="2056" t="s">
        <v>3084</v>
      </c>
      <c r="F8" s="2057"/>
      <c r="G8" s="2025"/>
      <c r="H8" s="2025"/>
      <c r="I8" s="2025"/>
      <c r="J8" s="2041"/>
      <c r="K8" s="2042"/>
      <c r="L8" s="2027"/>
      <c r="M8" s="2027"/>
      <c r="N8" s="2028"/>
      <c r="O8" s="2029"/>
      <c r="P8" s="2028"/>
      <c r="Q8" s="2028"/>
      <c r="R8" s="2028"/>
    </row>
    <row r="9" spans="1:19" ht="18" customHeight="1" thickBot="1">
      <c r="A9" s="2039" t="s">
        <v>1780</v>
      </c>
      <c r="B9" s="2058" t="s">
        <v>3084</v>
      </c>
      <c r="C9" s="2059"/>
      <c r="D9" s="3056"/>
      <c r="E9" s="2058"/>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3117</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53328</v>
      </c>
      <c r="F13" s="2079">
        <v>56980</v>
      </c>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1794</v>
      </c>
      <c r="D15" s="1049">
        <f>IF(B12="出让",IF(D13="","",ROUNDDOWN(MIN((D13-$D$3)/365,D14),2)),D14)</f>
        <v>0</v>
      </c>
      <c r="E15" s="1049">
        <f>IF(B12="出让",IF(E13="","",ROUNDDOWN(MIN((E13-$D$3)/365,E14),2)),E14)</f>
        <v>40</v>
      </c>
      <c r="F15" s="1049">
        <f>IF(B12="出让",IF(F13="","",ROUNDDOWN(MIN((F13-$D$3)/365,F14),2)),F14)</f>
        <v>50</v>
      </c>
      <c r="G15" s="1049">
        <f>IF(B12="出让",IF(G13="","",ROUNDDOWN(MIN((G13-$D$3)/365,G14),2)),G14)</f>
        <v>0</v>
      </c>
      <c r="H15" s="1049">
        <f>IF(B12="出让",IF(H13="","",ROUNDDOWN(MIN((H13-$D$3)/365,H14),2)),H14)</f>
        <v>0</v>
      </c>
      <c r="I15" s="1049">
        <f>IF(B12="出让",IF(I13="","",ROUNDDOWN(MIN((I13-$D$3)/365,I14),2)),I14)</f>
        <v>0</v>
      </c>
      <c r="J15" s="2041"/>
      <c r="K15" s="2082"/>
      <c r="L15" s="2083"/>
      <c r="M15" s="2083"/>
      <c r="N15" s="2084"/>
      <c r="O15" s="2083"/>
      <c r="P15" s="2084"/>
      <c r="Q15" s="2028"/>
      <c r="R15" s="2028"/>
    </row>
    <row r="16" spans="1:19" ht="30.75" customHeight="1">
      <c r="A16" s="2065" t="s">
        <v>1795</v>
      </c>
      <c r="B16" s="3062"/>
      <c r="C16" s="3063"/>
      <c r="D16" s="3064"/>
      <c r="E16" s="2085" t="s">
        <v>1796</v>
      </c>
      <c r="F16" s="3065"/>
      <c r="G16" s="3066"/>
      <c r="H16" s="3066"/>
      <c r="I16" s="3067"/>
      <c r="J16" s="2028"/>
      <c r="K16" s="2082"/>
      <c r="L16" s="2083"/>
      <c r="M16" s="2083"/>
      <c r="N16" s="2084"/>
      <c r="O16" s="2083"/>
      <c r="P16" s="2084"/>
      <c r="Q16" s="2028"/>
      <c r="R16" s="2028"/>
    </row>
    <row r="17" spans="1:22" ht="18" customHeight="1">
      <c r="A17" s="2086" t="s">
        <v>1797</v>
      </c>
      <c r="B17" s="2034" t="s">
        <v>1798</v>
      </c>
      <c r="C17" s="1054">
        <f>'数据-汇总表'!E3</f>
        <v>499.07</v>
      </c>
      <c r="D17" s="2087" t="s">
        <v>1799</v>
      </c>
      <c r="E17" s="3068" t="s">
        <v>1800</v>
      </c>
      <c r="F17" s="3069"/>
      <c r="G17" s="3069"/>
      <c r="H17" s="3069"/>
      <c r="I17" s="3070"/>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14543</v>
      </c>
      <c r="D18" s="2090" t="s">
        <v>1799</v>
      </c>
      <c r="E18" s="3071" t="s">
        <v>1803</v>
      </c>
      <c r="F18" s="3072"/>
      <c r="G18" s="3072"/>
      <c r="H18" s="3072"/>
      <c r="I18" s="3073"/>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58" t="s">
        <v>1808</v>
      </c>
      <c r="C20" s="3059"/>
      <c r="D20" s="3060" t="s">
        <v>1809</v>
      </c>
      <c r="E20" s="3061"/>
      <c r="F20" s="2097" t="s">
        <v>1810</v>
      </c>
      <c r="G20" s="2041"/>
      <c r="H20" s="2041"/>
      <c r="I20" s="2041"/>
      <c r="J20" s="2041"/>
      <c r="K20" s="305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5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5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75"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75"/>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75"/>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76"/>
      <c r="B30" s="2034" t="s">
        <v>1827</v>
      </c>
      <c r="C30" s="3077"/>
      <c r="D30" s="307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79"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74" t="s">
        <v>1837</v>
      </c>
      <c r="T34" s="2134" t="str">
        <f>NUMBERSTRING(7-K34,1)&amp;"通"</f>
        <v>七通</v>
      </c>
      <c r="U34" s="2028"/>
      <c r="V34" s="2028"/>
    </row>
    <row r="35" spans="1:22" ht="18" customHeight="1">
      <c r="A35" s="2135"/>
      <c r="B35" s="3081" t="s">
        <v>1838</v>
      </c>
      <c r="C35" s="3081"/>
      <c r="D35" s="3081"/>
      <c r="E35" s="308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4"/>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14543</v>
      </c>
      <c r="B3" s="14">
        <f>IF(C3="否",G5-AT5,G5)</f>
        <v>499.07</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499.07</v>
      </c>
      <c r="H5" s="16">
        <f t="shared" ref="H5:AT5" si="0">SUM(H13:H656)</f>
        <v>499.07</v>
      </c>
      <c r="I5" s="16">
        <f t="shared" si="0"/>
        <v>55.46</v>
      </c>
      <c r="J5" s="16">
        <f t="shared" si="0"/>
        <v>0</v>
      </c>
      <c r="K5" s="16">
        <f t="shared" si="0"/>
        <v>443.61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499.07</v>
      </c>
      <c r="BA5" s="18">
        <f t="shared" si="1"/>
        <v>499.07</v>
      </c>
      <c r="BB5" s="18">
        <f t="shared" si="1"/>
        <v>55.46</v>
      </c>
      <c r="BC5" s="18">
        <f t="shared" si="1"/>
        <v>443.61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14543</v>
      </c>
      <c r="F6" s="16" t="s">
        <v>1</v>
      </c>
      <c r="G6" s="16" t="s">
        <v>2</v>
      </c>
      <c r="H6" s="20">
        <f>SUMIF(I$12:AB$12,"总值",I6:AB6)</f>
        <v>14543</v>
      </c>
      <c r="I6" s="16">
        <f t="shared" ref="I6:AB6" si="2">ROUND($A$3*I5/$B$3,2)</f>
        <v>1616.12</v>
      </c>
      <c r="J6" s="16">
        <f t="shared" si="2"/>
        <v>0</v>
      </c>
      <c r="K6" s="16">
        <f t="shared" si="2"/>
        <v>12926.88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14543</v>
      </c>
      <c r="AZ6" s="16" t="s">
        <v>3</v>
      </c>
      <c r="BA6" s="16">
        <f>ROUND($AY$6*BA5/$AZ$5,2)</f>
        <v>14543</v>
      </c>
      <c r="BB6" s="16">
        <f>ROUND($AY$6*BB5/$AZ$5,2)</f>
        <v>1616.12</v>
      </c>
      <c r="BC6" s="16">
        <f t="shared" ref="BC6:BH6" si="4">ROUND($AY$6*BC5/$AZ$5,2)</f>
        <v>12926.88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3086</v>
      </c>
      <c r="J9" s="981"/>
      <c r="K9" s="2191" t="s">
        <v>3086</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1372</v>
      </c>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地上</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商业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3087</v>
      </c>
      <c r="E13" s="16">
        <f>IF($C$3="是",ROUND($A$3*G13/$B$3,2),ROUND($A$3*(G13-AT13)/$B$3,2))</f>
        <v>14543</v>
      </c>
      <c r="F13" s="32"/>
      <c r="G13" s="33">
        <f>H13+AC13+AT13</f>
        <v>499.07</v>
      </c>
      <c r="H13" s="20">
        <f>SUMIF(I$12:AB$12,"总值",I13:AB13)</f>
        <v>499.07</v>
      </c>
      <c r="I13" s="2214">
        <f>抵押物清单!D3</f>
        <v>55.46</v>
      </c>
      <c r="J13" s="2214"/>
      <c r="K13" s="2214">
        <f>抵押物清单!D225</f>
        <v>443.61</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14543</v>
      </c>
      <c r="AZ13" s="16">
        <f>BA13+BL13</f>
        <v>499.07</v>
      </c>
      <c r="BA13" s="16">
        <f>SUM(BB13:BK13)</f>
        <v>499.07</v>
      </c>
      <c r="BB13" s="16">
        <f>IF($D13="是",I13-J13,0)</f>
        <v>55.46</v>
      </c>
      <c r="BC13" s="16">
        <f>IF($D13="是",K13-L13,0)</f>
        <v>443.61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8"/>
  <sheetViews>
    <sheetView topLeftCell="A226" workbookViewId="0">
      <selection activeCell="I235" sqref="I235"/>
    </sheetView>
  </sheetViews>
  <sheetFormatPr defaultColWidth="13.625" defaultRowHeight="14.25"/>
  <cols>
    <col min="1" max="1" width="9.25" style="2981" customWidth="1"/>
    <col min="2" max="2" width="15.5" style="2981" customWidth="1"/>
    <col min="3" max="3" width="13.625" style="2981" customWidth="1"/>
    <col min="4" max="4" width="13.625" style="2982" customWidth="1"/>
    <col min="5" max="5" width="19.75" style="2981" bestFit="1" customWidth="1"/>
    <col min="6" max="6" width="13.625" style="2975" customWidth="1"/>
    <col min="7" max="7" width="5.25" style="2975" customWidth="1"/>
    <col min="8" max="8" width="7.625" style="2975" customWidth="1"/>
    <col min="9" max="9" width="13.625" style="2975" customWidth="1"/>
    <col min="10" max="10" width="20.875" style="2976" bestFit="1" customWidth="1"/>
    <col min="11" max="11" width="9.125" style="2975" customWidth="1"/>
    <col min="12" max="256" width="13.625" style="2975"/>
    <col min="257" max="257" width="9.25" style="2975" customWidth="1"/>
    <col min="258" max="258" width="15.5" style="2975" customWidth="1"/>
    <col min="259" max="260" width="13.625" style="2975" customWidth="1"/>
    <col min="261" max="261" width="19.75" style="2975" bestFit="1" customWidth="1"/>
    <col min="262" max="262" width="13.625" style="2975" customWidth="1"/>
    <col min="263" max="263" width="5.25" style="2975" customWidth="1"/>
    <col min="264" max="264" width="7.625" style="2975" customWidth="1"/>
    <col min="265" max="265" width="13.625" style="2975" customWidth="1"/>
    <col min="266" max="266" width="20.875" style="2975" bestFit="1" customWidth="1"/>
    <col min="267" max="267" width="9.125" style="2975" customWidth="1"/>
    <col min="268" max="512" width="13.625" style="2975"/>
    <col min="513" max="513" width="9.25" style="2975" customWidth="1"/>
    <col min="514" max="514" width="15.5" style="2975" customWidth="1"/>
    <col min="515" max="516" width="13.625" style="2975" customWidth="1"/>
    <col min="517" max="517" width="19.75" style="2975" bestFit="1" customWidth="1"/>
    <col min="518" max="518" width="13.625" style="2975" customWidth="1"/>
    <col min="519" max="519" width="5.25" style="2975" customWidth="1"/>
    <col min="520" max="520" width="7.625" style="2975" customWidth="1"/>
    <col min="521" max="521" width="13.625" style="2975" customWidth="1"/>
    <col min="522" max="522" width="20.875" style="2975" bestFit="1" customWidth="1"/>
    <col min="523" max="523" width="9.125" style="2975" customWidth="1"/>
    <col min="524" max="768" width="13.625" style="2975"/>
    <col min="769" max="769" width="9.25" style="2975" customWidth="1"/>
    <col min="770" max="770" width="15.5" style="2975" customWidth="1"/>
    <col min="771" max="772" width="13.625" style="2975" customWidth="1"/>
    <col min="773" max="773" width="19.75" style="2975" bestFit="1" customWidth="1"/>
    <col min="774" max="774" width="13.625" style="2975" customWidth="1"/>
    <col min="775" max="775" width="5.25" style="2975" customWidth="1"/>
    <col min="776" max="776" width="7.625" style="2975" customWidth="1"/>
    <col min="777" max="777" width="13.625" style="2975" customWidth="1"/>
    <col min="778" max="778" width="20.875" style="2975" bestFit="1" customWidth="1"/>
    <col min="779" max="779" width="9.125" style="2975" customWidth="1"/>
    <col min="780" max="1024" width="13.625" style="2975"/>
    <col min="1025" max="1025" width="9.25" style="2975" customWidth="1"/>
    <col min="1026" max="1026" width="15.5" style="2975" customWidth="1"/>
    <col min="1027" max="1028" width="13.625" style="2975" customWidth="1"/>
    <col min="1029" max="1029" width="19.75" style="2975" bestFit="1" customWidth="1"/>
    <col min="1030" max="1030" width="13.625" style="2975" customWidth="1"/>
    <col min="1031" max="1031" width="5.25" style="2975" customWidth="1"/>
    <col min="1032" max="1032" width="7.625" style="2975" customWidth="1"/>
    <col min="1033" max="1033" width="13.625" style="2975" customWidth="1"/>
    <col min="1034" max="1034" width="20.875" style="2975" bestFit="1" customWidth="1"/>
    <col min="1035" max="1035" width="9.125" style="2975" customWidth="1"/>
    <col min="1036" max="1280" width="13.625" style="2975"/>
    <col min="1281" max="1281" width="9.25" style="2975" customWidth="1"/>
    <col min="1282" max="1282" width="15.5" style="2975" customWidth="1"/>
    <col min="1283" max="1284" width="13.625" style="2975" customWidth="1"/>
    <col min="1285" max="1285" width="19.75" style="2975" bestFit="1" customWidth="1"/>
    <col min="1286" max="1286" width="13.625" style="2975" customWidth="1"/>
    <col min="1287" max="1287" width="5.25" style="2975" customWidth="1"/>
    <col min="1288" max="1288" width="7.625" style="2975" customWidth="1"/>
    <col min="1289" max="1289" width="13.625" style="2975" customWidth="1"/>
    <col min="1290" max="1290" width="20.875" style="2975" bestFit="1" customWidth="1"/>
    <col min="1291" max="1291" width="9.125" style="2975" customWidth="1"/>
    <col min="1292" max="1536" width="13.625" style="2975"/>
    <col min="1537" max="1537" width="9.25" style="2975" customWidth="1"/>
    <col min="1538" max="1538" width="15.5" style="2975" customWidth="1"/>
    <col min="1539" max="1540" width="13.625" style="2975" customWidth="1"/>
    <col min="1541" max="1541" width="19.75" style="2975" bestFit="1" customWidth="1"/>
    <col min="1542" max="1542" width="13.625" style="2975" customWidth="1"/>
    <col min="1543" max="1543" width="5.25" style="2975" customWidth="1"/>
    <col min="1544" max="1544" width="7.625" style="2975" customWidth="1"/>
    <col min="1545" max="1545" width="13.625" style="2975" customWidth="1"/>
    <col min="1546" max="1546" width="20.875" style="2975" bestFit="1" customWidth="1"/>
    <col min="1547" max="1547" width="9.125" style="2975" customWidth="1"/>
    <col min="1548" max="1792" width="13.625" style="2975"/>
    <col min="1793" max="1793" width="9.25" style="2975" customWidth="1"/>
    <col min="1794" max="1794" width="15.5" style="2975" customWidth="1"/>
    <col min="1795" max="1796" width="13.625" style="2975" customWidth="1"/>
    <col min="1797" max="1797" width="19.75" style="2975" bestFit="1" customWidth="1"/>
    <col min="1798" max="1798" width="13.625" style="2975" customWidth="1"/>
    <col min="1799" max="1799" width="5.25" style="2975" customWidth="1"/>
    <col min="1800" max="1800" width="7.625" style="2975" customWidth="1"/>
    <col min="1801" max="1801" width="13.625" style="2975" customWidth="1"/>
    <col min="1802" max="1802" width="20.875" style="2975" bestFit="1" customWidth="1"/>
    <col min="1803" max="1803" width="9.125" style="2975" customWidth="1"/>
    <col min="1804" max="2048" width="13.625" style="2975"/>
    <col min="2049" max="2049" width="9.25" style="2975" customWidth="1"/>
    <col min="2050" max="2050" width="15.5" style="2975" customWidth="1"/>
    <col min="2051" max="2052" width="13.625" style="2975" customWidth="1"/>
    <col min="2053" max="2053" width="19.75" style="2975" bestFit="1" customWidth="1"/>
    <col min="2054" max="2054" width="13.625" style="2975" customWidth="1"/>
    <col min="2055" max="2055" width="5.25" style="2975" customWidth="1"/>
    <col min="2056" max="2056" width="7.625" style="2975" customWidth="1"/>
    <col min="2057" max="2057" width="13.625" style="2975" customWidth="1"/>
    <col min="2058" max="2058" width="20.875" style="2975" bestFit="1" customWidth="1"/>
    <col min="2059" max="2059" width="9.125" style="2975" customWidth="1"/>
    <col min="2060" max="2304" width="13.625" style="2975"/>
    <col min="2305" max="2305" width="9.25" style="2975" customWidth="1"/>
    <col min="2306" max="2306" width="15.5" style="2975" customWidth="1"/>
    <col min="2307" max="2308" width="13.625" style="2975" customWidth="1"/>
    <col min="2309" max="2309" width="19.75" style="2975" bestFit="1" customWidth="1"/>
    <col min="2310" max="2310" width="13.625" style="2975" customWidth="1"/>
    <col min="2311" max="2311" width="5.25" style="2975" customWidth="1"/>
    <col min="2312" max="2312" width="7.625" style="2975" customWidth="1"/>
    <col min="2313" max="2313" width="13.625" style="2975" customWidth="1"/>
    <col min="2314" max="2314" width="20.875" style="2975" bestFit="1" customWidth="1"/>
    <col min="2315" max="2315" width="9.125" style="2975" customWidth="1"/>
    <col min="2316" max="2560" width="13.625" style="2975"/>
    <col min="2561" max="2561" width="9.25" style="2975" customWidth="1"/>
    <col min="2562" max="2562" width="15.5" style="2975" customWidth="1"/>
    <col min="2563" max="2564" width="13.625" style="2975" customWidth="1"/>
    <col min="2565" max="2565" width="19.75" style="2975" bestFit="1" customWidth="1"/>
    <col min="2566" max="2566" width="13.625" style="2975" customWidth="1"/>
    <col min="2567" max="2567" width="5.25" style="2975" customWidth="1"/>
    <col min="2568" max="2568" width="7.625" style="2975" customWidth="1"/>
    <col min="2569" max="2569" width="13.625" style="2975" customWidth="1"/>
    <col min="2570" max="2570" width="20.875" style="2975" bestFit="1" customWidth="1"/>
    <col min="2571" max="2571" width="9.125" style="2975" customWidth="1"/>
    <col min="2572" max="2816" width="13.625" style="2975"/>
    <col min="2817" max="2817" width="9.25" style="2975" customWidth="1"/>
    <col min="2818" max="2818" width="15.5" style="2975" customWidth="1"/>
    <col min="2819" max="2820" width="13.625" style="2975" customWidth="1"/>
    <col min="2821" max="2821" width="19.75" style="2975" bestFit="1" customWidth="1"/>
    <col min="2822" max="2822" width="13.625" style="2975" customWidth="1"/>
    <col min="2823" max="2823" width="5.25" style="2975" customWidth="1"/>
    <col min="2824" max="2824" width="7.625" style="2975" customWidth="1"/>
    <col min="2825" max="2825" width="13.625" style="2975" customWidth="1"/>
    <col min="2826" max="2826" width="20.875" style="2975" bestFit="1" customWidth="1"/>
    <col min="2827" max="2827" width="9.125" style="2975" customWidth="1"/>
    <col min="2828" max="3072" width="13.625" style="2975"/>
    <col min="3073" max="3073" width="9.25" style="2975" customWidth="1"/>
    <col min="3074" max="3074" width="15.5" style="2975" customWidth="1"/>
    <col min="3075" max="3076" width="13.625" style="2975" customWidth="1"/>
    <col min="3077" max="3077" width="19.75" style="2975" bestFit="1" customWidth="1"/>
    <col min="3078" max="3078" width="13.625" style="2975" customWidth="1"/>
    <col min="3079" max="3079" width="5.25" style="2975" customWidth="1"/>
    <col min="3080" max="3080" width="7.625" style="2975" customWidth="1"/>
    <col min="3081" max="3081" width="13.625" style="2975" customWidth="1"/>
    <col min="3082" max="3082" width="20.875" style="2975" bestFit="1" customWidth="1"/>
    <col min="3083" max="3083" width="9.125" style="2975" customWidth="1"/>
    <col min="3084" max="3328" width="13.625" style="2975"/>
    <col min="3329" max="3329" width="9.25" style="2975" customWidth="1"/>
    <col min="3330" max="3330" width="15.5" style="2975" customWidth="1"/>
    <col min="3331" max="3332" width="13.625" style="2975" customWidth="1"/>
    <col min="3333" max="3333" width="19.75" style="2975" bestFit="1" customWidth="1"/>
    <col min="3334" max="3334" width="13.625" style="2975" customWidth="1"/>
    <col min="3335" max="3335" width="5.25" style="2975" customWidth="1"/>
    <col min="3336" max="3336" width="7.625" style="2975" customWidth="1"/>
    <col min="3337" max="3337" width="13.625" style="2975" customWidth="1"/>
    <col min="3338" max="3338" width="20.875" style="2975" bestFit="1" customWidth="1"/>
    <col min="3339" max="3339" width="9.125" style="2975" customWidth="1"/>
    <col min="3340" max="3584" width="13.625" style="2975"/>
    <col min="3585" max="3585" width="9.25" style="2975" customWidth="1"/>
    <col min="3586" max="3586" width="15.5" style="2975" customWidth="1"/>
    <col min="3587" max="3588" width="13.625" style="2975" customWidth="1"/>
    <col min="3589" max="3589" width="19.75" style="2975" bestFit="1" customWidth="1"/>
    <col min="3590" max="3590" width="13.625" style="2975" customWidth="1"/>
    <col min="3591" max="3591" width="5.25" style="2975" customWidth="1"/>
    <col min="3592" max="3592" width="7.625" style="2975" customWidth="1"/>
    <col min="3593" max="3593" width="13.625" style="2975" customWidth="1"/>
    <col min="3594" max="3594" width="20.875" style="2975" bestFit="1" customWidth="1"/>
    <col min="3595" max="3595" width="9.125" style="2975" customWidth="1"/>
    <col min="3596" max="3840" width="13.625" style="2975"/>
    <col min="3841" max="3841" width="9.25" style="2975" customWidth="1"/>
    <col min="3842" max="3842" width="15.5" style="2975" customWidth="1"/>
    <col min="3843" max="3844" width="13.625" style="2975" customWidth="1"/>
    <col min="3845" max="3845" width="19.75" style="2975" bestFit="1" customWidth="1"/>
    <col min="3846" max="3846" width="13.625" style="2975" customWidth="1"/>
    <col min="3847" max="3847" width="5.25" style="2975" customWidth="1"/>
    <col min="3848" max="3848" width="7.625" style="2975" customWidth="1"/>
    <col min="3849" max="3849" width="13.625" style="2975" customWidth="1"/>
    <col min="3850" max="3850" width="20.875" style="2975" bestFit="1" customWidth="1"/>
    <col min="3851" max="3851" width="9.125" style="2975" customWidth="1"/>
    <col min="3852" max="4096" width="13.625" style="2975"/>
    <col min="4097" max="4097" width="9.25" style="2975" customWidth="1"/>
    <col min="4098" max="4098" width="15.5" style="2975" customWidth="1"/>
    <col min="4099" max="4100" width="13.625" style="2975" customWidth="1"/>
    <col min="4101" max="4101" width="19.75" style="2975" bestFit="1" customWidth="1"/>
    <col min="4102" max="4102" width="13.625" style="2975" customWidth="1"/>
    <col min="4103" max="4103" width="5.25" style="2975" customWidth="1"/>
    <col min="4104" max="4104" width="7.625" style="2975" customWidth="1"/>
    <col min="4105" max="4105" width="13.625" style="2975" customWidth="1"/>
    <col min="4106" max="4106" width="20.875" style="2975" bestFit="1" customWidth="1"/>
    <col min="4107" max="4107" width="9.125" style="2975" customWidth="1"/>
    <col min="4108" max="4352" width="13.625" style="2975"/>
    <col min="4353" max="4353" width="9.25" style="2975" customWidth="1"/>
    <col min="4354" max="4354" width="15.5" style="2975" customWidth="1"/>
    <col min="4355" max="4356" width="13.625" style="2975" customWidth="1"/>
    <col min="4357" max="4357" width="19.75" style="2975" bestFit="1" customWidth="1"/>
    <col min="4358" max="4358" width="13.625" style="2975" customWidth="1"/>
    <col min="4359" max="4359" width="5.25" style="2975" customWidth="1"/>
    <col min="4360" max="4360" width="7.625" style="2975" customWidth="1"/>
    <col min="4361" max="4361" width="13.625" style="2975" customWidth="1"/>
    <col min="4362" max="4362" width="20.875" style="2975" bestFit="1" customWidth="1"/>
    <col min="4363" max="4363" width="9.125" style="2975" customWidth="1"/>
    <col min="4364" max="4608" width="13.625" style="2975"/>
    <col min="4609" max="4609" width="9.25" style="2975" customWidth="1"/>
    <col min="4610" max="4610" width="15.5" style="2975" customWidth="1"/>
    <col min="4611" max="4612" width="13.625" style="2975" customWidth="1"/>
    <col min="4613" max="4613" width="19.75" style="2975" bestFit="1" customWidth="1"/>
    <col min="4614" max="4614" width="13.625" style="2975" customWidth="1"/>
    <col min="4615" max="4615" width="5.25" style="2975" customWidth="1"/>
    <col min="4616" max="4616" width="7.625" style="2975" customWidth="1"/>
    <col min="4617" max="4617" width="13.625" style="2975" customWidth="1"/>
    <col min="4618" max="4618" width="20.875" style="2975" bestFit="1" customWidth="1"/>
    <col min="4619" max="4619" width="9.125" style="2975" customWidth="1"/>
    <col min="4620" max="4864" width="13.625" style="2975"/>
    <col min="4865" max="4865" width="9.25" style="2975" customWidth="1"/>
    <col min="4866" max="4866" width="15.5" style="2975" customWidth="1"/>
    <col min="4867" max="4868" width="13.625" style="2975" customWidth="1"/>
    <col min="4869" max="4869" width="19.75" style="2975" bestFit="1" customWidth="1"/>
    <col min="4870" max="4870" width="13.625" style="2975" customWidth="1"/>
    <col min="4871" max="4871" width="5.25" style="2975" customWidth="1"/>
    <col min="4872" max="4872" width="7.625" style="2975" customWidth="1"/>
    <col min="4873" max="4873" width="13.625" style="2975" customWidth="1"/>
    <col min="4874" max="4874" width="20.875" style="2975" bestFit="1" customWidth="1"/>
    <col min="4875" max="4875" width="9.125" style="2975" customWidth="1"/>
    <col min="4876" max="5120" width="13.625" style="2975"/>
    <col min="5121" max="5121" width="9.25" style="2975" customWidth="1"/>
    <col min="5122" max="5122" width="15.5" style="2975" customWidth="1"/>
    <col min="5123" max="5124" width="13.625" style="2975" customWidth="1"/>
    <col min="5125" max="5125" width="19.75" style="2975" bestFit="1" customWidth="1"/>
    <col min="5126" max="5126" width="13.625" style="2975" customWidth="1"/>
    <col min="5127" max="5127" width="5.25" style="2975" customWidth="1"/>
    <col min="5128" max="5128" width="7.625" style="2975" customWidth="1"/>
    <col min="5129" max="5129" width="13.625" style="2975" customWidth="1"/>
    <col min="5130" max="5130" width="20.875" style="2975" bestFit="1" customWidth="1"/>
    <col min="5131" max="5131" width="9.125" style="2975" customWidth="1"/>
    <col min="5132" max="5376" width="13.625" style="2975"/>
    <col min="5377" max="5377" width="9.25" style="2975" customWidth="1"/>
    <col min="5378" max="5378" width="15.5" style="2975" customWidth="1"/>
    <col min="5379" max="5380" width="13.625" style="2975" customWidth="1"/>
    <col min="5381" max="5381" width="19.75" style="2975" bestFit="1" customWidth="1"/>
    <col min="5382" max="5382" width="13.625" style="2975" customWidth="1"/>
    <col min="5383" max="5383" width="5.25" style="2975" customWidth="1"/>
    <col min="5384" max="5384" width="7.625" style="2975" customWidth="1"/>
    <col min="5385" max="5385" width="13.625" style="2975" customWidth="1"/>
    <col min="5386" max="5386" width="20.875" style="2975" bestFit="1" customWidth="1"/>
    <col min="5387" max="5387" width="9.125" style="2975" customWidth="1"/>
    <col min="5388" max="5632" width="13.625" style="2975"/>
    <col min="5633" max="5633" width="9.25" style="2975" customWidth="1"/>
    <col min="5634" max="5634" width="15.5" style="2975" customWidth="1"/>
    <col min="5635" max="5636" width="13.625" style="2975" customWidth="1"/>
    <col min="5637" max="5637" width="19.75" style="2975" bestFit="1" customWidth="1"/>
    <col min="5638" max="5638" width="13.625" style="2975" customWidth="1"/>
    <col min="5639" max="5639" width="5.25" style="2975" customWidth="1"/>
    <col min="5640" max="5640" width="7.625" style="2975" customWidth="1"/>
    <col min="5641" max="5641" width="13.625" style="2975" customWidth="1"/>
    <col min="5642" max="5642" width="20.875" style="2975" bestFit="1" customWidth="1"/>
    <col min="5643" max="5643" width="9.125" style="2975" customWidth="1"/>
    <col min="5644" max="5888" width="13.625" style="2975"/>
    <col min="5889" max="5889" width="9.25" style="2975" customWidth="1"/>
    <col min="5890" max="5890" width="15.5" style="2975" customWidth="1"/>
    <col min="5891" max="5892" width="13.625" style="2975" customWidth="1"/>
    <col min="5893" max="5893" width="19.75" style="2975" bestFit="1" customWidth="1"/>
    <col min="5894" max="5894" width="13.625" style="2975" customWidth="1"/>
    <col min="5895" max="5895" width="5.25" style="2975" customWidth="1"/>
    <col min="5896" max="5896" width="7.625" style="2975" customWidth="1"/>
    <col min="5897" max="5897" width="13.625" style="2975" customWidth="1"/>
    <col min="5898" max="5898" width="20.875" style="2975" bestFit="1" customWidth="1"/>
    <col min="5899" max="5899" width="9.125" style="2975" customWidth="1"/>
    <col min="5900" max="6144" width="13.625" style="2975"/>
    <col min="6145" max="6145" width="9.25" style="2975" customWidth="1"/>
    <col min="6146" max="6146" width="15.5" style="2975" customWidth="1"/>
    <col min="6147" max="6148" width="13.625" style="2975" customWidth="1"/>
    <col min="6149" max="6149" width="19.75" style="2975" bestFit="1" customWidth="1"/>
    <col min="6150" max="6150" width="13.625" style="2975" customWidth="1"/>
    <col min="6151" max="6151" width="5.25" style="2975" customWidth="1"/>
    <col min="6152" max="6152" width="7.625" style="2975" customWidth="1"/>
    <col min="6153" max="6153" width="13.625" style="2975" customWidth="1"/>
    <col min="6154" max="6154" width="20.875" style="2975" bestFit="1" customWidth="1"/>
    <col min="6155" max="6155" width="9.125" style="2975" customWidth="1"/>
    <col min="6156" max="6400" width="13.625" style="2975"/>
    <col min="6401" max="6401" width="9.25" style="2975" customWidth="1"/>
    <col min="6402" max="6402" width="15.5" style="2975" customWidth="1"/>
    <col min="6403" max="6404" width="13.625" style="2975" customWidth="1"/>
    <col min="6405" max="6405" width="19.75" style="2975" bestFit="1" customWidth="1"/>
    <col min="6406" max="6406" width="13.625" style="2975" customWidth="1"/>
    <col min="6407" max="6407" width="5.25" style="2975" customWidth="1"/>
    <col min="6408" max="6408" width="7.625" style="2975" customWidth="1"/>
    <col min="6409" max="6409" width="13.625" style="2975" customWidth="1"/>
    <col min="6410" max="6410" width="20.875" style="2975" bestFit="1" customWidth="1"/>
    <col min="6411" max="6411" width="9.125" style="2975" customWidth="1"/>
    <col min="6412" max="6656" width="13.625" style="2975"/>
    <col min="6657" max="6657" width="9.25" style="2975" customWidth="1"/>
    <col min="6658" max="6658" width="15.5" style="2975" customWidth="1"/>
    <col min="6659" max="6660" width="13.625" style="2975" customWidth="1"/>
    <col min="6661" max="6661" width="19.75" style="2975" bestFit="1" customWidth="1"/>
    <col min="6662" max="6662" width="13.625" style="2975" customWidth="1"/>
    <col min="6663" max="6663" width="5.25" style="2975" customWidth="1"/>
    <col min="6664" max="6664" width="7.625" style="2975" customWidth="1"/>
    <col min="6665" max="6665" width="13.625" style="2975" customWidth="1"/>
    <col min="6666" max="6666" width="20.875" style="2975" bestFit="1" customWidth="1"/>
    <col min="6667" max="6667" width="9.125" style="2975" customWidth="1"/>
    <col min="6668" max="6912" width="13.625" style="2975"/>
    <col min="6913" max="6913" width="9.25" style="2975" customWidth="1"/>
    <col min="6914" max="6914" width="15.5" style="2975" customWidth="1"/>
    <col min="6915" max="6916" width="13.625" style="2975" customWidth="1"/>
    <col min="6917" max="6917" width="19.75" style="2975" bestFit="1" customWidth="1"/>
    <col min="6918" max="6918" width="13.625" style="2975" customWidth="1"/>
    <col min="6919" max="6919" width="5.25" style="2975" customWidth="1"/>
    <col min="6920" max="6920" width="7.625" style="2975" customWidth="1"/>
    <col min="6921" max="6921" width="13.625" style="2975" customWidth="1"/>
    <col min="6922" max="6922" width="20.875" style="2975" bestFit="1" customWidth="1"/>
    <col min="6923" max="6923" width="9.125" style="2975" customWidth="1"/>
    <col min="6924" max="7168" width="13.625" style="2975"/>
    <col min="7169" max="7169" width="9.25" style="2975" customWidth="1"/>
    <col min="7170" max="7170" width="15.5" style="2975" customWidth="1"/>
    <col min="7171" max="7172" width="13.625" style="2975" customWidth="1"/>
    <col min="7173" max="7173" width="19.75" style="2975" bestFit="1" customWidth="1"/>
    <col min="7174" max="7174" width="13.625" style="2975" customWidth="1"/>
    <col min="7175" max="7175" width="5.25" style="2975" customWidth="1"/>
    <col min="7176" max="7176" width="7.625" style="2975" customWidth="1"/>
    <col min="7177" max="7177" width="13.625" style="2975" customWidth="1"/>
    <col min="7178" max="7178" width="20.875" style="2975" bestFit="1" customWidth="1"/>
    <col min="7179" max="7179" width="9.125" style="2975" customWidth="1"/>
    <col min="7180" max="7424" width="13.625" style="2975"/>
    <col min="7425" max="7425" width="9.25" style="2975" customWidth="1"/>
    <col min="7426" max="7426" width="15.5" style="2975" customWidth="1"/>
    <col min="7427" max="7428" width="13.625" style="2975" customWidth="1"/>
    <col min="7429" max="7429" width="19.75" style="2975" bestFit="1" customWidth="1"/>
    <col min="7430" max="7430" width="13.625" style="2975" customWidth="1"/>
    <col min="7431" max="7431" width="5.25" style="2975" customWidth="1"/>
    <col min="7432" max="7432" width="7.625" style="2975" customWidth="1"/>
    <col min="7433" max="7433" width="13.625" style="2975" customWidth="1"/>
    <col min="7434" max="7434" width="20.875" style="2975" bestFit="1" customWidth="1"/>
    <col min="7435" max="7435" width="9.125" style="2975" customWidth="1"/>
    <col min="7436" max="7680" width="13.625" style="2975"/>
    <col min="7681" max="7681" width="9.25" style="2975" customWidth="1"/>
    <col min="7682" max="7682" width="15.5" style="2975" customWidth="1"/>
    <col min="7683" max="7684" width="13.625" style="2975" customWidth="1"/>
    <col min="7685" max="7685" width="19.75" style="2975" bestFit="1" customWidth="1"/>
    <col min="7686" max="7686" width="13.625" style="2975" customWidth="1"/>
    <col min="7687" max="7687" width="5.25" style="2975" customWidth="1"/>
    <col min="7688" max="7688" width="7.625" style="2975" customWidth="1"/>
    <col min="7689" max="7689" width="13.625" style="2975" customWidth="1"/>
    <col min="7690" max="7690" width="20.875" style="2975" bestFit="1" customWidth="1"/>
    <col min="7691" max="7691" width="9.125" style="2975" customWidth="1"/>
    <col min="7692" max="7936" width="13.625" style="2975"/>
    <col min="7937" max="7937" width="9.25" style="2975" customWidth="1"/>
    <col min="7938" max="7938" width="15.5" style="2975" customWidth="1"/>
    <col min="7939" max="7940" width="13.625" style="2975" customWidth="1"/>
    <col min="7941" max="7941" width="19.75" style="2975" bestFit="1" customWidth="1"/>
    <col min="7942" max="7942" width="13.625" style="2975" customWidth="1"/>
    <col min="7943" max="7943" width="5.25" style="2975" customWidth="1"/>
    <col min="7944" max="7944" width="7.625" style="2975" customWidth="1"/>
    <col min="7945" max="7945" width="13.625" style="2975" customWidth="1"/>
    <col min="7946" max="7946" width="20.875" style="2975" bestFit="1" customWidth="1"/>
    <col min="7947" max="7947" width="9.125" style="2975" customWidth="1"/>
    <col min="7948" max="8192" width="13.625" style="2975"/>
    <col min="8193" max="8193" width="9.25" style="2975" customWidth="1"/>
    <col min="8194" max="8194" width="15.5" style="2975" customWidth="1"/>
    <col min="8195" max="8196" width="13.625" style="2975" customWidth="1"/>
    <col min="8197" max="8197" width="19.75" style="2975" bestFit="1" customWidth="1"/>
    <col min="8198" max="8198" width="13.625" style="2975" customWidth="1"/>
    <col min="8199" max="8199" width="5.25" style="2975" customWidth="1"/>
    <col min="8200" max="8200" width="7.625" style="2975" customWidth="1"/>
    <col min="8201" max="8201" width="13.625" style="2975" customWidth="1"/>
    <col min="8202" max="8202" width="20.875" style="2975" bestFit="1" customWidth="1"/>
    <col min="8203" max="8203" width="9.125" style="2975" customWidth="1"/>
    <col min="8204" max="8448" width="13.625" style="2975"/>
    <col min="8449" max="8449" width="9.25" style="2975" customWidth="1"/>
    <col min="8450" max="8450" width="15.5" style="2975" customWidth="1"/>
    <col min="8451" max="8452" width="13.625" style="2975" customWidth="1"/>
    <col min="8453" max="8453" width="19.75" style="2975" bestFit="1" customWidth="1"/>
    <col min="8454" max="8454" width="13.625" style="2975" customWidth="1"/>
    <col min="8455" max="8455" width="5.25" style="2975" customWidth="1"/>
    <col min="8456" max="8456" width="7.625" style="2975" customWidth="1"/>
    <col min="8457" max="8457" width="13.625" style="2975" customWidth="1"/>
    <col min="8458" max="8458" width="20.875" style="2975" bestFit="1" customWidth="1"/>
    <col min="8459" max="8459" width="9.125" style="2975" customWidth="1"/>
    <col min="8460" max="8704" width="13.625" style="2975"/>
    <col min="8705" max="8705" width="9.25" style="2975" customWidth="1"/>
    <col min="8706" max="8706" width="15.5" style="2975" customWidth="1"/>
    <col min="8707" max="8708" width="13.625" style="2975" customWidth="1"/>
    <col min="8709" max="8709" width="19.75" style="2975" bestFit="1" customWidth="1"/>
    <col min="8710" max="8710" width="13.625" style="2975" customWidth="1"/>
    <col min="8711" max="8711" width="5.25" style="2975" customWidth="1"/>
    <col min="8712" max="8712" width="7.625" style="2975" customWidth="1"/>
    <col min="8713" max="8713" width="13.625" style="2975" customWidth="1"/>
    <col min="8714" max="8714" width="20.875" style="2975" bestFit="1" customWidth="1"/>
    <col min="8715" max="8715" width="9.125" style="2975" customWidth="1"/>
    <col min="8716" max="8960" width="13.625" style="2975"/>
    <col min="8961" max="8961" width="9.25" style="2975" customWidth="1"/>
    <col min="8962" max="8962" width="15.5" style="2975" customWidth="1"/>
    <col min="8963" max="8964" width="13.625" style="2975" customWidth="1"/>
    <col min="8965" max="8965" width="19.75" style="2975" bestFit="1" customWidth="1"/>
    <col min="8966" max="8966" width="13.625" style="2975" customWidth="1"/>
    <col min="8967" max="8967" width="5.25" style="2975" customWidth="1"/>
    <col min="8968" max="8968" width="7.625" style="2975" customWidth="1"/>
    <col min="8969" max="8969" width="13.625" style="2975" customWidth="1"/>
    <col min="8970" max="8970" width="20.875" style="2975" bestFit="1" customWidth="1"/>
    <col min="8971" max="8971" width="9.125" style="2975" customWidth="1"/>
    <col min="8972" max="9216" width="13.625" style="2975"/>
    <col min="9217" max="9217" width="9.25" style="2975" customWidth="1"/>
    <col min="9218" max="9218" width="15.5" style="2975" customWidth="1"/>
    <col min="9219" max="9220" width="13.625" style="2975" customWidth="1"/>
    <col min="9221" max="9221" width="19.75" style="2975" bestFit="1" customWidth="1"/>
    <col min="9222" max="9222" width="13.625" style="2975" customWidth="1"/>
    <col min="9223" max="9223" width="5.25" style="2975" customWidth="1"/>
    <col min="9224" max="9224" width="7.625" style="2975" customWidth="1"/>
    <col min="9225" max="9225" width="13.625" style="2975" customWidth="1"/>
    <col min="9226" max="9226" width="20.875" style="2975" bestFit="1" customWidth="1"/>
    <col min="9227" max="9227" width="9.125" style="2975" customWidth="1"/>
    <col min="9228" max="9472" width="13.625" style="2975"/>
    <col min="9473" max="9473" width="9.25" style="2975" customWidth="1"/>
    <col min="9474" max="9474" width="15.5" style="2975" customWidth="1"/>
    <col min="9475" max="9476" width="13.625" style="2975" customWidth="1"/>
    <col min="9477" max="9477" width="19.75" style="2975" bestFit="1" customWidth="1"/>
    <col min="9478" max="9478" width="13.625" style="2975" customWidth="1"/>
    <col min="9479" max="9479" width="5.25" style="2975" customWidth="1"/>
    <col min="9480" max="9480" width="7.625" style="2975" customWidth="1"/>
    <col min="9481" max="9481" width="13.625" style="2975" customWidth="1"/>
    <col min="9482" max="9482" width="20.875" style="2975" bestFit="1" customWidth="1"/>
    <col min="9483" max="9483" width="9.125" style="2975" customWidth="1"/>
    <col min="9484" max="9728" width="13.625" style="2975"/>
    <col min="9729" max="9729" width="9.25" style="2975" customWidth="1"/>
    <col min="9730" max="9730" width="15.5" style="2975" customWidth="1"/>
    <col min="9731" max="9732" width="13.625" style="2975" customWidth="1"/>
    <col min="9733" max="9733" width="19.75" style="2975" bestFit="1" customWidth="1"/>
    <col min="9734" max="9734" width="13.625" style="2975" customWidth="1"/>
    <col min="9735" max="9735" width="5.25" style="2975" customWidth="1"/>
    <col min="9736" max="9736" width="7.625" style="2975" customWidth="1"/>
    <col min="9737" max="9737" width="13.625" style="2975" customWidth="1"/>
    <col min="9738" max="9738" width="20.875" style="2975" bestFit="1" customWidth="1"/>
    <col min="9739" max="9739" width="9.125" style="2975" customWidth="1"/>
    <col min="9740" max="9984" width="13.625" style="2975"/>
    <col min="9985" max="9985" width="9.25" style="2975" customWidth="1"/>
    <col min="9986" max="9986" width="15.5" style="2975" customWidth="1"/>
    <col min="9987" max="9988" width="13.625" style="2975" customWidth="1"/>
    <col min="9989" max="9989" width="19.75" style="2975" bestFit="1" customWidth="1"/>
    <col min="9990" max="9990" width="13.625" style="2975" customWidth="1"/>
    <col min="9991" max="9991" width="5.25" style="2975" customWidth="1"/>
    <col min="9992" max="9992" width="7.625" style="2975" customWidth="1"/>
    <col min="9993" max="9993" width="13.625" style="2975" customWidth="1"/>
    <col min="9994" max="9994" width="20.875" style="2975" bestFit="1" customWidth="1"/>
    <col min="9995" max="9995" width="9.125" style="2975" customWidth="1"/>
    <col min="9996" max="10240" width="13.625" style="2975"/>
    <col min="10241" max="10241" width="9.25" style="2975" customWidth="1"/>
    <col min="10242" max="10242" width="15.5" style="2975" customWidth="1"/>
    <col min="10243" max="10244" width="13.625" style="2975" customWidth="1"/>
    <col min="10245" max="10245" width="19.75" style="2975" bestFit="1" customWidth="1"/>
    <col min="10246" max="10246" width="13.625" style="2975" customWidth="1"/>
    <col min="10247" max="10247" width="5.25" style="2975" customWidth="1"/>
    <col min="10248" max="10248" width="7.625" style="2975" customWidth="1"/>
    <col min="10249" max="10249" width="13.625" style="2975" customWidth="1"/>
    <col min="10250" max="10250" width="20.875" style="2975" bestFit="1" customWidth="1"/>
    <col min="10251" max="10251" width="9.125" style="2975" customWidth="1"/>
    <col min="10252" max="10496" width="13.625" style="2975"/>
    <col min="10497" max="10497" width="9.25" style="2975" customWidth="1"/>
    <col min="10498" max="10498" width="15.5" style="2975" customWidth="1"/>
    <col min="10499" max="10500" width="13.625" style="2975" customWidth="1"/>
    <col min="10501" max="10501" width="19.75" style="2975" bestFit="1" customWidth="1"/>
    <col min="10502" max="10502" width="13.625" style="2975" customWidth="1"/>
    <col min="10503" max="10503" width="5.25" style="2975" customWidth="1"/>
    <col min="10504" max="10504" width="7.625" style="2975" customWidth="1"/>
    <col min="10505" max="10505" width="13.625" style="2975" customWidth="1"/>
    <col min="10506" max="10506" width="20.875" style="2975" bestFit="1" customWidth="1"/>
    <col min="10507" max="10507" width="9.125" style="2975" customWidth="1"/>
    <col min="10508" max="10752" width="13.625" style="2975"/>
    <col min="10753" max="10753" width="9.25" style="2975" customWidth="1"/>
    <col min="10754" max="10754" width="15.5" style="2975" customWidth="1"/>
    <col min="10755" max="10756" width="13.625" style="2975" customWidth="1"/>
    <col min="10757" max="10757" width="19.75" style="2975" bestFit="1" customWidth="1"/>
    <col min="10758" max="10758" width="13.625" style="2975" customWidth="1"/>
    <col min="10759" max="10759" width="5.25" style="2975" customWidth="1"/>
    <col min="10760" max="10760" width="7.625" style="2975" customWidth="1"/>
    <col min="10761" max="10761" width="13.625" style="2975" customWidth="1"/>
    <col min="10762" max="10762" width="20.875" style="2975" bestFit="1" customWidth="1"/>
    <col min="10763" max="10763" width="9.125" style="2975" customWidth="1"/>
    <col min="10764" max="11008" width="13.625" style="2975"/>
    <col min="11009" max="11009" width="9.25" style="2975" customWidth="1"/>
    <col min="11010" max="11010" width="15.5" style="2975" customWidth="1"/>
    <col min="11011" max="11012" width="13.625" style="2975" customWidth="1"/>
    <col min="11013" max="11013" width="19.75" style="2975" bestFit="1" customWidth="1"/>
    <col min="11014" max="11014" width="13.625" style="2975" customWidth="1"/>
    <col min="11015" max="11015" width="5.25" style="2975" customWidth="1"/>
    <col min="11016" max="11016" width="7.625" style="2975" customWidth="1"/>
    <col min="11017" max="11017" width="13.625" style="2975" customWidth="1"/>
    <col min="11018" max="11018" width="20.875" style="2975" bestFit="1" customWidth="1"/>
    <col min="11019" max="11019" width="9.125" style="2975" customWidth="1"/>
    <col min="11020" max="11264" width="13.625" style="2975"/>
    <col min="11265" max="11265" width="9.25" style="2975" customWidth="1"/>
    <col min="11266" max="11266" width="15.5" style="2975" customWidth="1"/>
    <col min="11267" max="11268" width="13.625" style="2975" customWidth="1"/>
    <col min="11269" max="11269" width="19.75" style="2975" bestFit="1" customWidth="1"/>
    <col min="11270" max="11270" width="13.625" style="2975" customWidth="1"/>
    <col min="11271" max="11271" width="5.25" style="2975" customWidth="1"/>
    <col min="11272" max="11272" width="7.625" style="2975" customWidth="1"/>
    <col min="11273" max="11273" width="13.625" style="2975" customWidth="1"/>
    <col min="11274" max="11274" width="20.875" style="2975" bestFit="1" customWidth="1"/>
    <col min="11275" max="11275" width="9.125" style="2975" customWidth="1"/>
    <col min="11276" max="11520" width="13.625" style="2975"/>
    <col min="11521" max="11521" width="9.25" style="2975" customWidth="1"/>
    <col min="11522" max="11522" width="15.5" style="2975" customWidth="1"/>
    <col min="11523" max="11524" width="13.625" style="2975" customWidth="1"/>
    <col min="11525" max="11525" width="19.75" style="2975" bestFit="1" customWidth="1"/>
    <col min="11526" max="11526" width="13.625" style="2975" customWidth="1"/>
    <col min="11527" max="11527" width="5.25" style="2975" customWidth="1"/>
    <col min="11528" max="11528" width="7.625" style="2975" customWidth="1"/>
    <col min="11529" max="11529" width="13.625" style="2975" customWidth="1"/>
    <col min="11530" max="11530" width="20.875" style="2975" bestFit="1" customWidth="1"/>
    <col min="11531" max="11531" width="9.125" style="2975" customWidth="1"/>
    <col min="11532" max="11776" width="13.625" style="2975"/>
    <col min="11777" max="11777" width="9.25" style="2975" customWidth="1"/>
    <col min="11778" max="11778" width="15.5" style="2975" customWidth="1"/>
    <col min="11779" max="11780" width="13.625" style="2975" customWidth="1"/>
    <col min="11781" max="11781" width="19.75" style="2975" bestFit="1" customWidth="1"/>
    <col min="11782" max="11782" width="13.625" style="2975" customWidth="1"/>
    <col min="11783" max="11783" width="5.25" style="2975" customWidth="1"/>
    <col min="11784" max="11784" width="7.625" style="2975" customWidth="1"/>
    <col min="11785" max="11785" width="13.625" style="2975" customWidth="1"/>
    <col min="11786" max="11786" width="20.875" style="2975" bestFit="1" customWidth="1"/>
    <col min="11787" max="11787" width="9.125" style="2975" customWidth="1"/>
    <col min="11788" max="12032" width="13.625" style="2975"/>
    <col min="12033" max="12033" width="9.25" style="2975" customWidth="1"/>
    <col min="12034" max="12034" width="15.5" style="2975" customWidth="1"/>
    <col min="12035" max="12036" width="13.625" style="2975" customWidth="1"/>
    <col min="12037" max="12037" width="19.75" style="2975" bestFit="1" customWidth="1"/>
    <col min="12038" max="12038" width="13.625" style="2975" customWidth="1"/>
    <col min="12039" max="12039" width="5.25" style="2975" customWidth="1"/>
    <col min="12040" max="12040" width="7.625" style="2975" customWidth="1"/>
    <col min="12041" max="12041" width="13.625" style="2975" customWidth="1"/>
    <col min="12042" max="12042" width="20.875" style="2975" bestFit="1" customWidth="1"/>
    <col min="12043" max="12043" width="9.125" style="2975" customWidth="1"/>
    <col min="12044" max="12288" width="13.625" style="2975"/>
    <col min="12289" max="12289" width="9.25" style="2975" customWidth="1"/>
    <col min="12290" max="12290" width="15.5" style="2975" customWidth="1"/>
    <col min="12291" max="12292" width="13.625" style="2975" customWidth="1"/>
    <col min="12293" max="12293" width="19.75" style="2975" bestFit="1" customWidth="1"/>
    <col min="12294" max="12294" width="13.625" style="2975" customWidth="1"/>
    <col min="12295" max="12295" width="5.25" style="2975" customWidth="1"/>
    <col min="12296" max="12296" width="7.625" style="2975" customWidth="1"/>
    <col min="12297" max="12297" width="13.625" style="2975" customWidth="1"/>
    <col min="12298" max="12298" width="20.875" style="2975" bestFit="1" customWidth="1"/>
    <col min="12299" max="12299" width="9.125" style="2975" customWidth="1"/>
    <col min="12300" max="12544" width="13.625" style="2975"/>
    <col min="12545" max="12545" width="9.25" style="2975" customWidth="1"/>
    <col min="12546" max="12546" width="15.5" style="2975" customWidth="1"/>
    <col min="12547" max="12548" width="13.625" style="2975" customWidth="1"/>
    <col min="12549" max="12549" width="19.75" style="2975" bestFit="1" customWidth="1"/>
    <col min="12550" max="12550" width="13.625" style="2975" customWidth="1"/>
    <col min="12551" max="12551" width="5.25" style="2975" customWidth="1"/>
    <col min="12552" max="12552" width="7.625" style="2975" customWidth="1"/>
    <col min="12553" max="12553" width="13.625" style="2975" customWidth="1"/>
    <col min="12554" max="12554" width="20.875" style="2975" bestFit="1" customWidth="1"/>
    <col min="12555" max="12555" width="9.125" style="2975" customWidth="1"/>
    <col min="12556" max="12800" width="13.625" style="2975"/>
    <col min="12801" max="12801" width="9.25" style="2975" customWidth="1"/>
    <col min="12802" max="12802" width="15.5" style="2975" customWidth="1"/>
    <col min="12803" max="12804" width="13.625" style="2975" customWidth="1"/>
    <col min="12805" max="12805" width="19.75" style="2975" bestFit="1" customWidth="1"/>
    <col min="12806" max="12806" width="13.625" style="2975" customWidth="1"/>
    <col min="12807" max="12807" width="5.25" style="2975" customWidth="1"/>
    <col min="12808" max="12808" width="7.625" style="2975" customWidth="1"/>
    <col min="12809" max="12809" width="13.625" style="2975" customWidth="1"/>
    <col min="12810" max="12810" width="20.875" style="2975" bestFit="1" customWidth="1"/>
    <col min="12811" max="12811" width="9.125" style="2975" customWidth="1"/>
    <col min="12812" max="13056" width="13.625" style="2975"/>
    <col min="13057" max="13057" width="9.25" style="2975" customWidth="1"/>
    <col min="13058" max="13058" width="15.5" style="2975" customWidth="1"/>
    <col min="13059" max="13060" width="13.625" style="2975" customWidth="1"/>
    <col min="13061" max="13061" width="19.75" style="2975" bestFit="1" customWidth="1"/>
    <col min="13062" max="13062" width="13.625" style="2975" customWidth="1"/>
    <col min="13063" max="13063" width="5.25" style="2975" customWidth="1"/>
    <col min="13064" max="13064" width="7.625" style="2975" customWidth="1"/>
    <col min="13065" max="13065" width="13.625" style="2975" customWidth="1"/>
    <col min="13066" max="13066" width="20.875" style="2975" bestFit="1" customWidth="1"/>
    <col min="13067" max="13067" width="9.125" style="2975" customWidth="1"/>
    <col min="13068" max="13312" width="13.625" style="2975"/>
    <col min="13313" max="13313" width="9.25" style="2975" customWidth="1"/>
    <col min="13314" max="13314" width="15.5" style="2975" customWidth="1"/>
    <col min="13315" max="13316" width="13.625" style="2975" customWidth="1"/>
    <col min="13317" max="13317" width="19.75" style="2975" bestFit="1" customWidth="1"/>
    <col min="13318" max="13318" width="13.625" style="2975" customWidth="1"/>
    <col min="13319" max="13319" width="5.25" style="2975" customWidth="1"/>
    <col min="13320" max="13320" width="7.625" style="2975" customWidth="1"/>
    <col min="13321" max="13321" width="13.625" style="2975" customWidth="1"/>
    <col min="13322" max="13322" width="20.875" style="2975" bestFit="1" customWidth="1"/>
    <col min="13323" max="13323" width="9.125" style="2975" customWidth="1"/>
    <col min="13324" max="13568" width="13.625" style="2975"/>
    <col min="13569" max="13569" width="9.25" style="2975" customWidth="1"/>
    <col min="13570" max="13570" width="15.5" style="2975" customWidth="1"/>
    <col min="13571" max="13572" width="13.625" style="2975" customWidth="1"/>
    <col min="13573" max="13573" width="19.75" style="2975" bestFit="1" customWidth="1"/>
    <col min="13574" max="13574" width="13.625" style="2975" customWidth="1"/>
    <col min="13575" max="13575" width="5.25" style="2975" customWidth="1"/>
    <col min="13576" max="13576" width="7.625" style="2975" customWidth="1"/>
    <col min="13577" max="13577" width="13.625" style="2975" customWidth="1"/>
    <col min="13578" max="13578" width="20.875" style="2975" bestFit="1" customWidth="1"/>
    <col min="13579" max="13579" width="9.125" style="2975" customWidth="1"/>
    <col min="13580" max="13824" width="13.625" style="2975"/>
    <col min="13825" max="13825" width="9.25" style="2975" customWidth="1"/>
    <col min="13826" max="13826" width="15.5" style="2975" customWidth="1"/>
    <col min="13827" max="13828" width="13.625" style="2975" customWidth="1"/>
    <col min="13829" max="13829" width="19.75" style="2975" bestFit="1" customWidth="1"/>
    <col min="13830" max="13830" width="13.625" style="2975" customWidth="1"/>
    <col min="13831" max="13831" width="5.25" style="2975" customWidth="1"/>
    <col min="13832" max="13832" width="7.625" style="2975" customWidth="1"/>
    <col min="13833" max="13833" width="13.625" style="2975" customWidth="1"/>
    <col min="13834" max="13834" width="20.875" style="2975" bestFit="1" customWidth="1"/>
    <col min="13835" max="13835" width="9.125" style="2975" customWidth="1"/>
    <col min="13836" max="14080" width="13.625" style="2975"/>
    <col min="14081" max="14081" width="9.25" style="2975" customWidth="1"/>
    <col min="14082" max="14082" width="15.5" style="2975" customWidth="1"/>
    <col min="14083" max="14084" width="13.625" style="2975" customWidth="1"/>
    <col min="14085" max="14085" width="19.75" style="2975" bestFit="1" customWidth="1"/>
    <col min="14086" max="14086" width="13.625" style="2975" customWidth="1"/>
    <col min="14087" max="14087" width="5.25" style="2975" customWidth="1"/>
    <col min="14088" max="14088" width="7.625" style="2975" customWidth="1"/>
    <col min="14089" max="14089" width="13.625" style="2975" customWidth="1"/>
    <col min="14090" max="14090" width="20.875" style="2975" bestFit="1" customWidth="1"/>
    <col min="14091" max="14091" width="9.125" style="2975" customWidth="1"/>
    <col min="14092" max="14336" width="13.625" style="2975"/>
    <col min="14337" max="14337" width="9.25" style="2975" customWidth="1"/>
    <col min="14338" max="14338" width="15.5" style="2975" customWidth="1"/>
    <col min="14339" max="14340" width="13.625" style="2975" customWidth="1"/>
    <col min="14341" max="14341" width="19.75" style="2975" bestFit="1" customWidth="1"/>
    <col min="14342" max="14342" width="13.625" style="2975" customWidth="1"/>
    <col min="14343" max="14343" width="5.25" style="2975" customWidth="1"/>
    <col min="14344" max="14344" width="7.625" style="2975" customWidth="1"/>
    <col min="14345" max="14345" width="13.625" style="2975" customWidth="1"/>
    <col min="14346" max="14346" width="20.875" style="2975" bestFit="1" customWidth="1"/>
    <col min="14347" max="14347" width="9.125" style="2975" customWidth="1"/>
    <col min="14348" max="14592" width="13.625" style="2975"/>
    <col min="14593" max="14593" width="9.25" style="2975" customWidth="1"/>
    <col min="14594" max="14594" width="15.5" style="2975" customWidth="1"/>
    <col min="14595" max="14596" width="13.625" style="2975" customWidth="1"/>
    <col min="14597" max="14597" width="19.75" style="2975" bestFit="1" customWidth="1"/>
    <col min="14598" max="14598" width="13.625" style="2975" customWidth="1"/>
    <col min="14599" max="14599" width="5.25" style="2975" customWidth="1"/>
    <col min="14600" max="14600" width="7.625" style="2975" customWidth="1"/>
    <col min="14601" max="14601" width="13.625" style="2975" customWidth="1"/>
    <col min="14602" max="14602" width="20.875" style="2975" bestFit="1" customWidth="1"/>
    <col min="14603" max="14603" width="9.125" style="2975" customWidth="1"/>
    <col min="14604" max="14848" width="13.625" style="2975"/>
    <col min="14849" max="14849" width="9.25" style="2975" customWidth="1"/>
    <col min="14850" max="14850" width="15.5" style="2975" customWidth="1"/>
    <col min="14851" max="14852" width="13.625" style="2975" customWidth="1"/>
    <col min="14853" max="14853" width="19.75" style="2975" bestFit="1" customWidth="1"/>
    <col min="14854" max="14854" width="13.625" style="2975" customWidth="1"/>
    <col min="14855" max="14855" width="5.25" style="2975" customWidth="1"/>
    <col min="14856" max="14856" width="7.625" style="2975" customWidth="1"/>
    <col min="14857" max="14857" width="13.625" style="2975" customWidth="1"/>
    <col min="14858" max="14858" width="20.875" style="2975" bestFit="1" customWidth="1"/>
    <col min="14859" max="14859" width="9.125" style="2975" customWidth="1"/>
    <col min="14860" max="15104" width="13.625" style="2975"/>
    <col min="15105" max="15105" width="9.25" style="2975" customWidth="1"/>
    <col min="15106" max="15106" width="15.5" style="2975" customWidth="1"/>
    <col min="15107" max="15108" width="13.625" style="2975" customWidth="1"/>
    <col min="15109" max="15109" width="19.75" style="2975" bestFit="1" customWidth="1"/>
    <col min="15110" max="15110" width="13.625" style="2975" customWidth="1"/>
    <col min="15111" max="15111" width="5.25" style="2975" customWidth="1"/>
    <col min="15112" max="15112" width="7.625" style="2975" customWidth="1"/>
    <col min="15113" max="15113" width="13.625" style="2975" customWidth="1"/>
    <col min="15114" max="15114" width="20.875" style="2975" bestFit="1" customWidth="1"/>
    <col min="15115" max="15115" width="9.125" style="2975" customWidth="1"/>
    <col min="15116" max="15360" width="13.625" style="2975"/>
    <col min="15361" max="15361" width="9.25" style="2975" customWidth="1"/>
    <col min="15362" max="15362" width="15.5" style="2975" customWidth="1"/>
    <col min="15363" max="15364" width="13.625" style="2975" customWidth="1"/>
    <col min="15365" max="15365" width="19.75" style="2975" bestFit="1" customWidth="1"/>
    <col min="15366" max="15366" width="13.625" style="2975" customWidth="1"/>
    <col min="15367" max="15367" width="5.25" style="2975" customWidth="1"/>
    <col min="15368" max="15368" width="7.625" style="2975" customWidth="1"/>
    <col min="15369" max="15369" width="13.625" style="2975" customWidth="1"/>
    <col min="15370" max="15370" width="20.875" style="2975" bestFit="1" customWidth="1"/>
    <col min="15371" max="15371" width="9.125" style="2975" customWidth="1"/>
    <col min="15372" max="15616" width="13.625" style="2975"/>
    <col min="15617" max="15617" width="9.25" style="2975" customWidth="1"/>
    <col min="15618" max="15618" width="15.5" style="2975" customWidth="1"/>
    <col min="15619" max="15620" width="13.625" style="2975" customWidth="1"/>
    <col min="15621" max="15621" width="19.75" style="2975" bestFit="1" customWidth="1"/>
    <col min="15622" max="15622" width="13.625" style="2975" customWidth="1"/>
    <col min="15623" max="15623" width="5.25" style="2975" customWidth="1"/>
    <col min="15624" max="15624" width="7.625" style="2975" customWidth="1"/>
    <col min="15625" max="15625" width="13.625" style="2975" customWidth="1"/>
    <col min="15626" max="15626" width="20.875" style="2975" bestFit="1" customWidth="1"/>
    <col min="15627" max="15627" width="9.125" style="2975" customWidth="1"/>
    <col min="15628" max="15872" width="13.625" style="2975"/>
    <col min="15873" max="15873" width="9.25" style="2975" customWidth="1"/>
    <col min="15874" max="15874" width="15.5" style="2975" customWidth="1"/>
    <col min="15875" max="15876" width="13.625" style="2975" customWidth="1"/>
    <col min="15877" max="15877" width="19.75" style="2975" bestFit="1" customWidth="1"/>
    <col min="15878" max="15878" width="13.625" style="2975" customWidth="1"/>
    <col min="15879" max="15879" width="5.25" style="2975" customWidth="1"/>
    <col min="15880" max="15880" width="7.625" style="2975" customWidth="1"/>
    <col min="15881" max="15881" width="13.625" style="2975" customWidth="1"/>
    <col min="15882" max="15882" width="20.875" style="2975" bestFit="1" customWidth="1"/>
    <col min="15883" max="15883" width="9.125" style="2975" customWidth="1"/>
    <col min="15884" max="16128" width="13.625" style="2975"/>
    <col min="16129" max="16129" width="9.25" style="2975" customWidth="1"/>
    <col min="16130" max="16130" width="15.5" style="2975" customWidth="1"/>
    <col min="16131" max="16132" width="13.625" style="2975" customWidth="1"/>
    <col min="16133" max="16133" width="19.75" style="2975" bestFit="1" customWidth="1"/>
    <col min="16134" max="16134" width="13.625" style="2975" customWidth="1"/>
    <col min="16135" max="16135" width="5.25" style="2975" customWidth="1"/>
    <col min="16136" max="16136" width="7.625" style="2975" customWidth="1"/>
    <col min="16137" max="16137" width="13.625" style="2975" customWidth="1"/>
    <col min="16138" max="16138" width="20.875" style="2975" bestFit="1" customWidth="1"/>
    <col min="16139" max="16139" width="9.125" style="2975" customWidth="1"/>
    <col min="16140" max="16384" width="13.625" style="2975"/>
  </cols>
  <sheetData>
    <row r="1" spans="1:5" ht="41.25" customHeight="1">
      <c r="A1" s="3084" t="s">
        <v>3101</v>
      </c>
      <c r="B1" s="3085"/>
      <c r="C1" s="3085"/>
      <c r="D1" s="3085"/>
      <c r="E1" s="3085"/>
    </row>
    <row r="2" spans="1:5" ht="28.5">
      <c r="A2" s="2977" t="s">
        <v>3056</v>
      </c>
      <c r="B2" s="2977" t="s">
        <v>3057</v>
      </c>
      <c r="C2" s="2977" t="s">
        <v>3058</v>
      </c>
      <c r="D2" s="2978" t="s">
        <v>3059</v>
      </c>
      <c r="E2" s="2977" t="s">
        <v>3060</v>
      </c>
    </row>
    <row r="3" spans="1:5" ht="18.95" customHeight="1">
      <c r="A3" s="2979">
        <v>1</v>
      </c>
      <c r="B3" s="2979" t="s">
        <v>3061</v>
      </c>
      <c r="C3" s="2979">
        <v>301</v>
      </c>
      <c r="D3" s="2980">
        <v>55.46</v>
      </c>
      <c r="E3" s="2979" t="s">
        <v>3062</v>
      </c>
    </row>
    <row r="4" spans="1:5" ht="18.95" customHeight="1">
      <c r="A4" s="2979">
        <v>2</v>
      </c>
      <c r="B4" s="2979" t="s">
        <v>3061</v>
      </c>
      <c r="C4" s="2979">
        <v>302</v>
      </c>
      <c r="D4" s="2980">
        <v>53.04</v>
      </c>
      <c r="E4" s="2979" t="s">
        <v>3062</v>
      </c>
    </row>
    <row r="5" spans="1:5" ht="18.95" customHeight="1">
      <c r="A5" s="2979">
        <v>3</v>
      </c>
      <c r="B5" s="2979" t="s">
        <v>3061</v>
      </c>
      <c r="C5" s="2979">
        <v>303</v>
      </c>
      <c r="D5" s="2980">
        <v>63.92</v>
      </c>
      <c r="E5" s="2979" t="s">
        <v>3062</v>
      </c>
    </row>
    <row r="6" spans="1:5" ht="18.95" customHeight="1">
      <c r="A6" s="2979">
        <v>4</v>
      </c>
      <c r="B6" s="2979" t="s">
        <v>3061</v>
      </c>
      <c r="C6" s="2979">
        <v>305</v>
      </c>
      <c r="D6" s="2980">
        <v>63.71</v>
      </c>
      <c r="E6" s="2979" t="s">
        <v>3062</v>
      </c>
    </row>
    <row r="7" spans="1:5" ht="18.95" customHeight="1">
      <c r="A7" s="2979">
        <v>5</v>
      </c>
      <c r="B7" s="2979" t="s">
        <v>3061</v>
      </c>
      <c r="C7" s="2979">
        <v>306</v>
      </c>
      <c r="D7" s="2980">
        <v>64.39</v>
      </c>
      <c r="E7" s="2979" t="s">
        <v>3062</v>
      </c>
    </row>
    <row r="8" spans="1:5" ht="18.95" customHeight="1">
      <c r="A8" s="2979">
        <v>6</v>
      </c>
      <c r="B8" s="2979" t="s">
        <v>3061</v>
      </c>
      <c r="C8" s="2979">
        <v>307</v>
      </c>
      <c r="D8" s="2980">
        <v>102.3</v>
      </c>
      <c r="E8" s="2979" t="s">
        <v>3062</v>
      </c>
    </row>
    <row r="9" spans="1:5" ht="18.95" customHeight="1">
      <c r="A9" s="2979">
        <v>7</v>
      </c>
      <c r="B9" s="2979" t="s">
        <v>3061</v>
      </c>
      <c r="C9" s="2979">
        <v>308</v>
      </c>
      <c r="D9" s="2980">
        <v>62.25</v>
      </c>
      <c r="E9" s="2979" t="s">
        <v>3062</v>
      </c>
    </row>
    <row r="10" spans="1:5" ht="18.95" customHeight="1">
      <c r="A10" s="2979">
        <v>8</v>
      </c>
      <c r="B10" s="2979" t="s">
        <v>3061</v>
      </c>
      <c r="C10" s="2979">
        <v>501</v>
      </c>
      <c r="D10" s="2980">
        <v>55.46</v>
      </c>
      <c r="E10" s="2979" t="s">
        <v>3062</v>
      </c>
    </row>
    <row r="11" spans="1:5" ht="18.95" customHeight="1">
      <c r="A11" s="2979">
        <v>9</v>
      </c>
      <c r="B11" s="2979" t="s">
        <v>3061</v>
      </c>
      <c r="C11" s="2979">
        <v>502</v>
      </c>
      <c r="D11" s="2980">
        <v>53.04</v>
      </c>
      <c r="E11" s="2979" t="s">
        <v>3062</v>
      </c>
    </row>
    <row r="12" spans="1:5" ht="18.95" customHeight="1">
      <c r="A12" s="2979">
        <v>10</v>
      </c>
      <c r="B12" s="2979" t="s">
        <v>3061</v>
      </c>
      <c r="C12" s="2979">
        <v>503</v>
      </c>
      <c r="D12" s="2980">
        <v>63.92</v>
      </c>
      <c r="E12" s="2979" t="s">
        <v>3062</v>
      </c>
    </row>
    <row r="13" spans="1:5" ht="18.95" customHeight="1">
      <c r="A13" s="2979">
        <v>11</v>
      </c>
      <c r="B13" s="2979" t="s">
        <v>3061</v>
      </c>
      <c r="C13" s="2979">
        <v>505</v>
      </c>
      <c r="D13" s="2980">
        <v>63.71</v>
      </c>
      <c r="E13" s="2979" t="s">
        <v>3062</v>
      </c>
    </row>
    <row r="14" spans="1:5" ht="18.95" customHeight="1">
      <c r="A14" s="2979">
        <v>12</v>
      </c>
      <c r="B14" s="2979" t="s">
        <v>3061</v>
      </c>
      <c r="C14" s="2979">
        <v>506</v>
      </c>
      <c r="D14" s="2980">
        <v>64.39</v>
      </c>
      <c r="E14" s="2979" t="s">
        <v>3062</v>
      </c>
    </row>
    <row r="15" spans="1:5" ht="18.95" customHeight="1">
      <c r="A15" s="2979">
        <v>13</v>
      </c>
      <c r="B15" s="2979" t="s">
        <v>3061</v>
      </c>
      <c r="C15" s="2979">
        <v>507</v>
      </c>
      <c r="D15" s="2980">
        <v>102.3</v>
      </c>
      <c r="E15" s="2979" t="s">
        <v>3062</v>
      </c>
    </row>
    <row r="16" spans="1:5" ht="18.95" customHeight="1">
      <c r="A16" s="2979">
        <v>14</v>
      </c>
      <c r="B16" s="2979" t="s">
        <v>3061</v>
      </c>
      <c r="C16" s="2979">
        <v>508</v>
      </c>
      <c r="D16" s="2980">
        <v>62.25</v>
      </c>
      <c r="E16" s="2979" t="s">
        <v>3062</v>
      </c>
    </row>
    <row r="17" spans="1:5" ht="18.95" customHeight="1">
      <c r="A17" s="2979">
        <v>15</v>
      </c>
      <c r="B17" s="2979" t="s">
        <v>3061</v>
      </c>
      <c r="C17" s="2979">
        <v>601</v>
      </c>
      <c r="D17" s="2980">
        <v>55.46</v>
      </c>
      <c r="E17" s="2979" t="s">
        <v>3062</v>
      </c>
    </row>
    <row r="18" spans="1:5" ht="18.95" customHeight="1">
      <c r="A18" s="2979">
        <v>16</v>
      </c>
      <c r="B18" s="2979" t="s">
        <v>3061</v>
      </c>
      <c r="C18" s="2979">
        <v>602</v>
      </c>
      <c r="D18" s="2980">
        <v>53.04</v>
      </c>
      <c r="E18" s="2979" t="s">
        <v>3062</v>
      </c>
    </row>
    <row r="19" spans="1:5" ht="18.95" customHeight="1">
      <c r="A19" s="2979">
        <v>17</v>
      </c>
      <c r="B19" s="2979" t="s">
        <v>3061</v>
      </c>
      <c r="C19" s="2979">
        <v>603</v>
      </c>
      <c r="D19" s="2980">
        <v>63.92</v>
      </c>
      <c r="E19" s="2979" t="s">
        <v>3062</v>
      </c>
    </row>
    <row r="20" spans="1:5" ht="18.95" customHeight="1">
      <c r="A20" s="2979">
        <v>18</v>
      </c>
      <c r="B20" s="2979" t="s">
        <v>3061</v>
      </c>
      <c r="C20" s="2979">
        <v>605</v>
      </c>
      <c r="D20" s="2980">
        <v>63.71</v>
      </c>
      <c r="E20" s="2979" t="s">
        <v>3062</v>
      </c>
    </row>
    <row r="21" spans="1:5" ht="18.95" customHeight="1">
      <c r="A21" s="2979">
        <v>19</v>
      </c>
      <c r="B21" s="2979" t="s">
        <v>3061</v>
      </c>
      <c r="C21" s="2979">
        <v>606</v>
      </c>
      <c r="D21" s="2980">
        <v>64.39</v>
      </c>
      <c r="E21" s="2979" t="s">
        <v>3062</v>
      </c>
    </row>
    <row r="22" spans="1:5" ht="18.95" customHeight="1">
      <c r="A22" s="2979">
        <v>20</v>
      </c>
      <c r="B22" s="2979" t="s">
        <v>3061</v>
      </c>
      <c r="C22" s="2979">
        <v>607</v>
      </c>
      <c r="D22" s="2980">
        <v>102.3</v>
      </c>
      <c r="E22" s="2979" t="s">
        <v>3062</v>
      </c>
    </row>
    <row r="23" spans="1:5" ht="18.95" customHeight="1">
      <c r="A23" s="2979">
        <v>21</v>
      </c>
      <c r="B23" s="2979" t="s">
        <v>3061</v>
      </c>
      <c r="C23" s="2979">
        <v>608</v>
      </c>
      <c r="D23" s="2980">
        <v>62.25</v>
      </c>
      <c r="E23" s="2979" t="s">
        <v>3062</v>
      </c>
    </row>
    <row r="24" spans="1:5" ht="18.95" customHeight="1">
      <c r="A24" s="2979">
        <v>22</v>
      </c>
      <c r="B24" s="2979" t="s">
        <v>3061</v>
      </c>
      <c r="C24" s="2979">
        <v>701</v>
      </c>
      <c r="D24" s="2980">
        <v>55.46</v>
      </c>
      <c r="E24" s="2979" t="s">
        <v>3062</v>
      </c>
    </row>
    <row r="25" spans="1:5" ht="18.95" customHeight="1">
      <c r="A25" s="2979">
        <v>23</v>
      </c>
      <c r="B25" s="2979" t="s">
        <v>3061</v>
      </c>
      <c r="C25" s="2979">
        <v>702</v>
      </c>
      <c r="D25" s="2980">
        <v>53.04</v>
      </c>
      <c r="E25" s="2979" t="s">
        <v>3062</v>
      </c>
    </row>
    <row r="26" spans="1:5" ht="18.95" customHeight="1">
      <c r="A26" s="2979">
        <v>24</v>
      </c>
      <c r="B26" s="2979" t="s">
        <v>3061</v>
      </c>
      <c r="C26" s="2979">
        <v>703</v>
      </c>
      <c r="D26" s="2980">
        <v>63.92</v>
      </c>
      <c r="E26" s="2979" t="s">
        <v>3062</v>
      </c>
    </row>
    <row r="27" spans="1:5" ht="18.95" customHeight="1">
      <c r="A27" s="2979">
        <v>25</v>
      </c>
      <c r="B27" s="2979" t="s">
        <v>3061</v>
      </c>
      <c r="C27" s="2979">
        <v>705</v>
      </c>
      <c r="D27" s="2980">
        <v>63.71</v>
      </c>
      <c r="E27" s="2979" t="s">
        <v>3062</v>
      </c>
    </row>
    <row r="28" spans="1:5" ht="18.95" customHeight="1">
      <c r="A28" s="2979">
        <v>26</v>
      </c>
      <c r="B28" s="2979" t="s">
        <v>3061</v>
      </c>
      <c r="C28" s="2979">
        <v>706</v>
      </c>
      <c r="D28" s="2980">
        <v>64.39</v>
      </c>
      <c r="E28" s="2979" t="s">
        <v>3062</v>
      </c>
    </row>
    <row r="29" spans="1:5" ht="18.95" customHeight="1">
      <c r="A29" s="2979">
        <v>27</v>
      </c>
      <c r="B29" s="2979" t="s">
        <v>3061</v>
      </c>
      <c r="C29" s="2979">
        <v>707</v>
      </c>
      <c r="D29" s="2980">
        <v>102.3</v>
      </c>
      <c r="E29" s="2979" t="s">
        <v>3062</v>
      </c>
    </row>
    <row r="30" spans="1:5" ht="18.95" customHeight="1">
      <c r="A30" s="2979">
        <v>28</v>
      </c>
      <c r="B30" s="2979" t="s">
        <v>3061</v>
      </c>
      <c r="C30" s="2979">
        <v>708</v>
      </c>
      <c r="D30" s="2980">
        <v>62.25</v>
      </c>
      <c r="E30" s="2979" t="s">
        <v>3062</v>
      </c>
    </row>
    <row r="31" spans="1:5" ht="18.95" customHeight="1">
      <c r="A31" s="2979">
        <v>29</v>
      </c>
      <c r="B31" s="2979" t="s">
        <v>3061</v>
      </c>
      <c r="C31" s="2979">
        <v>801</v>
      </c>
      <c r="D31" s="2980">
        <v>55.46</v>
      </c>
      <c r="E31" s="2979" t="s">
        <v>3062</v>
      </c>
    </row>
    <row r="32" spans="1:5" ht="18.95" customHeight="1">
      <c r="A32" s="2979">
        <v>30</v>
      </c>
      <c r="B32" s="2979" t="s">
        <v>3061</v>
      </c>
      <c r="C32" s="2979">
        <v>802</v>
      </c>
      <c r="D32" s="2980">
        <v>53.04</v>
      </c>
      <c r="E32" s="2979" t="s">
        <v>3062</v>
      </c>
    </row>
    <row r="33" spans="1:5" ht="18.95" customHeight="1">
      <c r="A33" s="2979">
        <v>31</v>
      </c>
      <c r="B33" s="2979" t="s">
        <v>3061</v>
      </c>
      <c r="C33" s="2979">
        <v>803</v>
      </c>
      <c r="D33" s="2980">
        <v>63.92</v>
      </c>
      <c r="E33" s="2979" t="s">
        <v>3062</v>
      </c>
    </row>
    <row r="34" spans="1:5" ht="18.95" customHeight="1">
      <c r="A34" s="2979">
        <v>32</v>
      </c>
      <c r="B34" s="2979" t="s">
        <v>3061</v>
      </c>
      <c r="C34" s="2979">
        <v>805</v>
      </c>
      <c r="D34" s="2980">
        <v>63.71</v>
      </c>
      <c r="E34" s="2979" t="s">
        <v>3062</v>
      </c>
    </row>
    <row r="35" spans="1:5" ht="18.95" customHeight="1">
      <c r="A35" s="2979">
        <v>33</v>
      </c>
      <c r="B35" s="2979" t="s">
        <v>3061</v>
      </c>
      <c r="C35" s="2979">
        <v>806</v>
      </c>
      <c r="D35" s="2980">
        <v>64.39</v>
      </c>
      <c r="E35" s="2979" t="s">
        <v>3062</v>
      </c>
    </row>
    <row r="36" spans="1:5" ht="18.95" customHeight="1">
      <c r="A36" s="2979">
        <v>34</v>
      </c>
      <c r="B36" s="2979" t="s">
        <v>3061</v>
      </c>
      <c r="C36" s="2979">
        <v>807</v>
      </c>
      <c r="D36" s="2980">
        <v>102.3</v>
      </c>
      <c r="E36" s="2979" t="s">
        <v>3062</v>
      </c>
    </row>
    <row r="37" spans="1:5" ht="18.95" customHeight="1">
      <c r="A37" s="2979">
        <v>35</v>
      </c>
      <c r="B37" s="2979" t="s">
        <v>3061</v>
      </c>
      <c r="C37" s="2979">
        <v>808</v>
      </c>
      <c r="D37" s="2980">
        <v>62.25</v>
      </c>
      <c r="E37" s="2979" t="s">
        <v>3062</v>
      </c>
    </row>
    <row r="38" spans="1:5" ht="18.95" customHeight="1">
      <c r="A38" s="2979">
        <v>36</v>
      </c>
      <c r="B38" s="2979" t="s">
        <v>3061</v>
      </c>
      <c r="C38" s="2979">
        <v>901</v>
      </c>
      <c r="D38" s="2980">
        <v>55.46</v>
      </c>
      <c r="E38" s="2979" t="s">
        <v>3062</v>
      </c>
    </row>
    <row r="39" spans="1:5" ht="18.95" customHeight="1">
      <c r="A39" s="2979">
        <v>37</v>
      </c>
      <c r="B39" s="2979" t="s">
        <v>3061</v>
      </c>
      <c r="C39" s="2979">
        <v>902</v>
      </c>
      <c r="D39" s="2980">
        <v>53.04</v>
      </c>
      <c r="E39" s="2979" t="s">
        <v>3062</v>
      </c>
    </row>
    <row r="40" spans="1:5" ht="18.95" customHeight="1">
      <c r="A40" s="2979">
        <v>38</v>
      </c>
      <c r="B40" s="2979" t="s">
        <v>3061</v>
      </c>
      <c r="C40" s="2979">
        <v>903</v>
      </c>
      <c r="D40" s="2980">
        <v>63.92</v>
      </c>
      <c r="E40" s="2979" t="s">
        <v>3062</v>
      </c>
    </row>
    <row r="41" spans="1:5" ht="18.95" customHeight="1">
      <c r="A41" s="2979">
        <v>39</v>
      </c>
      <c r="B41" s="2979" t="s">
        <v>3061</v>
      </c>
      <c r="C41" s="2979">
        <v>905</v>
      </c>
      <c r="D41" s="2980">
        <v>63.71</v>
      </c>
      <c r="E41" s="2979" t="s">
        <v>3062</v>
      </c>
    </row>
    <row r="42" spans="1:5" ht="18.95" customHeight="1">
      <c r="A42" s="2979">
        <v>40</v>
      </c>
      <c r="B42" s="2979" t="s">
        <v>3061</v>
      </c>
      <c r="C42" s="2979">
        <v>906</v>
      </c>
      <c r="D42" s="2980">
        <v>64.39</v>
      </c>
      <c r="E42" s="2979" t="s">
        <v>3062</v>
      </c>
    </row>
    <row r="43" spans="1:5" ht="18.95" customHeight="1">
      <c r="A43" s="2979">
        <v>41</v>
      </c>
      <c r="B43" s="2979" t="s">
        <v>3061</v>
      </c>
      <c r="C43" s="2979">
        <v>907</v>
      </c>
      <c r="D43" s="2980">
        <v>102.3</v>
      </c>
      <c r="E43" s="2979" t="s">
        <v>3062</v>
      </c>
    </row>
    <row r="44" spans="1:5" ht="18.95" customHeight="1">
      <c r="A44" s="2979">
        <v>42</v>
      </c>
      <c r="B44" s="2979" t="s">
        <v>3061</v>
      </c>
      <c r="C44" s="2979">
        <v>908</v>
      </c>
      <c r="D44" s="2980">
        <v>62.25</v>
      </c>
      <c r="E44" s="2979" t="s">
        <v>3062</v>
      </c>
    </row>
    <row r="45" spans="1:5" ht="18.95" customHeight="1">
      <c r="A45" s="2979">
        <v>43</v>
      </c>
      <c r="B45" s="2979" t="s">
        <v>3061</v>
      </c>
      <c r="C45" s="2979">
        <v>1001</v>
      </c>
      <c r="D45" s="2980">
        <v>55.46</v>
      </c>
      <c r="E45" s="2979" t="s">
        <v>3062</v>
      </c>
    </row>
    <row r="46" spans="1:5" ht="18.95" customHeight="1">
      <c r="A46" s="2979">
        <v>44</v>
      </c>
      <c r="B46" s="2979" t="s">
        <v>3061</v>
      </c>
      <c r="C46" s="2979">
        <v>1002</v>
      </c>
      <c r="D46" s="2980">
        <v>53.04</v>
      </c>
      <c r="E46" s="2979" t="s">
        <v>3062</v>
      </c>
    </row>
    <row r="47" spans="1:5" ht="18.95" customHeight="1">
      <c r="A47" s="2979">
        <v>45</v>
      </c>
      <c r="B47" s="2979" t="s">
        <v>3061</v>
      </c>
      <c r="C47" s="2979">
        <v>1003</v>
      </c>
      <c r="D47" s="2980">
        <v>63.92</v>
      </c>
      <c r="E47" s="2979" t="s">
        <v>3062</v>
      </c>
    </row>
    <row r="48" spans="1:5" ht="18.95" customHeight="1">
      <c r="A48" s="2979">
        <v>46</v>
      </c>
      <c r="B48" s="2979" t="s">
        <v>3061</v>
      </c>
      <c r="C48" s="2979">
        <v>1005</v>
      </c>
      <c r="D48" s="2980">
        <v>63.71</v>
      </c>
      <c r="E48" s="2979" t="s">
        <v>3062</v>
      </c>
    </row>
    <row r="49" spans="1:5" ht="18.95" customHeight="1">
      <c r="A49" s="2979">
        <v>47</v>
      </c>
      <c r="B49" s="2979" t="s">
        <v>3061</v>
      </c>
      <c r="C49" s="2979">
        <v>1006</v>
      </c>
      <c r="D49" s="2980">
        <v>64.39</v>
      </c>
      <c r="E49" s="2979" t="s">
        <v>3062</v>
      </c>
    </row>
    <row r="50" spans="1:5" ht="18.95" customHeight="1">
      <c r="A50" s="2979">
        <v>48</v>
      </c>
      <c r="B50" s="2979" t="s">
        <v>3061</v>
      </c>
      <c r="C50" s="2979">
        <v>1007</v>
      </c>
      <c r="D50" s="2980">
        <v>102.3</v>
      </c>
      <c r="E50" s="2979" t="s">
        <v>3062</v>
      </c>
    </row>
    <row r="51" spans="1:5" ht="18.95" customHeight="1">
      <c r="A51" s="2979">
        <v>49</v>
      </c>
      <c r="B51" s="2979" t="s">
        <v>3061</v>
      </c>
      <c r="C51" s="2979">
        <v>1008</v>
      </c>
      <c r="D51" s="2980">
        <v>62.25</v>
      </c>
      <c r="E51" s="2979" t="s">
        <v>3062</v>
      </c>
    </row>
    <row r="52" spans="1:5" ht="18.95" customHeight="1">
      <c r="A52" s="2979">
        <v>50</v>
      </c>
      <c r="B52" s="2979" t="s">
        <v>3061</v>
      </c>
      <c r="C52" s="2979">
        <v>1101</v>
      </c>
      <c r="D52" s="2980">
        <v>55.46</v>
      </c>
      <c r="E52" s="2979" t="s">
        <v>3062</v>
      </c>
    </row>
    <row r="53" spans="1:5" ht="18.95" customHeight="1">
      <c r="A53" s="2979">
        <v>51</v>
      </c>
      <c r="B53" s="2979" t="s">
        <v>3061</v>
      </c>
      <c r="C53" s="2979">
        <v>1102</v>
      </c>
      <c r="D53" s="2980">
        <v>53.04</v>
      </c>
      <c r="E53" s="2979" t="s">
        <v>3062</v>
      </c>
    </row>
    <row r="54" spans="1:5" ht="18.95" customHeight="1">
      <c r="A54" s="2979">
        <v>52</v>
      </c>
      <c r="B54" s="2979" t="s">
        <v>3061</v>
      </c>
      <c r="C54" s="2979">
        <v>1103</v>
      </c>
      <c r="D54" s="2980">
        <v>63.92</v>
      </c>
      <c r="E54" s="2979" t="s">
        <v>3062</v>
      </c>
    </row>
    <row r="55" spans="1:5" ht="18.95" customHeight="1">
      <c r="A55" s="2979">
        <v>53</v>
      </c>
      <c r="B55" s="2979" t="s">
        <v>3061</v>
      </c>
      <c r="C55" s="2979">
        <v>1105</v>
      </c>
      <c r="D55" s="2980">
        <v>63.71</v>
      </c>
      <c r="E55" s="2979" t="s">
        <v>3062</v>
      </c>
    </row>
    <row r="56" spans="1:5" ht="18.95" customHeight="1">
      <c r="A56" s="2979">
        <v>54</v>
      </c>
      <c r="B56" s="2979" t="s">
        <v>3061</v>
      </c>
      <c r="C56" s="2979">
        <v>1106</v>
      </c>
      <c r="D56" s="2980">
        <v>64.39</v>
      </c>
      <c r="E56" s="2979" t="s">
        <v>3062</v>
      </c>
    </row>
    <row r="57" spans="1:5" ht="18.95" customHeight="1">
      <c r="A57" s="2979">
        <v>55</v>
      </c>
      <c r="B57" s="2979" t="s">
        <v>3061</v>
      </c>
      <c r="C57" s="2979">
        <v>1107</v>
      </c>
      <c r="D57" s="2980">
        <v>102.3</v>
      </c>
      <c r="E57" s="2979" t="s">
        <v>3062</v>
      </c>
    </row>
    <row r="58" spans="1:5" ht="18.95" customHeight="1">
      <c r="A58" s="2979">
        <v>56</v>
      </c>
      <c r="B58" s="2979" t="s">
        <v>3061</v>
      </c>
      <c r="C58" s="2979">
        <v>1108</v>
      </c>
      <c r="D58" s="2980">
        <v>62.25</v>
      </c>
      <c r="E58" s="2979" t="s">
        <v>3062</v>
      </c>
    </row>
    <row r="59" spans="1:5" ht="18.95" customHeight="1">
      <c r="A59" s="2979">
        <v>57</v>
      </c>
      <c r="B59" s="2979" t="s">
        <v>3061</v>
      </c>
      <c r="C59" s="2979">
        <v>1201</v>
      </c>
      <c r="D59" s="2980">
        <v>55.46</v>
      </c>
      <c r="E59" s="2979" t="s">
        <v>3062</v>
      </c>
    </row>
    <row r="60" spans="1:5" ht="18.95" customHeight="1">
      <c r="A60" s="2979">
        <v>58</v>
      </c>
      <c r="B60" s="2979" t="s">
        <v>3061</v>
      </c>
      <c r="C60" s="2979">
        <v>1202</v>
      </c>
      <c r="D60" s="2980">
        <v>53.04</v>
      </c>
      <c r="E60" s="2979" t="s">
        <v>3062</v>
      </c>
    </row>
    <row r="61" spans="1:5" ht="18.95" customHeight="1">
      <c r="A61" s="2979">
        <v>59</v>
      </c>
      <c r="B61" s="2979" t="s">
        <v>3061</v>
      </c>
      <c r="C61" s="2979">
        <v>1203</v>
      </c>
      <c r="D61" s="2980">
        <v>63.92</v>
      </c>
      <c r="E61" s="2979" t="s">
        <v>3062</v>
      </c>
    </row>
    <row r="62" spans="1:5" ht="18.95" customHeight="1">
      <c r="A62" s="2979">
        <v>60</v>
      </c>
      <c r="B62" s="2979" t="s">
        <v>3061</v>
      </c>
      <c r="C62" s="2979">
        <v>1205</v>
      </c>
      <c r="D62" s="2980">
        <v>63.71</v>
      </c>
      <c r="E62" s="2979" t="s">
        <v>3062</v>
      </c>
    </row>
    <row r="63" spans="1:5" ht="18.95" customHeight="1">
      <c r="A63" s="2979">
        <v>61</v>
      </c>
      <c r="B63" s="2979" t="s">
        <v>3061</v>
      </c>
      <c r="C63" s="2979">
        <v>1206</v>
      </c>
      <c r="D63" s="2980">
        <v>64.39</v>
      </c>
      <c r="E63" s="2979" t="s">
        <v>3062</v>
      </c>
    </row>
    <row r="64" spans="1:5" ht="18.95" customHeight="1">
      <c r="A64" s="2979">
        <v>62</v>
      </c>
      <c r="B64" s="2979" t="s">
        <v>3061</v>
      </c>
      <c r="C64" s="2979">
        <v>1207</v>
      </c>
      <c r="D64" s="2980">
        <v>102.3</v>
      </c>
      <c r="E64" s="2979" t="s">
        <v>3062</v>
      </c>
    </row>
    <row r="65" spans="1:5" ht="18.95" customHeight="1">
      <c r="A65" s="2979">
        <v>63</v>
      </c>
      <c r="B65" s="2979" t="s">
        <v>3061</v>
      </c>
      <c r="C65" s="2979">
        <v>1208</v>
      </c>
      <c r="D65" s="2980">
        <v>62.25</v>
      </c>
      <c r="E65" s="2979" t="s">
        <v>3062</v>
      </c>
    </row>
    <row r="66" spans="1:5" ht="18.95" customHeight="1">
      <c r="A66" s="2979">
        <v>64</v>
      </c>
      <c r="B66" s="2979" t="s">
        <v>3061</v>
      </c>
      <c r="C66" s="2979">
        <v>1301</v>
      </c>
      <c r="D66" s="2980">
        <v>55.46</v>
      </c>
      <c r="E66" s="2979" t="s">
        <v>3062</v>
      </c>
    </row>
    <row r="67" spans="1:5" ht="18.95" customHeight="1">
      <c r="A67" s="2979">
        <v>65</v>
      </c>
      <c r="B67" s="2979" t="s">
        <v>3061</v>
      </c>
      <c r="C67" s="2979">
        <v>1302</v>
      </c>
      <c r="D67" s="2980">
        <v>53.04</v>
      </c>
      <c r="E67" s="2979" t="s">
        <v>3062</v>
      </c>
    </row>
    <row r="68" spans="1:5" ht="18.95" customHeight="1">
      <c r="A68" s="2979">
        <v>66</v>
      </c>
      <c r="B68" s="2979" t="s">
        <v>3061</v>
      </c>
      <c r="C68" s="2979">
        <v>1303</v>
      </c>
      <c r="D68" s="2980">
        <v>63.92</v>
      </c>
      <c r="E68" s="2979" t="s">
        <v>3062</v>
      </c>
    </row>
    <row r="69" spans="1:5" ht="18.95" customHeight="1">
      <c r="A69" s="2979">
        <v>67</v>
      </c>
      <c r="B69" s="2979" t="s">
        <v>3061</v>
      </c>
      <c r="C69" s="2979">
        <v>1305</v>
      </c>
      <c r="D69" s="2980">
        <v>63.71</v>
      </c>
      <c r="E69" s="2979" t="s">
        <v>3062</v>
      </c>
    </row>
    <row r="70" spans="1:5" ht="18.95" customHeight="1">
      <c r="A70" s="2979">
        <v>68</v>
      </c>
      <c r="B70" s="2979" t="s">
        <v>3061</v>
      </c>
      <c r="C70" s="2979">
        <v>1306</v>
      </c>
      <c r="D70" s="2980">
        <v>64.39</v>
      </c>
      <c r="E70" s="2979" t="s">
        <v>3062</v>
      </c>
    </row>
    <row r="71" spans="1:5" ht="18.95" customHeight="1">
      <c r="A71" s="2979">
        <v>69</v>
      </c>
      <c r="B71" s="2979" t="s">
        <v>3061</v>
      </c>
      <c r="C71" s="2979">
        <v>1307</v>
      </c>
      <c r="D71" s="2980">
        <v>102.3</v>
      </c>
      <c r="E71" s="2979" t="s">
        <v>3062</v>
      </c>
    </row>
    <row r="72" spans="1:5" ht="18.95" customHeight="1">
      <c r="A72" s="2979">
        <v>70</v>
      </c>
      <c r="B72" s="2979" t="s">
        <v>3061</v>
      </c>
      <c r="C72" s="2979">
        <v>1308</v>
      </c>
      <c r="D72" s="2980">
        <v>62.25</v>
      </c>
      <c r="E72" s="2979" t="s">
        <v>3062</v>
      </c>
    </row>
    <row r="73" spans="1:5" ht="18.95" customHeight="1">
      <c r="A73" s="2979">
        <v>71</v>
      </c>
      <c r="B73" s="2979" t="s">
        <v>3061</v>
      </c>
      <c r="C73" s="2979">
        <v>1501</v>
      </c>
      <c r="D73" s="2980">
        <v>55.46</v>
      </c>
      <c r="E73" s="2979" t="s">
        <v>3062</v>
      </c>
    </row>
    <row r="74" spans="1:5" ht="18.95" customHeight="1">
      <c r="A74" s="2979">
        <v>72</v>
      </c>
      <c r="B74" s="2979" t="s">
        <v>3061</v>
      </c>
      <c r="C74" s="2979">
        <v>1502</v>
      </c>
      <c r="D74" s="2980">
        <v>53.04</v>
      </c>
      <c r="E74" s="2979" t="s">
        <v>3062</v>
      </c>
    </row>
    <row r="75" spans="1:5" ht="18.95" customHeight="1">
      <c r="A75" s="2979">
        <v>73</v>
      </c>
      <c r="B75" s="2979" t="s">
        <v>3061</v>
      </c>
      <c r="C75" s="2979">
        <v>1503</v>
      </c>
      <c r="D75" s="2980">
        <v>63.92</v>
      </c>
      <c r="E75" s="2979" t="s">
        <v>3062</v>
      </c>
    </row>
    <row r="76" spans="1:5" ht="18.95" customHeight="1">
      <c r="A76" s="2979">
        <v>74</v>
      </c>
      <c r="B76" s="2979" t="s">
        <v>3061</v>
      </c>
      <c r="C76" s="2979">
        <v>1505</v>
      </c>
      <c r="D76" s="2980">
        <v>63.71</v>
      </c>
      <c r="E76" s="2979" t="s">
        <v>3062</v>
      </c>
    </row>
    <row r="77" spans="1:5" ht="18.95" customHeight="1">
      <c r="A77" s="2979">
        <v>75</v>
      </c>
      <c r="B77" s="2979" t="s">
        <v>3061</v>
      </c>
      <c r="C77" s="2979">
        <v>1506</v>
      </c>
      <c r="D77" s="2980">
        <v>64.39</v>
      </c>
      <c r="E77" s="2979" t="s">
        <v>3062</v>
      </c>
    </row>
    <row r="78" spans="1:5" ht="18.95" customHeight="1">
      <c r="A78" s="2979">
        <v>76</v>
      </c>
      <c r="B78" s="2979" t="s">
        <v>3061</v>
      </c>
      <c r="C78" s="2979">
        <v>1507</v>
      </c>
      <c r="D78" s="2980">
        <v>102.3</v>
      </c>
      <c r="E78" s="2979" t="s">
        <v>3062</v>
      </c>
    </row>
    <row r="79" spans="1:5" ht="18.95" customHeight="1">
      <c r="A79" s="2979">
        <v>77</v>
      </c>
      <c r="B79" s="2979" t="s">
        <v>3061</v>
      </c>
      <c r="C79" s="2979">
        <v>1508</v>
      </c>
      <c r="D79" s="2980">
        <v>62.25</v>
      </c>
      <c r="E79" s="2979" t="s">
        <v>3062</v>
      </c>
    </row>
    <row r="80" spans="1:5" ht="18.95" customHeight="1">
      <c r="A80" s="2979">
        <v>78</v>
      </c>
      <c r="B80" s="2979" t="s">
        <v>3061</v>
      </c>
      <c r="C80" s="2979">
        <v>1601</v>
      </c>
      <c r="D80" s="2980">
        <v>55.46</v>
      </c>
      <c r="E80" s="2979" t="s">
        <v>3062</v>
      </c>
    </row>
    <row r="81" spans="1:5" ht="18.95" customHeight="1">
      <c r="A81" s="2979">
        <v>79</v>
      </c>
      <c r="B81" s="2979" t="s">
        <v>3061</v>
      </c>
      <c r="C81" s="2979">
        <v>1602</v>
      </c>
      <c r="D81" s="2980">
        <v>53.04</v>
      </c>
      <c r="E81" s="2979" t="s">
        <v>3062</v>
      </c>
    </row>
    <row r="82" spans="1:5" ht="18.95" customHeight="1">
      <c r="A82" s="2979">
        <v>80</v>
      </c>
      <c r="B82" s="2979" t="s">
        <v>3061</v>
      </c>
      <c r="C82" s="2979">
        <v>1603</v>
      </c>
      <c r="D82" s="2980">
        <v>63.92</v>
      </c>
      <c r="E82" s="2979" t="s">
        <v>3062</v>
      </c>
    </row>
    <row r="83" spans="1:5" ht="18.95" customHeight="1">
      <c r="A83" s="2979">
        <v>81</v>
      </c>
      <c r="B83" s="2979" t="s">
        <v>3061</v>
      </c>
      <c r="C83" s="2979">
        <v>1605</v>
      </c>
      <c r="D83" s="2980">
        <v>63.71</v>
      </c>
      <c r="E83" s="2979" t="s">
        <v>3062</v>
      </c>
    </row>
    <row r="84" spans="1:5" ht="18.95" customHeight="1">
      <c r="A84" s="2979">
        <v>82</v>
      </c>
      <c r="B84" s="2979" t="s">
        <v>3061</v>
      </c>
      <c r="C84" s="2979">
        <v>1606</v>
      </c>
      <c r="D84" s="2980">
        <v>64.39</v>
      </c>
      <c r="E84" s="2979" t="s">
        <v>3062</v>
      </c>
    </row>
    <row r="85" spans="1:5" ht="18.95" customHeight="1">
      <c r="A85" s="2979">
        <v>83</v>
      </c>
      <c r="B85" s="2979" t="s">
        <v>3061</v>
      </c>
      <c r="C85" s="2979">
        <v>1607</v>
      </c>
      <c r="D85" s="2980">
        <v>102.3</v>
      </c>
      <c r="E85" s="2979" t="s">
        <v>3062</v>
      </c>
    </row>
    <row r="86" spans="1:5" ht="18.95" customHeight="1">
      <c r="A86" s="2979">
        <v>84</v>
      </c>
      <c r="B86" s="2979" t="s">
        <v>3061</v>
      </c>
      <c r="C86" s="2979">
        <v>1608</v>
      </c>
      <c r="D86" s="2980">
        <v>62.25</v>
      </c>
      <c r="E86" s="2979" t="s">
        <v>3062</v>
      </c>
    </row>
    <row r="87" spans="1:5" ht="18.95" customHeight="1">
      <c r="A87" s="2979">
        <v>85</v>
      </c>
      <c r="B87" s="2979" t="s">
        <v>3061</v>
      </c>
      <c r="C87" s="2979">
        <v>1701</v>
      </c>
      <c r="D87" s="2980">
        <v>55.46</v>
      </c>
      <c r="E87" s="2979" t="s">
        <v>3062</v>
      </c>
    </row>
    <row r="88" spans="1:5" ht="18.95" customHeight="1">
      <c r="A88" s="2979">
        <v>86</v>
      </c>
      <c r="B88" s="2979" t="s">
        <v>3061</v>
      </c>
      <c r="C88" s="2979">
        <v>1702</v>
      </c>
      <c r="D88" s="2980">
        <v>53.04</v>
      </c>
      <c r="E88" s="2979" t="s">
        <v>3062</v>
      </c>
    </row>
    <row r="89" spans="1:5" ht="18.95" customHeight="1">
      <c r="A89" s="2979">
        <v>87</v>
      </c>
      <c r="B89" s="2979" t="s">
        <v>3061</v>
      </c>
      <c r="C89" s="2979">
        <v>1703</v>
      </c>
      <c r="D89" s="2980">
        <v>63.92</v>
      </c>
      <c r="E89" s="2979" t="s">
        <v>3062</v>
      </c>
    </row>
    <row r="90" spans="1:5" ht="18.95" customHeight="1">
      <c r="A90" s="2979">
        <v>88</v>
      </c>
      <c r="B90" s="2979" t="s">
        <v>3061</v>
      </c>
      <c r="C90" s="2979">
        <v>1705</v>
      </c>
      <c r="D90" s="2980">
        <v>63.71</v>
      </c>
      <c r="E90" s="2979" t="s">
        <v>3062</v>
      </c>
    </row>
    <row r="91" spans="1:5" ht="18.95" customHeight="1">
      <c r="A91" s="2979">
        <v>89</v>
      </c>
      <c r="B91" s="2979" t="s">
        <v>3061</v>
      </c>
      <c r="C91" s="2979">
        <v>1706</v>
      </c>
      <c r="D91" s="2980">
        <v>64.39</v>
      </c>
      <c r="E91" s="2979" t="s">
        <v>3062</v>
      </c>
    </row>
    <row r="92" spans="1:5" ht="18.95" customHeight="1">
      <c r="A92" s="2979">
        <v>90</v>
      </c>
      <c r="B92" s="2979" t="s">
        <v>3061</v>
      </c>
      <c r="C92" s="2979">
        <v>1707</v>
      </c>
      <c r="D92" s="2980">
        <v>102.3</v>
      </c>
      <c r="E92" s="2979" t="s">
        <v>3062</v>
      </c>
    </row>
    <row r="93" spans="1:5" ht="18.95" customHeight="1">
      <c r="A93" s="2979">
        <v>91</v>
      </c>
      <c r="B93" s="2979" t="s">
        <v>3061</v>
      </c>
      <c r="C93" s="2979">
        <v>1708</v>
      </c>
      <c r="D93" s="2980">
        <v>62.25</v>
      </c>
      <c r="E93" s="2979" t="s">
        <v>3062</v>
      </c>
    </row>
    <row r="94" spans="1:5" ht="18.95" customHeight="1">
      <c r="A94" s="2979">
        <v>92</v>
      </c>
      <c r="B94" s="2979" t="s">
        <v>3061</v>
      </c>
      <c r="C94" s="2979">
        <v>1801</v>
      </c>
      <c r="D94" s="2980">
        <v>55.46</v>
      </c>
      <c r="E94" s="2979" t="s">
        <v>3062</v>
      </c>
    </row>
    <row r="95" spans="1:5" ht="18.95" customHeight="1">
      <c r="A95" s="2979">
        <v>93</v>
      </c>
      <c r="B95" s="2979" t="s">
        <v>3061</v>
      </c>
      <c r="C95" s="2979">
        <v>1802</v>
      </c>
      <c r="D95" s="2980">
        <v>53.04</v>
      </c>
      <c r="E95" s="2979" t="s">
        <v>3062</v>
      </c>
    </row>
    <row r="96" spans="1:5" ht="18.95" customHeight="1">
      <c r="A96" s="2979">
        <v>94</v>
      </c>
      <c r="B96" s="2979" t="s">
        <v>3061</v>
      </c>
      <c r="C96" s="2979">
        <v>1803</v>
      </c>
      <c r="D96" s="2980">
        <v>63.92</v>
      </c>
      <c r="E96" s="2979" t="s">
        <v>3062</v>
      </c>
    </row>
    <row r="97" spans="1:5" ht="18.95" customHeight="1">
      <c r="A97" s="2979">
        <v>95</v>
      </c>
      <c r="B97" s="2979" t="s">
        <v>3061</v>
      </c>
      <c r="C97" s="2979">
        <v>1805</v>
      </c>
      <c r="D97" s="2980">
        <v>63.71</v>
      </c>
      <c r="E97" s="2979" t="s">
        <v>3062</v>
      </c>
    </row>
    <row r="98" spans="1:5" ht="18.95" customHeight="1">
      <c r="A98" s="2979">
        <v>96</v>
      </c>
      <c r="B98" s="2979" t="s">
        <v>3061</v>
      </c>
      <c r="C98" s="2979">
        <v>1806</v>
      </c>
      <c r="D98" s="2980">
        <v>64.39</v>
      </c>
      <c r="E98" s="2979" t="s">
        <v>3062</v>
      </c>
    </row>
    <row r="99" spans="1:5" ht="18.95" customHeight="1">
      <c r="A99" s="2979">
        <v>97</v>
      </c>
      <c r="B99" s="2979" t="s">
        <v>3061</v>
      </c>
      <c r="C99" s="2979">
        <v>1807</v>
      </c>
      <c r="D99" s="2980">
        <v>102.3</v>
      </c>
      <c r="E99" s="2979" t="s">
        <v>3062</v>
      </c>
    </row>
    <row r="100" spans="1:5" ht="18.95" customHeight="1">
      <c r="A100" s="2979">
        <v>98</v>
      </c>
      <c r="B100" s="2979" t="s">
        <v>3061</v>
      </c>
      <c r="C100" s="2979">
        <v>1808</v>
      </c>
      <c r="D100" s="2980">
        <v>62.25</v>
      </c>
      <c r="E100" s="2979" t="s">
        <v>3062</v>
      </c>
    </row>
    <row r="101" spans="1:5" ht="18.95" customHeight="1">
      <c r="A101" s="2979">
        <v>99</v>
      </c>
      <c r="B101" s="2979" t="s">
        <v>3061</v>
      </c>
      <c r="C101" s="2979">
        <v>1901</v>
      </c>
      <c r="D101" s="2980">
        <v>55.46</v>
      </c>
      <c r="E101" s="2979" t="s">
        <v>3062</v>
      </c>
    </row>
    <row r="102" spans="1:5" ht="18.95" customHeight="1">
      <c r="A102" s="2979">
        <v>100</v>
      </c>
      <c r="B102" s="2979" t="s">
        <v>3061</v>
      </c>
      <c r="C102" s="2979">
        <v>1902</v>
      </c>
      <c r="D102" s="2980">
        <v>53.04</v>
      </c>
      <c r="E102" s="2979" t="s">
        <v>3062</v>
      </c>
    </row>
    <row r="103" spans="1:5" ht="18.95" customHeight="1">
      <c r="A103" s="2979">
        <v>101</v>
      </c>
      <c r="B103" s="2979" t="s">
        <v>3061</v>
      </c>
      <c r="C103" s="2979">
        <v>1903</v>
      </c>
      <c r="D103" s="2980">
        <v>63.92</v>
      </c>
      <c r="E103" s="2979" t="s">
        <v>3062</v>
      </c>
    </row>
    <row r="104" spans="1:5" ht="18.95" customHeight="1">
      <c r="A104" s="2979">
        <v>102</v>
      </c>
      <c r="B104" s="2979" t="s">
        <v>3061</v>
      </c>
      <c r="C104" s="2979">
        <v>1905</v>
      </c>
      <c r="D104" s="2980">
        <v>63.71</v>
      </c>
      <c r="E104" s="2979" t="s">
        <v>3062</v>
      </c>
    </row>
    <row r="105" spans="1:5" ht="18.95" customHeight="1">
      <c r="A105" s="2979">
        <v>103</v>
      </c>
      <c r="B105" s="2979" t="s">
        <v>3061</v>
      </c>
      <c r="C105" s="2979">
        <v>1906</v>
      </c>
      <c r="D105" s="2980">
        <v>64.39</v>
      </c>
      <c r="E105" s="2979" t="s">
        <v>3062</v>
      </c>
    </row>
    <row r="106" spans="1:5" ht="18.95" customHeight="1">
      <c r="A106" s="2979">
        <v>104</v>
      </c>
      <c r="B106" s="2979" t="s">
        <v>3061</v>
      </c>
      <c r="C106" s="2979">
        <v>1907</v>
      </c>
      <c r="D106" s="2980">
        <v>102.3</v>
      </c>
      <c r="E106" s="2979" t="s">
        <v>3062</v>
      </c>
    </row>
    <row r="107" spans="1:5" ht="18.95" customHeight="1">
      <c r="A107" s="2979">
        <v>105</v>
      </c>
      <c r="B107" s="2979" t="s">
        <v>3061</v>
      </c>
      <c r="C107" s="2979">
        <v>1908</v>
      </c>
      <c r="D107" s="2980">
        <v>62.25</v>
      </c>
      <c r="E107" s="2979" t="s">
        <v>3062</v>
      </c>
    </row>
    <row r="108" spans="1:5" ht="18.95" customHeight="1">
      <c r="A108" s="2979">
        <v>106</v>
      </c>
      <c r="B108" s="2979" t="s">
        <v>3061</v>
      </c>
      <c r="C108" s="2979">
        <v>2001</v>
      </c>
      <c r="D108" s="2980">
        <v>55.46</v>
      </c>
      <c r="E108" s="2979" t="s">
        <v>3062</v>
      </c>
    </row>
    <row r="109" spans="1:5" ht="18.95" customHeight="1">
      <c r="A109" s="2979">
        <v>107</v>
      </c>
      <c r="B109" s="2979" t="s">
        <v>3061</v>
      </c>
      <c r="C109" s="2979">
        <v>2002</v>
      </c>
      <c r="D109" s="2980">
        <v>53.04</v>
      </c>
      <c r="E109" s="2979" t="s">
        <v>3062</v>
      </c>
    </row>
    <row r="110" spans="1:5" ht="18.95" customHeight="1">
      <c r="A110" s="2979">
        <v>108</v>
      </c>
      <c r="B110" s="2979" t="s">
        <v>3061</v>
      </c>
      <c r="C110" s="2979">
        <v>2003</v>
      </c>
      <c r="D110" s="2980">
        <v>63.92</v>
      </c>
      <c r="E110" s="2979" t="s">
        <v>3062</v>
      </c>
    </row>
    <row r="111" spans="1:5" ht="18.95" customHeight="1">
      <c r="A111" s="2979">
        <v>109</v>
      </c>
      <c r="B111" s="2979" t="s">
        <v>3061</v>
      </c>
      <c r="C111" s="2979">
        <v>2005</v>
      </c>
      <c r="D111" s="2980">
        <v>63.71</v>
      </c>
      <c r="E111" s="2979" t="s">
        <v>3062</v>
      </c>
    </row>
    <row r="112" spans="1:5" ht="18.95" customHeight="1">
      <c r="A112" s="2979">
        <v>110</v>
      </c>
      <c r="B112" s="2979" t="s">
        <v>3061</v>
      </c>
      <c r="C112" s="2979">
        <v>2006</v>
      </c>
      <c r="D112" s="2980">
        <v>64.39</v>
      </c>
      <c r="E112" s="2979" t="s">
        <v>3062</v>
      </c>
    </row>
    <row r="113" spans="1:5" ht="18.95" customHeight="1">
      <c r="A113" s="2979">
        <v>111</v>
      </c>
      <c r="B113" s="2979" t="s">
        <v>3061</v>
      </c>
      <c r="C113" s="2979">
        <v>2007</v>
      </c>
      <c r="D113" s="2980">
        <v>102.3</v>
      </c>
      <c r="E113" s="2979" t="s">
        <v>3062</v>
      </c>
    </row>
    <row r="114" spans="1:5" ht="18.95" customHeight="1">
      <c r="A114" s="2979">
        <v>112</v>
      </c>
      <c r="B114" s="2979" t="s">
        <v>3061</v>
      </c>
      <c r="C114" s="2979">
        <v>2008</v>
      </c>
      <c r="D114" s="2980">
        <v>62.25</v>
      </c>
      <c r="E114" s="2979" t="s">
        <v>3062</v>
      </c>
    </row>
    <row r="115" spans="1:5" ht="18.95" customHeight="1">
      <c r="A115" s="2979">
        <v>113</v>
      </c>
      <c r="B115" s="2979" t="s">
        <v>3061</v>
      </c>
      <c r="C115" s="2979">
        <v>2101</v>
      </c>
      <c r="D115" s="2980">
        <v>55.46</v>
      </c>
      <c r="E115" s="2979" t="s">
        <v>3062</v>
      </c>
    </row>
    <row r="116" spans="1:5" ht="18.95" customHeight="1">
      <c r="A116" s="2979">
        <v>114</v>
      </c>
      <c r="B116" s="2979" t="s">
        <v>3061</v>
      </c>
      <c r="C116" s="2979">
        <v>2102</v>
      </c>
      <c r="D116" s="2980">
        <v>53.04</v>
      </c>
      <c r="E116" s="2979" t="s">
        <v>3062</v>
      </c>
    </row>
    <row r="117" spans="1:5" ht="18.95" customHeight="1">
      <c r="A117" s="2979">
        <v>115</v>
      </c>
      <c r="B117" s="2979" t="s">
        <v>3061</v>
      </c>
      <c r="C117" s="2979">
        <v>2103</v>
      </c>
      <c r="D117" s="2980">
        <v>63.92</v>
      </c>
      <c r="E117" s="2979" t="s">
        <v>3062</v>
      </c>
    </row>
    <row r="118" spans="1:5" ht="18.95" customHeight="1">
      <c r="A118" s="2979">
        <v>116</v>
      </c>
      <c r="B118" s="2979" t="s">
        <v>3061</v>
      </c>
      <c r="C118" s="2979">
        <v>2105</v>
      </c>
      <c r="D118" s="2980">
        <v>63.71</v>
      </c>
      <c r="E118" s="2979" t="s">
        <v>3062</v>
      </c>
    </row>
    <row r="119" spans="1:5" ht="18.95" customHeight="1">
      <c r="A119" s="2979">
        <v>117</v>
      </c>
      <c r="B119" s="2979" t="s">
        <v>3061</v>
      </c>
      <c r="C119" s="2979">
        <v>2106</v>
      </c>
      <c r="D119" s="2980">
        <v>64.39</v>
      </c>
      <c r="E119" s="2979" t="s">
        <v>3062</v>
      </c>
    </row>
    <row r="120" spans="1:5" ht="18.95" customHeight="1">
      <c r="A120" s="2979">
        <v>118</v>
      </c>
      <c r="B120" s="2979" t="s">
        <v>3061</v>
      </c>
      <c r="C120" s="2979">
        <v>2107</v>
      </c>
      <c r="D120" s="2980">
        <v>102.3</v>
      </c>
      <c r="E120" s="2979" t="s">
        <v>3062</v>
      </c>
    </row>
    <row r="121" spans="1:5" ht="18.95" customHeight="1">
      <c r="A121" s="2979">
        <v>119</v>
      </c>
      <c r="B121" s="2979" t="s">
        <v>3061</v>
      </c>
      <c r="C121" s="2979">
        <v>2108</v>
      </c>
      <c r="D121" s="2980">
        <v>62.25</v>
      </c>
      <c r="E121" s="2979" t="s">
        <v>3062</v>
      </c>
    </row>
    <row r="122" spans="1:5" ht="18.95" customHeight="1">
      <c r="A122" s="2979">
        <v>120</v>
      </c>
      <c r="B122" s="2979" t="s">
        <v>3061</v>
      </c>
      <c r="C122" s="2979">
        <v>2201</v>
      </c>
      <c r="D122" s="2980">
        <v>55.46</v>
      </c>
      <c r="E122" s="2979" t="s">
        <v>3062</v>
      </c>
    </row>
    <row r="123" spans="1:5" ht="18.95" customHeight="1">
      <c r="A123" s="2979">
        <v>121</v>
      </c>
      <c r="B123" s="2979" t="s">
        <v>3061</v>
      </c>
      <c r="C123" s="2979">
        <v>2202</v>
      </c>
      <c r="D123" s="2980">
        <v>53.04</v>
      </c>
      <c r="E123" s="2979" t="s">
        <v>3062</v>
      </c>
    </row>
    <row r="124" spans="1:5" ht="18.95" customHeight="1">
      <c r="A124" s="2979">
        <v>122</v>
      </c>
      <c r="B124" s="2979" t="s">
        <v>3061</v>
      </c>
      <c r="C124" s="2979">
        <v>2203</v>
      </c>
      <c r="D124" s="2980">
        <v>63.92</v>
      </c>
      <c r="E124" s="2979" t="s">
        <v>3062</v>
      </c>
    </row>
    <row r="125" spans="1:5" ht="18.95" customHeight="1">
      <c r="A125" s="2979">
        <v>123</v>
      </c>
      <c r="B125" s="2979" t="s">
        <v>3061</v>
      </c>
      <c r="C125" s="2979">
        <v>2205</v>
      </c>
      <c r="D125" s="2980">
        <v>63.71</v>
      </c>
      <c r="E125" s="2979" t="s">
        <v>3062</v>
      </c>
    </row>
    <row r="126" spans="1:5" ht="18.95" customHeight="1">
      <c r="A126" s="2979">
        <v>124</v>
      </c>
      <c r="B126" s="2979" t="s">
        <v>3061</v>
      </c>
      <c r="C126" s="2979">
        <v>2206</v>
      </c>
      <c r="D126" s="2980">
        <v>64.39</v>
      </c>
      <c r="E126" s="2979" t="s">
        <v>3062</v>
      </c>
    </row>
    <row r="127" spans="1:5" ht="18.95" customHeight="1">
      <c r="A127" s="2979">
        <v>125</v>
      </c>
      <c r="B127" s="2979" t="s">
        <v>3061</v>
      </c>
      <c r="C127" s="2979">
        <v>2207</v>
      </c>
      <c r="D127" s="2980">
        <v>102.3</v>
      </c>
      <c r="E127" s="2979" t="s">
        <v>3062</v>
      </c>
    </row>
    <row r="128" spans="1:5" ht="18.95" customHeight="1">
      <c r="A128" s="2979">
        <v>126</v>
      </c>
      <c r="B128" s="2979" t="s">
        <v>3061</v>
      </c>
      <c r="C128" s="2979">
        <v>2208</v>
      </c>
      <c r="D128" s="2980">
        <v>62.25</v>
      </c>
      <c r="E128" s="2979" t="s">
        <v>3062</v>
      </c>
    </row>
    <row r="129" spans="1:5" ht="18.95" customHeight="1">
      <c r="A129" s="2979">
        <v>127</v>
      </c>
      <c r="B129" s="2979" t="s">
        <v>3061</v>
      </c>
      <c r="C129" s="2979">
        <v>2301</v>
      </c>
      <c r="D129" s="2980">
        <v>55.46</v>
      </c>
      <c r="E129" s="2979" t="s">
        <v>3062</v>
      </c>
    </row>
    <row r="130" spans="1:5" ht="18.95" customHeight="1">
      <c r="A130" s="2979">
        <v>128</v>
      </c>
      <c r="B130" s="2979" t="s">
        <v>3061</v>
      </c>
      <c r="C130" s="2979">
        <v>2302</v>
      </c>
      <c r="D130" s="2980">
        <v>53.04</v>
      </c>
      <c r="E130" s="2979" t="s">
        <v>3062</v>
      </c>
    </row>
    <row r="131" spans="1:5" ht="18.95" customHeight="1">
      <c r="A131" s="2979">
        <v>129</v>
      </c>
      <c r="B131" s="2979" t="s">
        <v>3061</v>
      </c>
      <c r="C131" s="2979">
        <v>2303</v>
      </c>
      <c r="D131" s="2980">
        <v>63.92</v>
      </c>
      <c r="E131" s="2979" t="s">
        <v>3062</v>
      </c>
    </row>
    <row r="132" spans="1:5" ht="18.95" customHeight="1">
      <c r="A132" s="2979">
        <v>130</v>
      </c>
      <c r="B132" s="2979" t="s">
        <v>3061</v>
      </c>
      <c r="C132" s="2979">
        <v>2305</v>
      </c>
      <c r="D132" s="2980">
        <v>63.71</v>
      </c>
      <c r="E132" s="2979" t="s">
        <v>3062</v>
      </c>
    </row>
    <row r="133" spans="1:5" ht="18.95" customHeight="1">
      <c r="A133" s="2979">
        <v>131</v>
      </c>
      <c r="B133" s="2979" t="s">
        <v>3061</v>
      </c>
      <c r="C133" s="2979">
        <v>2306</v>
      </c>
      <c r="D133" s="2980">
        <v>64.39</v>
      </c>
      <c r="E133" s="2979" t="s">
        <v>3062</v>
      </c>
    </row>
    <row r="134" spans="1:5" ht="18.95" customHeight="1">
      <c r="A134" s="2979">
        <v>132</v>
      </c>
      <c r="B134" s="2979" t="s">
        <v>3061</v>
      </c>
      <c r="C134" s="2979">
        <v>2307</v>
      </c>
      <c r="D134" s="2980">
        <v>102.3</v>
      </c>
      <c r="E134" s="2979" t="s">
        <v>3062</v>
      </c>
    </row>
    <row r="135" spans="1:5" ht="18.95" customHeight="1">
      <c r="A135" s="2979">
        <v>133</v>
      </c>
      <c r="B135" s="2979" t="s">
        <v>3061</v>
      </c>
      <c r="C135" s="2979">
        <v>2308</v>
      </c>
      <c r="D135" s="2980">
        <v>62.25</v>
      </c>
      <c r="E135" s="2979" t="s">
        <v>3062</v>
      </c>
    </row>
    <row r="136" spans="1:5" ht="18.95" customHeight="1">
      <c r="A136" s="2979">
        <v>134</v>
      </c>
      <c r="B136" s="2979" t="s">
        <v>3061</v>
      </c>
      <c r="C136" s="2979">
        <v>2501</v>
      </c>
      <c r="D136" s="2980">
        <v>55.46</v>
      </c>
      <c r="E136" s="2979" t="s">
        <v>3062</v>
      </c>
    </row>
    <row r="137" spans="1:5" ht="18.95" customHeight="1">
      <c r="A137" s="2979">
        <v>135</v>
      </c>
      <c r="B137" s="2979" t="s">
        <v>3061</v>
      </c>
      <c r="C137" s="2979">
        <v>2502</v>
      </c>
      <c r="D137" s="2980">
        <v>53.04</v>
      </c>
      <c r="E137" s="2979" t="s">
        <v>3062</v>
      </c>
    </row>
    <row r="138" spans="1:5" ht="18.95" customHeight="1">
      <c r="A138" s="2979">
        <v>136</v>
      </c>
      <c r="B138" s="2979" t="s">
        <v>3061</v>
      </c>
      <c r="C138" s="2979">
        <v>2503</v>
      </c>
      <c r="D138" s="2980">
        <v>63.92</v>
      </c>
      <c r="E138" s="2979" t="s">
        <v>3062</v>
      </c>
    </row>
    <row r="139" spans="1:5" ht="18.95" customHeight="1">
      <c r="A139" s="2979">
        <v>137</v>
      </c>
      <c r="B139" s="2979" t="s">
        <v>3061</v>
      </c>
      <c r="C139" s="2979">
        <v>2505</v>
      </c>
      <c r="D139" s="2980">
        <v>63.71</v>
      </c>
      <c r="E139" s="2979" t="s">
        <v>3062</v>
      </c>
    </row>
    <row r="140" spans="1:5" ht="18.95" customHeight="1">
      <c r="A140" s="2979">
        <v>138</v>
      </c>
      <c r="B140" s="2979" t="s">
        <v>3061</v>
      </c>
      <c r="C140" s="2979">
        <v>2506</v>
      </c>
      <c r="D140" s="2980">
        <v>64.39</v>
      </c>
      <c r="E140" s="2979" t="s">
        <v>3062</v>
      </c>
    </row>
    <row r="141" spans="1:5" ht="18.95" customHeight="1">
      <c r="A141" s="2979">
        <v>139</v>
      </c>
      <c r="B141" s="2979" t="s">
        <v>3061</v>
      </c>
      <c r="C141" s="2979">
        <v>2507</v>
      </c>
      <c r="D141" s="2980">
        <v>102.3</v>
      </c>
      <c r="E141" s="2979" t="s">
        <v>3062</v>
      </c>
    </row>
    <row r="142" spans="1:5" ht="18.95" customHeight="1">
      <c r="A142" s="2979">
        <v>140</v>
      </c>
      <c r="B142" s="2979" t="s">
        <v>3061</v>
      </c>
      <c r="C142" s="2979">
        <v>2508</v>
      </c>
      <c r="D142" s="2980">
        <v>62.25</v>
      </c>
      <c r="E142" s="2979" t="s">
        <v>3062</v>
      </c>
    </row>
    <row r="143" spans="1:5" ht="18.95" customHeight="1">
      <c r="A143" s="2979">
        <v>141</v>
      </c>
      <c r="B143" s="2979" t="s">
        <v>3061</v>
      </c>
      <c r="C143" s="2979">
        <v>2601</v>
      </c>
      <c r="D143" s="2980">
        <v>55.46</v>
      </c>
      <c r="E143" s="2979" t="s">
        <v>3062</v>
      </c>
    </row>
    <row r="144" spans="1:5" ht="18.95" customHeight="1">
      <c r="A144" s="2979">
        <v>142</v>
      </c>
      <c r="B144" s="2979" t="s">
        <v>3061</v>
      </c>
      <c r="C144" s="2979">
        <v>2602</v>
      </c>
      <c r="D144" s="2980">
        <v>53.04</v>
      </c>
      <c r="E144" s="2979" t="s">
        <v>3062</v>
      </c>
    </row>
    <row r="145" spans="1:5" ht="18.95" customHeight="1">
      <c r="A145" s="2979">
        <v>143</v>
      </c>
      <c r="B145" s="2979" t="s">
        <v>3061</v>
      </c>
      <c r="C145" s="2979">
        <v>2603</v>
      </c>
      <c r="D145" s="2980">
        <v>63.92</v>
      </c>
      <c r="E145" s="2979" t="s">
        <v>3062</v>
      </c>
    </row>
    <row r="146" spans="1:5" ht="18.95" customHeight="1">
      <c r="A146" s="2979">
        <v>144</v>
      </c>
      <c r="B146" s="2979" t="s">
        <v>3061</v>
      </c>
      <c r="C146" s="2979">
        <v>2605</v>
      </c>
      <c r="D146" s="2980">
        <v>63.71</v>
      </c>
      <c r="E146" s="2979" t="s">
        <v>3062</v>
      </c>
    </row>
    <row r="147" spans="1:5" ht="18.95" customHeight="1">
      <c r="A147" s="2979">
        <v>145</v>
      </c>
      <c r="B147" s="2979" t="s">
        <v>3061</v>
      </c>
      <c r="C147" s="2979">
        <v>2606</v>
      </c>
      <c r="D147" s="2980">
        <v>64.39</v>
      </c>
      <c r="E147" s="2979" t="s">
        <v>3062</v>
      </c>
    </row>
    <row r="148" spans="1:5" ht="18.95" customHeight="1">
      <c r="A148" s="2979">
        <v>146</v>
      </c>
      <c r="B148" s="2979" t="s">
        <v>3061</v>
      </c>
      <c r="C148" s="2979">
        <v>2607</v>
      </c>
      <c r="D148" s="2980">
        <v>102.3</v>
      </c>
      <c r="E148" s="2979" t="s">
        <v>3062</v>
      </c>
    </row>
    <row r="149" spans="1:5" ht="18.95" customHeight="1">
      <c r="A149" s="2979">
        <v>147</v>
      </c>
      <c r="B149" s="2979" t="s">
        <v>3061</v>
      </c>
      <c r="C149" s="2979">
        <v>2608</v>
      </c>
      <c r="D149" s="2980">
        <v>62.25</v>
      </c>
      <c r="E149" s="2979" t="s">
        <v>3062</v>
      </c>
    </row>
    <row r="150" spans="1:5" ht="18.95" customHeight="1">
      <c r="A150" s="2979">
        <v>148</v>
      </c>
      <c r="B150" s="2979" t="s">
        <v>3061</v>
      </c>
      <c r="C150" s="2979">
        <v>2701</v>
      </c>
      <c r="D150" s="2980">
        <v>55.46</v>
      </c>
      <c r="E150" s="2979" t="s">
        <v>3062</v>
      </c>
    </row>
    <row r="151" spans="1:5" ht="18.95" customHeight="1">
      <c r="A151" s="2979">
        <v>149</v>
      </c>
      <c r="B151" s="2979" t="s">
        <v>3061</v>
      </c>
      <c r="C151" s="2979">
        <v>2702</v>
      </c>
      <c r="D151" s="2980">
        <v>53.04</v>
      </c>
      <c r="E151" s="2979" t="s">
        <v>3062</v>
      </c>
    </row>
    <row r="152" spans="1:5" ht="18.95" customHeight="1">
      <c r="A152" s="2979">
        <v>150</v>
      </c>
      <c r="B152" s="2979" t="s">
        <v>3061</v>
      </c>
      <c r="C152" s="2979">
        <v>2703</v>
      </c>
      <c r="D152" s="2980">
        <v>63.92</v>
      </c>
      <c r="E152" s="2979" t="s">
        <v>3062</v>
      </c>
    </row>
    <row r="153" spans="1:5" ht="18.95" customHeight="1">
      <c r="A153" s="2979">
        <v>151</v>
      </c>
      <c r="B153" s="2979" t="s">
        <v>3061</v>
      </c>
      <c r="C153" s="2979">
        <v>2705</v>
      </c>
      <c r="D153" s="2980">
        <v>63.71</v>
      </c>
      <c r="E153" s="2979" t="s">
        <v>3062</v>
      </c>
    </row>
    <row r="154" spans="1:5" ht="18.95" customHeight="1">
      <c r="A154" s="2979">
        <v>152</v>
      </c>
      <c r="B154" s="2979" t="s">
        <v>3061</v>
      </c>
      <c r="C154" s="2979">
        <v>2706</v>
      </c>
      <c r="D154" s="2980">
        <v>64.39</v>
      </c>
      <c r="E154" s="2979" t="s">
        <v>3062</v>
      </c>
    </row>
    <row r="155" spans="1:5" ht="18.95" customHeight="1">
      <c r="A155" s="2979">
        <v>153</v>
      </c>
      <c r="B155" s="2979" t="s">
        <v>3061</v>
      </c>
      <c r="C155" s="2979">
        <v>2707</v>
      </c>
      <c r="D155" s="2980">
        <v>102.3</v>
      </c>
      <c r="E155" s="2979" t="s">
        <v>3062</v>
      </c>
    </row>
    <row r="156" spans="1:5" ht="18.95" customHeight="1">
      <c r="A156" s="2979">
        <v>154</v>
      </c>
      <c r="B156" s="2979" t="s">
        <v>3061</v>
      </c>
      <c r="C156" s="2979">
        <v>2708</v>
      </c>
      <c r="D156" s="2980">
        <v>62.25</v>
      </c>
      <c r="E156" s="2979" t="s">
        <v>3062</v>
      </c>
    </row>
    <row r="157" spans="1:5" ht="18.95" customHeight="1">
      <c r="A157" s="2979">
        <v>155</v>
      </c>
      <c r="B157" s="2979" t="s">
        <v>3061</v>
      </c>
      <c r="C157" s="2979">
        <v>2801</v>
      </c>
      <c r="D157" s="2980">
        <v>55.46</v>
      </c>
      <c r="E157" s="2979" t="s">
        <v>3062</v>
      </c>
    </row>
    <row r="158" spans="1:5" ht="18.95" customHeight="1">
      <c r="A158" s="2979">
        <v>156</v>
      </c>
      <c r="B158" s="2979" t="s">
        <v>3061</v>
      </c>
      <c r="C158" s="2979">
        <v>2802</v>
      </c>
      <c r="D158" s="2980">
        <v>49.99</v>
      </c>
      <c r="E158" s="2979" t="s">
        <v>3062</v>
      </c>
    </row>
    <row r="159" spans="1:5" ht="18.95" customHeight="1">
      <c r="A159" s="2979">
        <v>157</v>
      </c>
      <c r="B159" s="2979" t="s">
        <v>3061</v>
      </c>
      <c r="C159" s="2979">
        <v>2803</v>
      </c>
      <c r="D159" s="2980">
        <v>60.88</v>
      </c>
      <c r="E159" s="2979" t="s">
        <v>3062</v>
      </c>
    </row>
    <row r="160" spans="1:5" ht="18.95" customHeight="1">
      <c r="A160" s="2979">
        <v>158</v>
      </c>
      <c r="B160" s="2979" t="s">
        <v>3061</v>
      </c>
      <c r="C160" s="2979">
        <v>2805</v>
      </c>
      <c r="D160" s="2980">
        <v>63.71</v>
      </c>
      <c r="E160" s="2979" t="s">
        <v>3062</v>
      </c>
    </row>
    <row r="161" spans="1:5" ht="18.95" customHeight="1">
      <c r="A161" s="2979">
        <v>159</v>
      </c>
      <c r="B161" s="2979" t="s">
        <v>3061</v>
      </c>
      <c r="C161" s="2979">
        <v>2806</v>
      </c>
      <c r="D161" s="2980">
        <v>64.39</v>
      </c>
      <c r="E161" s="2979" t="s">
        <v>3062</v>
      </c>
    </row>
    <row r="162" spans="1:5" ht="18.95" customHeight="1">
      <c r="A162" s="2979">
        <v>160</v>
      </c>
      <c r="B162" s="2979" t="s">
        <v>3061</v>
      </c>
      <c r="C162" s="2979">
        <v>2807</v>
      </c>
      <c r="D162" s="2980">
        <v>102.3</v>
      </c>
      <c r="E162" s="2979" t="s">
        <v>3062</v>
      </c>
    </row>
    <row r="163" spans="1:5" ht="18.95" customHeight="1">
      <c r="A163" s="2979">
        <v>161</v>
      </c>
      <c r="B163" s="2979" t="s">
        <v>3061</v>
      </c>
      <c r="C163" s="2979">
        <v>2808</v>
      </c>
      <c r="D163" s="2980">
        <v>62.25</v>
      </c>
      <c r="E163" s="2979" t="s">
        <v>3062</v>
      </c>
    </row>
    <row r="164" spans="1:5" ht="18.95" customHeight="1">
      <c r="A164" s="2979">
        <v>162</v>
      </c>
      <c r="B164" s="2979" t="s">
        <v>3061</v>
      </c>
      <c r="C164" s="2979">
        <v>2901</v>
      </c>
      <c r="D164" s="2980">
        <v>55.46</v>
      </c>
      <c r="E164" s="2979" t="s">
        <v>3062</v>
      </c>
    </row>
    <row r="165" spans="1:5" ht="18.95" customHeight="1">
      <c r="A165" s="2979">
        <v>163</v>
      </c>
      <c r="B165" s="2979" t="s">
        <v>3061</v>
      </c>
      <c r="C165" s="2979">
        <v>2902</v>
      </c>
      <c r="D165" s="2980">
        <v>49.99</v>
      </c>
      <c r="E165" s="2979" t="s">
        <v>3062</v>
      </c>
    </row>
    <row r="166" spans="1:5" ht="18.95" customHeight="1">
      <c r="A166" s="2979">
        <v>164</v>
      </c>
      <c r="B166" s="2979" t="s">
        <v>3061</v>
      </c>
      <c r="C166" s="2979">
        <v>2903</v>
      </c>
      <c r="D166" s="2980">
        <v>60.88</v>
      </c>
      <c r="E166" s="2979" t="s">
        <v>3062</v>
      </c>
    </row>
    <row r="167" spans="1:5" ht="18.95" customHeight="1">
      <c r="A167" s="2979">
        <v>165</v>
      </c>
      <c r="B167" s="2979" t="s">
        <v>3061</v>
      </c>
      <c r="C167" s="2979">
        <v>2905</v>
      </c>
      <c r="D167" s="2980">
        <v>63.71</v>
      </c>
      <c r="E167" s="2979" t="s">
        <v>3062</v>
      </c>
    </row>
    <row r="168" spans="1:5" ht="18.95" customHeight="1">
      <c r="A168" s="2979">
        <v>166</v>
      </c>
      <c r="B168" s="2979" t="s">
        <v>3061</v>
      </c>
      <c r="C168" s="2979">
        <v>2906</v>
      </c>
      <c r="D168" s="2980">
        <v>64.39</v>
      </c>
      <c r="E168" s="2979" t="s">
        <v>3062</v>
      </c>
    </row>
    <row r="169" spans="1:5" ht="18.95" customHeight="1">
      <c r="A169" s="2979">
        <v>167</v>
      </c>
      <c r="B169" s="2979" t="s">
        <v>3061</v>
      </c>
      <c r="C169" s="2979">
        <v>2907</v>
      </c>
      <c r="D169" s="2980">
        <v>102.3</v>
      </c>
      <c r="E169" s="2979" t="s">
        <v>3062</v>
      </c>
    </row>
    <row r="170" spans="1:5" ht="18.95" customHeight="1">
      <c r="A170" s="2979">
        <v>168</v>
      </c>
      <c r="B170" s="2979" t="s">
        <v>3061</v>
      </c>
      <c r="C170" s="2979">
        <v>2908</v>
      </c>
      <c r="D170" s="2980">
        <v>62.25</v>
      </c>
      <c r="E170" s="2979" t="s">
        <v>3062</v>
      </c>
    </row>
    <row r="171" spans="1:5" ht="18.95" customHeight="1">
      <c r="A171" s="2979">
        <v>169</v>
      </c>
      <c r="B171" s="2979" t="s">
        <v>3061</v>
      </c>
      <c r="C171" s="2979">
        <v>3001</v>
      </c>
      <c r="D171" s="2980">
        <v>55.46</v>
      </c>
      <c r="E171" s="2979" t="s">
        <v>3062</v>
      </c>
    </row>
    <row r="172" spans="1:5" ht="18.95" customHeight="1">
      <c r="A172" s="2979">
        <v>170</v>
      </c>
      <c r="B172" s="2979" t="s">
        <v>3061</v>
      </c>
      <c r="C172" s="2979">
        <v>3002</v>
      </c>
      <c r="D172" s="2980">
        <v>49.99</v>
      </c>
      <c r="E172" s="2979" t="s">
        <v>3062</v>
      </c>
    </row>
    <row r="173" spans="1:5" ht="18.95" customHeight="1">
      <c r="A173" s="2979">
        <v>171</v>
      </c>
      <c r="B173" s="2979" t="s">
        <v>3061</v>
      </c>
      <c r="C173" s="2979">
        <v>3003</v>
      </c>
      <c r="D173" s="2980">
        <v>60.88</v>
      </c>
      <c r="E173" s="2979" t="s">
        <v>3062</v>
      </c>
    </row>
    <row r="174" spans="1:5" ht="18.95" customHeight="1">
      <c r="A174" s="2979">
        <v>172</v>
      </c>
      <c r="B174" s="2979" t="s">
        <v>3061</v>
      </c>
      <c r="C174" s="2979">
        <v>3005</v>
      </c>
      <c r="D174" s="2980">
        <v>63.71</v>
      </c>
      <c r="E174" s="2979" t="s">
        <v>3062</v>
      </c>
    </row>
    <row r="175" spans="1:5" ht="18.95" customHeight="1">
      <c r="A175" s="2979">
        <v>173</v>
      </c>
      <c r="B175" s="2979" t="s">
        <v>3061</v>
      </c>
      <c r="C175" s="2979">
        <v>3006</v>
      </c>
      <c r="D175" s="2980">
        <v>64.39</v>
      </c>
      <c r="E175" s="2979" t="s">
        <v>3062</v>
      </c>
    </row>
    <row r="176" spans="1:5" ht="18.95" customHeight="1">
      <c r="A176" s="2979">
        <v>174</v>
      </c>
      <c r="B176" s="2979" t="s">
        <v>3061</v>
      </c>
      <c r="C176" s="2979">
        <v>3007</v>
      </c>
      <c r="D176" s="2980">
        <v>102.3</v>
      </c>
      <c r="E176" s="2979" t="s">
        <v>3062</v>
      </c>
    </row>
    <row r="177" spans="1:5" ht="18.95" customHeight="1">
      <c r="A177" s="2979">
        <v>175</v>
      </c>
      <c r="B177" s="2979" t="s">
        <v>3061</v>
      </c>
      <c r="C177" s="2979">
        <v>3008</v>
      </c>
      <c r="D177" s="2980">
        <v>62.25</v>
      </c>
      <c r="E177" s="2979" t="s">
        <v>3062</v>
      </c>
    </row>
    <row r="178" spans="1:5" ht="18.95" customHeight="1">
      <c r="A178" s="2979">
        <v>176</v>
      </c>
      <c r="B178" s="2979" t="s">
        <v>3061</v>
      </c>
      <c r="C178" s="2979">
        <v>3101</v>
      </c>
      <c r="D178" s="2980">
        <v>55.46</v>
      </c>
      <c r="E178" s="2979" t="s">
        <v>3062</v>
      </c>
    </row>
    <row r="179" spans="1:5" ht="18.95" customHeight="1">
      <c r="A179" s="2979">
        <v>177</v>
      </c>
      <c r="B179" s="2979" t="s">
        <v>3061</v>
      </c>
      <c r="C179" s="2979">
        <v>3102</v>
      </c>
      <c r="D179" s="2980">
        <v>49.99</v>
      </c>
      <c r="E179" s="2979" t="s">
        <v>3062</v>
      </c>
    </row>
    <row r="180" spans="1:5" ht="18.95" customHeight="1">
      <c r="A180" s="2979">
        <v>178</v>
      </c>
      <c r="B180" s="2979" t="s">
        <v>3061</v>
      </c>
      <c r="C180" s="2979">
        <v>3103</v>
      </c>
      <c r="D180" s="2980">
        <v>60.88</v>
      </c>
      <c r="E180" s="2979" t="s">
        <v>3062</v>
      </c>
    </row>
    <row r="181" spans="1:5" ht="18.95" customHeight="1">
      <c r="A181" s="2979">
        <v>179</v>
      </c>
      <c r="B181" s="2979" t="s">
        <v>3061</v>
      </c>
      <c r="C181" s="2979">
        <v>3105</v>
      </c>
      <c r="D181" s="2980">
        <v>63.71</v>
      </c>
      <c r="E181" s="2979" t="s">
        <v>3062</v>
      </c>
    </row>
    <row r="182" spans="1:5" ht="18.95" customHeight="1">
      <c r="A182" s="2979">
        <v>180</v>
      </c>
      <c r="B182" s="2979" t="s">
        <v>3061</v>
      </c>
      <c r="C182" s="2979">
        <v>3106</v>
      </c>
      <c r="D182" s="2980">
        <v>64.39</v>
      </c>
      <c r="E182" s="2979" t="s">
        <v>3062</v>
      </c>
    </row>
    <row r="183" spans="1:5" ht="18.95" customHeight="1">
      <c r="A183" s="2979">
        <v>181</v>
      </c>
      <c r="B183" s="2979" t="s">
        <v>3061</v>
      </c>
      <c r="C183" s="2979">
        <v>3107</v>
      </c>
      <c r="D183" s="2980">
        <v>102.3</v>
      </c>
      <c r="E183" s="2979" t="s">
        <v>3062</v>
      </c>
    </row>
    <row r="184" spans="1:5" ht="18.95" customHeight="1">
      <c r="A184" s="2979">
        <v>182</v>
      </c>
      <c r="B184" s="2979" t="s">
        <v>3061</v>
      </c>
      <c r="C184" s="2979">
        <v>3108</v>
      </c>
      <c r="D184" s="2980">
        <v>62.25</v>
      </c>
      <c r="E184" s="2979" t="s">
        <v>3062</v>
      </c>
    </row>
    <row r="185" spans="1:5" ht="18.95" customHeight="1">
      <c r="A185" s="2979">
        <v>183</v>
      </c>
      <c r="B185" s="2979" t="s">
        <v>3061</v>
      </c>
      <c r="C185" s="2979">
        <v>3201</v>
      </c>
      <c r="D185" s="2980">
        <v>55.46</v>
      </c>
      <c r="E185" s="2979" t="s">
        <v>3062</v>
      </c>
    </row>
    <row r="186" spans="1:5" ht="18.95" customHeight="1">
      <c r="A186" s="2979">
        <v>184</v>
      </c>
      <c r="B186" s="2979" t="s">
        <v>3061</v>
      </c>
      <c r="C186" s="2979">
        <v>3202</v>
      </c>
      <c r="D186" s="2980">
        <v>49.99</v>
      </c>
      <c r="E186" s="2979" t="s">
        <v>3062</v>
      </c>
    </row>
    <row r="187" spans="1:5" ht="18.95" customHeight="1">
      <c r="A187" s="2979">
        <v>185</v>
      </c>
      <c r="B187" s="2979" t="s">
        <v>3061</v>
      </c>
      <c r="C187" s="2979">
        <v>3203</v>
      </c>
      <c r="D187" s="2980">
        <v>60.88</v>
      </c>
      <c r="E187" s="2979" t="s">
        <v>3062</v>
      </c>
    </row>
    <row r="188" spans="1:5" ht="18.95" customHeight="1">
      <c r="A188" s="2979">
        <v>186</v>
      </c>
      <c r="B188" s="2979" t="s">
        <v>3061</v>
      </c>
      <c r="C188" s="2979">
        <v>3205</v>
      </c>
      <c r="D188" s="2980">
        <v>63.71</v>
      </c>
      <c r="E188" s="2979" t="s">
        <v>3062</v>
      </c>
    </row>
    <row r="189" spans="1:5" ht="18.95" customHeight="1">
      <c r="A189" s="2979">
        <v>187</v>
      </c>
      <c r="B189" s="2979" t="s">
        <v>3061</v>
      </c>
      <c r="C189" s="2979">
        <v>3206</v>
      </c>
      <c r="D189" s="2980">
        <v>64.39</v>
      </c>
      <c r="E189" s="2979" t="s">
        <v>3062</v>
      </c>
    </row>
    <row r="190" spans="1:5" ht="18.95" customHeight="1">
      <c r="A190" s="2979">
        <v>188</v>
      </c>
      <c r="B190" s="2979" t="s">
        <v>3061</v>
      </c>
      <c r="C190" s="2979">
        <v>3207</v>
      </c>
      <c r="D190" s="2980">
        <v>102.3</v>
      </c>
      <c r="E190" s="2979" t="s">
        <v>3062</v>
      </c>
    </row>
    <row r="191" spans="1:5" ht="18.95" customHeight="1">
      <c r="A191" s="2979">
        <v>189</v>
      </c>
      <c r="B191" s="2979" t="s">
        <v>3061</v>
      </c>
      <c r="C191" s="2979">
        <v>3208</v>
      </c>
      <c r="D191" s="2980">
        <v>62.25</v>
      </c>
      <c r="E191" s="2979" t="s">
        <v>3062</v>
      </c>
    </row>
    <row r="192" spans="1:5" ht="18.95" customHeight="1">
      <c r="A192" s="2979">
        <v>190</v>
      </c>
      <c r="B192" s="2979" t="s">
        <v>3061</v>
      </c>
      <c r="C192" s="2979">
        <v>3301</v>
      </c>
      <c r="D192" s="2980">
        <v>55.46</v>
      </c>
      <c r="E192" s="2979" t="s">
        <v>3062</v>
      </c>
    </row>
    <row r="193" spans="1:5" ht="18.95" customHeight="1">
      <c r="A193" s="2979">
        <v>191</v>
      </c>
      <c r="B193" s="2979" t="s">
        <v>3061</v>
      </c>
      <c r="C193" s="2979">
        <v>3302</v>
      </c>
      <c r="D193" s="2980">
        <v>49.99</v>
      </c>
      <c r="E193" s="2979" t="s">
        <v>3062</v>
      </c>
    </row>
    <row r="194" spans="1:5" ht="18.95" customHeight="1">
      <c r="A194" s="2979">
        <v>192</v>
      </c>
      <c r="B194" s="2979" t="s">
        <v>3061</v>
      </c>
      <c r="C194" s="2979">
        <v>3303</v>
      </c>
      <c r="D194" s="2980">
        <v>60.88</v>
      </c>
      <c r="E194" s="2979" t="s">
        <v>3062</v>
      </c>
    </row>
    <row r="195" spans="1:5" ht="18.95" customHeight="1">
      <c r="A195" s="2979">
        <v>193</v>
      </c>
      <c r="B195" s="2979" t="s">
        <v>3061</v>
      </c>
      <c r="C195" s="2979">
        <v>3305</v>
      </c>
      <c r="D195" s="2980">
        <v>63.71</v>
      </c>
      <c r="E195" s="2979" t="s">
        <v>3062</v>
      </c>
    </row>
    <row r="196" spans="1:5" ht="18.95" customHeight="1">
      <c r="A196" s="2979">
        <v>194</v>
      </c>
      <c r="B196" s="2979" t="s">
        <v>3061</v>
      </c>
      <c r="C196" s="2979">
        <v>3306</v>
      </c>
      <c r="D196" s="2980">
        <v>64.39</v>
      </c>
      <c r="E196" s="2979" t="s">
        <v>3062</v>
      </c>
    </row>
    <row r="197" spans="1:5" ht="18.95" customHeight="1">
      <c r="A197" s="2979">
        <v>195</v>
      </c>
      <c r="B197" s="2979" t="s">
        <v>3061</v>
      </c>
      <c r="C197" s="2979">
        <v>3307</v>
      </c>
      <c r="D197" s="2980">
        <v>102.3</v>
      </c>
      <c r="E197" s="2979" t="s">
        <v>3062</v>
      </c>
    </row>
    <row r="198" spans="1:5" ht="18.95" customHeight="1">
      <c r="A198" s="2979">
        <v>196</v>
      </c>
      <c r="B198" s="2979" t="s">
        <v>3061</v>
      </c>
      <c r="C198" s="2979">
        <v>3308</v>
      </c>
      <c r="D198" s="2980">
        <v>62.25</v>
      </c>
      <c r="E198" s="2979" t="s">
        <v>3062</v>
      </c>
    </row>
    <row r="199" spans="1:5" ht="18.95" customHeight="1">
      <c r="A199" s="2979">
        <v>197</v>
      </c>
      <c r="B199" s="2979" t="s">
        <v>3061</v>
      </c>
      <c r="C199" s="2979">
        <v>3501</v>
      </c>
      <c r="D199" s="2980">
        <v>55.46</v>
      </c>
      <c r="E199" s="2979" t="s">
        <v>3062</v>
      </c>
    </row>
    <row r="200" spans="1:5" ht="18.95" customHeight="1">
      <c r="A200" s="2979">
        <v>198</v>
      </c>
      <c r="B200" s="2979" t="s">
        <v>3061</v>
      </c>
      <c r="C200" s="2979">
        <v>3502</v>
      </c>
      <c r="D200" s="2980">
        <v>49.99</v>
      </c>
      <c r="E200" s="2979" t="s">
        <v>3062</v>
      </c>
    </row>
    <row r="201" spans="1:5" ht="18.95" customHeight="1">
      <c r="A201" s="2979">
        <v>199</v>
      </c>
      <c r="B201" s="2979" t="s">
        <v>3061</v>
      </c>
      <c r="C201" s="2979">
        <v>3503</v>
      </c>
      <c r="D201" s="2980">
        <v>60.88</v>
      </c>
      <c r="E201" s="2979" t="s">
        <v>3062</v>
      </c>
    </row>
    <row r="202" spans="1:5" ht="18.95" customHeight="1">
      <c r="A202" s="2979">
        <v>200</v>
      </c>
      <c r="B202" s="2979" t="s">
        <v>3061</v>
      </c>
      <c r="C202" s="2979">
        <v>3505</v>
      </c>
      <c r="D202" s="2980">
        <v>63.71</v>
      </c>
      <c r="E202" s="2979" t="s">
        <v>3062</v>
      </c>
    </row>
    <row r="203" spans="1:5" ht="18.95" customHeight="1">
      <c r="A203" s="2979">
        <v>201</v>
      </c>
      <c r="B203" s="2979" t="s">
        <v>3061</v>
      </c>
      <c r="C203" s="2979">
        <v>3506</v>
      </c>
      <c r="D203" s="2980">
        <v>64.39</v>
      </c>
      <c r="E203" s="2979" t="s">
        <v>3062</v>
      </c>
    </row>
    <row r="204" spans="1:5" ht="18.95" customHeight="1">
      <c r="A204" s="2979">
        <v>202</v>
      </c>
      <c r="B204" s="2979" t="s">
        <v>3061</v>
      </c>
      <c r="C204" s="2979">
        <v>3507</v>
      </c>
      <c r="D204" s="2980">
        <v>102.3</v>
      </c>
      <c r="E204" s="2979" t="s">
        <v>3062</v>
      </c>
    </row>
    <row r="205" spans="1:5" ht="18.95" customHeight="1">
      <c r="A205" s="2979">
        <v>203</v>
      </c>
      <c r="B205" s="2979" t="s">
        <v>3061</v>
      </c>
      <c r="C205" s="2979">
        <v>3508</v>
      </c>
      <c r="D205" s="2980">
        <v>62.25</v>
      </c>
      <c r="E205" s="2979" t="s">
        <v>3062</v>
      </c>
    </row>
    <row r="206" spans="1:5" ht="18.95" customHeight="1">
      <c r="A206" s="2979">
        <v>204</v>
      </c>
      <c r="B206" s="2979" t="s">
        <v>3061</v>
      </c>
      <c r="C206" s="2979">
        <v>3601</v>
      </c>
      <c r="D206" s="2980">
        <v>55.46</v>
      </c>
      <c r="E206" s="2979" t="s">
        <v>3062</v>
      </c>
    </row>
    <row r="207" spans="1:5" ht="18.95" customHeight="1">
      <c r="A207" s="2979">
        <v>205</v>
      </c>
      <c r="B207" s="2979" t="s">
        <v>3061</v>
      </c>
      <c r="C207" s="2979">
        <v>3602</v>
      </c>
      <c r="D207" s="2980">
        <v>49.99</v>
      </c>
      <c r="E207" s="2979" t="s">
        <v>3062</v>
      </c>
    </row>
    <row r="208" spans="1:5" ht="18.95" customHeight="1">
      <c r="A208" s="2979">
        <v>206</v>
      </c>
      <c r="B208" s="2979" t="s">
        <v>3061</v>
      </c>
      <c r="C208" s="2979">
        <v>3603</v>
      </c>
      <c r="D208" s="2980">
        <v>60.88</v>
      </c>
      <c r="E208" s="2979" t="s">
        <v>3062</v>
      </c>
    </row>
    <row r="209" spans="1:10" ht="18.95" customHeight="1">
      <c r="A209" s="2979">
        <v>207</v>
      </c>
      <c r="B209" s="2979" t="s">
        <v>3061</v>
      </c>
      <c r="C209" s="2979">
        <v>3605</v>
      </c>
      <c r="D209" s="2980">
        <v>63.71</v>
      </c>
      <c r="E209" s="2979" t="s">
        <v>3062</v>
      </c>
    </row>
    <row r="210" spans="1:10" ht="18.95" customHeight="1">
      <c r="A210" s="2979">
        <v>208</v>
      </c>
      <c r="B210" s="2979" t="s">
        <v>3061</v>
      </c>
      <c r="C210" s="2979">
        <v>3606</v>
      </c>
      <c r="D210" s="2980">
        <v>64.39</v>
      </c>
      <c r="E210" s="2979" t="s">
        <v>3062</v>
      </c>
    </row>
    <row r="211" spans="1:10" ht="18.95" customHeight="1">
      <c r="A211" s="2979">
        <v>209</v>
      </c>
      <c r="B211" s="2979" t="s">
        <v>3061</v>
      </c>
      <c r="C211" s="2979">
        <v>3607</v>
      </c>
      <c r="D211" s="2980">
        <v>102.3</v>
      </c>
      <c r="E211" s="2979" t="s">
        <v>3062</v>
      </c>
    </row>
    <row r="212" spans="1:10" ht="18.95" customHeight="1">
      <c r="A212" s="2979">
        <v>210</v>
      </c>
      <c r="B212" s="2979" t="s">
        <v>3061</v>
      </c>
      <c r="C212" s="2979">
        <v>3608</v>
      </c>
      <c r="D212" s="2980">
        <v>62.25</v>
      </c>
      <c r="E212" s="2979" t="s">
        <v>3062</v>
      </c>
    </row>
    <row r="213" spans="1:10" ht="18.95" customHeight="1">
      <c r="A213" s="2979">
        <v>211</v>
      </c>
      <c r="B213" s="2979" t="s">
        <v>3061</v>
      </c>
      <c r="C213" s="2979">
        <v>3701</v>
      </c>
      <c r="D213" s="2980">
        <v>55.46</v>
      </c>
      <c r="E213" s="2979" t="s">
        <v>3062</v>
      </c>
    </row>
    <row r="214" spans="1:10" ht="18.95" customHeight="1">
      <c r="A214" s="2979">
        <v>212</v>
      </c>
      <c r="B214" s="2979" t="s">
        <v>3061</v>
      </c>
      <c r="C214" s="2979">
        <v>3702</v>
      </c>
      <c r="D214" s="2980">
        <v>49.99</v>
      </c>
      <c r="E214" s="2979" t="s">
        <v>3062</v>
      </c>
    </row>
    <row r="215" spans="1:10" ht="18.95" customHeight="1">
      <c r="A215" s="2979">
        <v>213</v>
      </c>
      <c r="B215" s="2979" t="s">
        <v>3061</v>
      </c>
      <c r="C215" s="2979">
        <v>3703</v>
      </c>
      <c r="D215" s="2980">
        <v>60.88</v>
      </c>
      <c r="E215" s="2979" t="s">
        <v>3062</v>
      </c>
    </row>
    <row r="216" spans="1:10" ht="18.95" customHeight="1">
      <c r="A216" s="2979">
        <v>214</v>
      </c>
      <c r="B216" s="2979" t="s">
        <v>3061</v>
      </c>
      <c r="C216" s="2979">
        <v>3705</v>
      </c>
      <c r="D216" s="2980">
        <v>63.71</v>
      </c>
      <c r="E216" s="2979" t="s">
        <v>3062</v>
      </c>
    </row>
    <row r="217" spans="1:10" ht="18.95" customHeight="1">
      <c r="A217" s="2979">
        <v>215</v>
      </c>
      <c r="B217" s="2979" t="s">
        <v>3061</v>
      </c>
      <c r="C217" s="2979">
        <v>3706</v>
      </c>
      <c r="D217" s="2980">
        <v>64.39</v>
      </c>
      <c r="E217" s="2979" t="s">
        <v>3062</v>
      </c>
    </row>
    <row r="218" spans="1:10" ht="18.95" customHeight="1">
      <c r="A218" s="2979">
        <v>216</v>
      </c>
      <c r="B218" s="2979" t="s">
        <v>3061</v>
      </c>
      <c r="C218" s="2979">
        <v>3707</v>
      </c>
      <c r="D218" s="2980">
        <v>102.3</v>
      </c>
      <c r="E218" s="2979" t="s">
        <v>3062</v>
      </c>
    </row>
    <row r="219" spans="1:10" ht="18.95" customHeight="1">
      <c r="A219" s="2979">
        <v>217</v>
      </c>
      <c r="B219" s="2979" t="s">
        <v>3061</v>
      </c>
      <c r="C219" s="2979">
        <v>3708</v>
      </c>
      <c r="D219" s="2980">
        <v>62.25</v>
      </c>
      <c r="E219" s="2979" t="s">
        <v>3062</v>
      </c>
      <c r="J219" s="2975"/>
    </row>
    <row r="220" spans="1:10" ht="18.95" customHeight="1">
      <c r="A220" s="3086" t="s">
        <v>3063</v>
      </c>
      <c r="B220" s="3086"/>
      <c r="C220" s="3086"/>
      <c r="D220" s="3087">
        <f>SUM(D3:D219)</f>
        <v>14362.359999999961</v>
      </c>
      <c r="E220" s="3086"/>
      <c r="J220" s="2975"/>
    </row>
    <row r="221" spans="1:10" ht="18.95" customHeight="1">
      <c r="J221" s="2975"/>
    </row>
    <row r="222" spans="1:10" ht="18.75" customHeight="1">
      <c r="J222" s="2975"/>
    </row>
    <row r="223" spans="1:10" ht="39" customHeight="1">
      <c r="A223" s="3084" t="s">
        <v>3064</v>
      </c>
      <c r="B223" s="3085"/>
      <c r="C223" s="3085"/>
      <c r="D223" s="3085"/>
      <c r="E223" s="3085"/>
      <c r="J223" s="2975"/>
    </row>
    <row r="224" spans="1:10" ht="28.5">
      <c r="A224" s="2977" t="s">
        <v>3065</v>
      </c>
      <c r="B224" s="2977" t="s">
        <v>3066</v>
      </c>
      <c r="C224" s="2977" t="s">
        <v>3067</v>
      </c>
      <c r="D224" s="2978" t="s">
        <v>3068</v>
      </c>
      <c r="E224" s="2977" t="s">
        <v>3069</v>
      </c>
      <c r="J224" s="2975"/>
    </row>
    <row r="225" spans="1:10" ht="20.100000000000001" customHeight="1">
      <c r="A225" s="2979">
        <v>1</v>
      </c>
      <c r="B225" s="2979" t="s">
        <v>3070</v>
      </c>
      <c r="C225" s="2979" t="s">
        <v>3071</v>
      </c>
      <c r="D225" s="2983">
        <v>443.61</v>
      </c>
      <c r="E225" s="2979" t="s">
        <v>3072</v>
      </c>
      <c r="J225" s="2975"/>
    </row>
    <row r="226" spans="1:10" ht="20.100000000000001" customHeight="1">
      <c r="A226" s="2979">
        <v>2</v>
      </c>
      <c r="B226" s="2979" t="s">
        <v>3073</v>
      </c>
      <c r="C226" s="2979" t="s">
        <v>3071</v>
      </c>
      <c r="D226" s="2980">
        <v>299.77999999999997</v>
      </c>
      <c r="E226" s="2979" t="s">
        <v>3072</v>
      </c>
      <c r="J226" s="2975"/>
    </row>
    <row r="227" spans="1:10" ht="20.100000000000001" customHeight="1">
      <c r="A227" s="2979">
        <v>3</v>
      </c>
      <c r="B227" s="2979" t="s">
        <v>3074</v>
      </c>
      <c r="C227" s="2979" t="s">
        <v>3071</v>
      </c>
      <c r="D227" s="2980">
        <v>309.8</v>
      </c>
      <c r="E227" s="2979" t="s">
        <v>3072</v>
      </c>
    </row>
    <row r="228" spans="1:10" ht="20.100000000000001" customHeight="1">
      <c r="A228" s="2979">
        <v>4</v>
      </c>
      <c r="B228" s="2979" t="s">
        <v>3075</v>
      </c>
      <c r="C228" s="2979" t="s">
        <v>3071</v>
      </c>
      <c r="D228" s="2980">
        <v>454.19</v>
      </c>
      <c r="E228" s="2979" t="s">
        <v>3072</v>
      </c>
    </row>
    <row r="229" spans="1:10" ht="20.100000000000001" customHeight="1">
      <c r="A229" s="2979">
        <v>5</v>
      </c>
      <c r="B229" s="2979" t="s">
        <v>3076</v>
      </c>
      <c r="C229" s="2979" t="s">
        <v>3071</v>
      </c>
      <c r="D229" s="2980">
        <v>371.73</v>
      </c>
      <c r="E229" s="2979" t="s">
        <v>3072</v>
      </c>
    </row>
    <row r="230" spans="1:10" ht="20.100000000000001" customHeight="1">
      <c r="A230" s="2979">
        <v>6</v>
      </c>
      <c r="B230" s="2979" t="s">
        <v>3077</v>
      </c>
      <c r="C230" s="2979" t="s">
        <v>3071</v>
      </c>
      <c r="D230" s="2980">
        <v>379.79</v>
      </c>
      <c r="E230" s="2979" t="s">
        <v>3072</v>
      </c>
    </row>
    <row r="231" spans="1:10" ht="20.100000000000001" customHeight="1">
      <c r="A231" s="2979">
        <v>7</v>
      </c>
      <c r="B231" s="2979" t="s">
        <v>3078</v>
      </c>
      <c r="C231" s="2979" t="s">
        <v>3071</v>
      </c>
      <c r="D231" s="2980">
        <v>525.02</v>
      </c>
      <c r="E231" s="2979" t="s">
        <v>3072</v>
      </c>
    </row>
    <row r="232" spans="1:10" ht="20.100000000000001" customHeight="1">
      <c r="A232" s="2979">
        <v>8</v>
      </c>
      <c r="B232" s="2979" t="s">
        <v>3079</v>
      </c>
      <c r="C232" s="2979" t="s">
        <v>3071</v>
      </c>
      <c r="D232" s="2980">
        <v>419.8</v>
      </c>
      <c r="E232" s="2979" t="s">
        <v>3072</v>
      </c>
    </row>
    <row r="233" spans="1:10" ht="20.100000000000001" customHeight="1">
      <c r="A233" s="2979">
        <v>9</v>
      </c>
      <c r="B233" s="2979" t="s">
        <v>3080</v>
      </c>
      <c r="C233" s="2979" t="s">
        <v>3071</v>
      </c>
      <c r="D233" s="2980">
        <v>882.57</v>
      </c>
      <c r="E233" s="2979" t="s">
        <v>3072</v>
      </c>
    </row>
    <row r="234" spans="1:10" ht="20.100000000000001" customHeight="1">
      <c r="A234" s="2979">
        <v>10</v>
      </c>
      <c r="B234" s="2979" t="s">
        <v>3081</v>
      </c>
      <c r="C234" s="2979" t="s">
        <v>3071</v>
      </c>
      <c r="D234" s="2980">
        <v>678.43</v>
      </c>
      <c r="E234" s="2979" t="s">
        <v>3072</v>
      </c>
    </row>
    <row r="235" spans="1:10" ht="20.100000000000001" customHeight="1">
      <c r="A235" s="3086" t="s">
        <v>3082</v>
      </c>
      <c r="B235" s="3086"/>
      <c r="C235" s="3086"/>
      <c r="D235" s="3087">
        <f>SUM(D225:D234)</f>
        <v>4764.72</v>
      </c>
      <c r="E235" s="3086"/>
    </row>
    <row r="236" spans="1:10" ht="20.100000000000001" customHeight="1"/>
    <row r="237" spans="1:10" ht="20.100000000000001" customHeight="1"/>
    <row r="238" spans="1:10" ht="29.25" customHeight="1">
      <c r="A238" s="3084"/>
      <c r="B238" s="3085"/>
      <c r="C238" s="3085"/>
      <c r="D238" s="3085"/>
      <c r="E238" s="3085"/>
    </row>
  </sheetData>
  <mergeCells count="7">
    <mergeCell ref="A238:E238"/>
    <mergeCell ref="A1:E1"/>
    <mergeCell ref="A220:C220"/>
    <mergeCell ref="D220:E220"/>
    <mergeCell ref="A223:E223"/>
    <mergeCell ref="A235:C235"/>
    <mergeCell ref="D235:E23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97" t="s">
        <v>1934</v>
      </c>
      <c r="B2" s="3097"/>
      <c r="C2" s="3097"/>
      <c r="D2" s="967" t="s">
        <v>1910</v>
      </c>
      <c r="E2" s="2227" t="s">
        <v>1911</v>
      </c>
      <c r="F2" s="1392"/>
      <c r="G2" s="2228"/>
      <c r="H2" s="2229"/>
      <c r="I2" s="2230" t="s">
        <v>1935</v>
      </c>
      <c r="J2" s="1392"/>
      <c r="K2" s="1392"/>
      <c r="L2" s="1392"/>
      <c r="M2" s="1392"/>
      <c r="N2" s="1427"/>
      <c r="O2" s="1392"/>
      <c r="P2" s="1392"/>
    </row>
    <row r="3" spans="1:16" ht="15.75" thickBot="1">
      <c r="A3" s="3098" t="s">
        <v>1908</v>
      </c>
      <c r="B3" s="3098"/>
      <c r="C3" s="3098"/>
      <c r="D3" s="46">
        <f>'数据-基础表'!AY6</f>
        <v>14543</v>
      </c>
      <c r="E3" s="46">
        <f>'数据-基础表'!AZ5</f>
        <v>499.07</v>
      </c>
      <c r="F3" s="1392"/>
      <c r="G3" s="1399"/>
      <c r="H3" s="1247" t="s">
        <v>1909</v>
      </c>
      <c r="I3" s="55">
        <f>ROUND('数据-基础表'!B3/'数据-基础表'!A3,2)</f>
        <v>0.03</v>
      </c>
      <c r="J3" s="1392"/>
      <c r="K3" s="1392"/>
      <c r="L3" s="1392"/>
      <c r="M3" s="1392"/>
      <c r="N3" s="1427"/>
      <c r="O3" s="1392"/>
      <c r="P3" s="1392"/>
    </row>
    <row r="4" spans="1:16" ht="15">
      <c r="A4" s="3099"/>
      <c r="B4" s="3100"/>
      <c r="C4" s="3101"/>
      <c r="D4" s="2231" t="s">
        <v>1910</v>
      </c>
      <c r="E4" s="2232" t="s">
        <v>1911</v>
      </c>
      <c r="F4" s="1392"/>
      <c r="G4" s="2233" t="s">
        <v>1936</v>
      </c>
      <c r="H4" s="1247" t="s">
        <v>1916</v>
      </c>
      <c r="I4" s="55">
        <f>ROUND(SUMIF('数据-基础表'!I9:AS9,"地上",'数据-基础表'!I5:AS5)/'数据-基础表'!A3,2)</f>
        <v>0.03</v>
      </c>
      <c r="J4" s="1392"/>
      <c r="K4" s="1392"/>
      <c r="L4" s="1392"/>
      <c r="M4" s="1392"/>
      <c r="N4" s="1427"/>
      <c r="O4" s="1392"/>
      <c r="P4" s="1392"/>
    </row>
    <row r="5" spans="1:16">
      <c r="A5" s="47" t="s">
        <v>1912</v>
      </c>
      <c r="B5" s="3102" t="s">
        <v>1913</v>
      </c>
      <c r="C5" s="3102"/>
      <c r="D5" s="48">
        <f>ROUND($D$3*E5/$E$3,2)</f>
        <v>0</v>
      </c>
      <c r="E5" s="49">
        <f>SUMIF('数据-基础表'!$11:$11,"住宅",'数据-基础表'!$5:$5)</f>
        <v>0</v>
      </c>
      <c r="F5" s="1392"/>
      <c r="G5" s="1399"/>
      <c r="H5" s="1247" t="s">
        <v>1909</v>
      </c>
      <c r="I5" s="55">
        <f>ROUND(E31/D31,2)</f>
        <v>0.03</v>
      </c>
      <c r="J5" s="1392"/>
      <c r="K5" s="1392"/>
      <c r="L5" s="1392"/>
      <c r="M5" s="1392"/>
      <c r="N5" s="1392"/>
      <c r="O5" s="1392"/>
      <c r="P5" s="1392"/>
    </row>
    <row r="6" spans="1:16" ht="15" thickBot="1">
      <c r="A6" s="2234"/>
      <c r="B6" s="3102" t="s">
        <v>1914</v>
      </c>
      <c r="C6" s="3102"/>
      <c r="D6" s="48">
        <f>ROUND($D$3*E6/$E$3,2)</f>
        <v>14543</v>
      </c>
      <c r="E6" s="49">
        <f>E3-E5</f>
        <v>499.07</v>
      </c>
      <c r="F6" s="1392"/>
      <c r="G6" s="2235" t="s">
        <v>1915</v>
      </c>
      <c r="H6" s="1399" t="s">
        <v>1916</v>
      </c>
      <c r="I6" s="939">
        <f>ROUND(F31/D31,2)</f>
        <v>0.03</v>
      </c>
      <c r="J6" s="1392"/>
      <c r="K6" s="1392"/>
      <c r="L6" s="1392"/>
      <c r="M6" s="1392"/>
      <c r="N6" s="1392"/>
      <c r="O6" s="1392"/>
      <c r="P6" s="1392"/>
    </row>
    <row r="7" spans="1:16" ht="15">
      <c r="A7" s="3094"/>
      <c r="B7" s="3095"/>
      <c r="C7" s="3096"/>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14543</v>
      </c>
      <c r="E8" s="51">
        <f>SUMIF('数据-基础表'!BB10:BK10,"地上",'数据-基础表'!BB5:BK5)</f>
        <v>499.07</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14543</v>
      </c>
      <c r="E16" s="53">
        <f>SUM(E8:E15)</f>
        <v>499.07</v>
      </c>
      <c r="F16" s="1392"/>
      <c r="G16" s="2237"/>
      <c r="H16" s="2240" t="s">
        <v>1938</v>
      </c>
      <c r="I16" s="2241"/>
      <c r="J16" s="1392"/>
      <c r="K16" s="3091" t="s">
        <v>1938</v>
      </c>
      <c r="L16" s="3092"/>
      <c r="M16" s="3092"/>
      <c r="N16" s="3092"/>
      <c r="O16" s="3092"/>
      <c r="P16" s="3093"/>
    </row>
    <row r="17" spans="1:19" ht="15">
      <c r="A17" s="2242" t="s">
        <v>1939</v>
      </c>
      <c r="B17" s="2243" t="s">
        <v>1940</v>
      </c>
      <c r="C17" s="2244" t="s">
        <v>1941</v>
      </c>
      <c r="D17" s="2245" t="s">
        <v>1929</v>
      </c>
      <c r="E17" s="2246" t="s">
        <v>1930</v>
      </c>
      <c r="F17" s="2247"/>
      <c r="G17" s="2248"/>
      <c r="H17" s="2249" t="s">
        <v>1942</v>
      </c>
      <c r="I17" s="2250" t="s">
        <v>1927</v>
      </c>
      <c r="J17" s="1392"/>
      <c r="K17" s="3088" t="s">
        <v>1943</v>
      </c>
      <c r="L17" s="3089"/>
      <c r="M17" s="3090"/>
      <c r="N17" s="3088" t="s">
        <v>1944</v>
      </c>
      <c r="O17" s="3089"/>
      <c r="P17" s="3090"/>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84" t="s">
        <v>3088</v>
      </c>
      <c r="D19" s="48">
        <f>ROUND($D$3*E19/$E$3,2)</f>
        <v>1616.12</v>
      </c>
      <c r="E19" s="56">
        <f t="shared" ref="E19:E26" si="1">SUM(F19:G19)</f>
        <v>55.46</v>
      </c>
      <c r="F19" s="57">
        <f>'数据-基础表'!I13</f>
        <v>55.46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1616.12</v>
      </c>
      <c r="S19" s="1248">
        <f t="shared" si="5"/>
        <v>55.46</v>
      </c>
    </row>
    <row r="20" spans="1:19">
      <c r="A20" s="2263"/>
      <c r="B20" s="50" t="s">
        <v>1956</v>
      </c>
      <c r="C20" s="2984" t="s">
        <v>3089</v>
      </c>
      <c r="D20" s="48">
        <f t="shared" ref="D20:D26" si="6">ROUND($D$3*E20/$E$3,2)</f>
        <v>12926.88</v>
      </c>
      <c r="E20" s="56">
        <f t="shared" si="1"/>
        <v>443.61</v>
      </c>
      <c r="F20" s="57">
        <f>'数据-基础表'!K13</f>
        <v>443.61</v>
      </c>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12926.88</v>
      </c>
      <c r="S20" s="1248">
        <f t="shared" si="5"/>
        <v>443.61</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14543</v>
      </c>
      <c r="E27" s="1394">
        <f>IF(SUM(E19:E26)='数据-基础表'!BA5,SUM(E19:E26),IF(F27="地上面积有误","面积有误","地下面积有误"))</f>
        <v>499.07</v>
      </c>
      <c r="F27" s="1393">
        <f>IF(SUM(F19:F26)=E8,SUM(F19:F26),"地上面积有误")</f>
        <v>499.07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14543</v>
      </c>
      <c r="S27" s="1247">
        <f>IF(SUM(S19:S26)=$E$3,SUM(S19:S26),SUM(S19:S26)&amp;"误差"&amp;ROUND(SUM(S19:S26)-E3,2))</f>
        <v>499.07</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14543</v>
      </c>
      <c r="E31" s="729">
        <f>E27+E30</f>
        <v>499.07</v>
      </c>
      <c r="F31" s="730">
        <f>F27+F30</f>
        <v>499.07</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20" sqref="L20"/>
    </sheetView>
  </sheetViews>
  <sheetFormatPr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9" style="2274"/>
    <col min="68" max="16384" width="9"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43845</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3091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56980</v>
      </c>
      <c r="F6" s="72">
        <f>SUMIF(项目基本情况!D$12:I$12,C6,项目基本情况!D$15:I$15)</f>
        <v>50</v>
      </c>
      <c r="G6" s="73">
        <f>IF(ISERROR(ROUND(POWER(1+H6,D6-F6)*(POWER(1+H6,F6)-1)/(POWER(1+H6,D6)-1),3)),0,ROUND(POWER(1+H6,D6-F6)*(POWER(1+H6,F6)-1)/(POWER(1+H6,D6)-1),3))</f>
        <v>1</v>
      </c>
      <c r="H6" s="802">
        <v>0.04</v>
      </c>
      <c r="I6" s="802">
        <v>4.4999999999999998E-2</v>
      </c>
      <c r="J6" s="74">
        <v>8.5000000000000006E-2</v>
      </c>
      <c r="K6" s="1251">
        <f>SUMIF('数据-汇总表'!C$19:C$33,A6,'数据-汇总表'!E$19:E$33)</f>
        <v>55.46</v>
      </c>
      <c r="L6" s="803">
        <v>4000</v>
      </c>
      <c r="M6" s="75">
        <f t="shared" ref="M6:M14" si="0">ROUND(K6*L6/10000,0)</f>
        <v>22</v>
      </c>
      <c r="N6" s="801">
        <f>ROUND(1-(2020-2008)/60,2)</f>
        <v>0.8</v>
      </c>
      <c r="O6" s="75" t="str">
        <f>IF($N$5="成新度","——",ROUND(M6*N6,0))</f>
        <v>——</v>
      </c>
      <c r="P6" s="76" t="str">
        <f>IF($N$5="成新度","——",M6-O6)</f>
        <v>——</v>
      </c>
      <c r="Q6" s="804">
        <v>0.1</v>
      </c>
      <c r="R6" s="77">
        <f ca="1">SUMIF('数据-汇总表'!C$19:C$33,A6,'数据-汇总表'!R$19:R$27)</f>
        <v>1616.12</v>
      </c>
      <c r="S6" s="54">
        <f>IF('数据-汇总表'!$I$17="按面积比例",SUMIF('数据-汇总表'!C$19:C$33,A6,'数据-汇总表'!K$19:K$33),SUMIF('数据-汇总表'!C$19:C$33,A6,'数据-汇总表'!N$19:N$33))</f>
        <v>0</v>
      </c>
      <c r="T6" s="1443">
        <f>ROUND($L$14*S6/10000,0)</f>
        <v>0</v>
      </c>
      <c r="U6" s="78">
        <v>8</v>
      </c>
      <c r="V6" s="79">
        <v>0.03</v>
      </c>
      <c r="W6" s="79">
        <v>0.1</v>
      </c>
      <c r="X6" s="1261"/>
      <c r="Y6" s="80">
        <f>N6</f>
        <v>0.8</v>
      </c>
      <c r="Z6" s="81"/>
      <c r="AA6" s="74"/>
      <c r="AB6" s="74"/>
      <c r="AC6" s="1261"/>
      <c r="AD6" s="82"/>
      <c r="AE6" s="1262">
        <f ca="1">IF(AN6="",0,SUMIF(INDIRECT("'"&amp;AN6&amp;"'"&amp;"!E:E"),$AE$5,INDIRECT("'"&amp;AN6&amp;"'"&amp;"!F:F")))</f>
        <v>50</v>
      </c>
      <c r="AF6" s="1804"/>
      <c r="AG6" s="147">
        <f>IF(AF6="",0,AE6-AF6)</f>
        <v>0</v>
      </c>
      <c r="AH6" s="83"/>
      <c r="AI6" s="85">
        <v>365</v>
      </c>
      <c r="AJ6" s="86"/>
      <c r="AK6" s="87">
        <v>1.4999999999999999E-2</v>
      </c>
      <c r="AL6" s="88">
        <v>1.5E-3</v>
      </c>
      <c r="AM6" s="89">
        <v>0.01</v>
      </c>
      <c r="AN6" s="2309" t="s">
        <v>3092</v>
      </c>
      <c r="AO6" s="55">
        <f ca="1">SUMIF(INDIRECT("'"&amp;AN6&amp;"'"&amp;"!A:A"),"总价",INDIRECT("'"&amp;AN6&amp;"'"&amp;"!B:B"))</f>
        <v>309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商业</v>
      </c>
      <c r="B7" s="2307" t="str">
        <f t="shared" ref="B7:B13" si="1">IF(A7=0,"","经营性")</f>
        <v>经营性</v>
      </c>
      <c r="C7" s="2308" t="s">
        <v>1372</v>
      </c>
      <c r="D7" s="1051">
        <f>SUMIF(项目基本情况!D$12:I$12,C7,项目基本情况!D$14:I$14)</f>
        <v>40</v>
      </c>
      <c r="E7" s="1048">
        <f>IF(B7="","",SUMIF(项目基本情况!D$12:I$12,C7,项目基本情况!D$13:I$13))</f>
        <v>53328</v>
      </c>
      <c r="F7" s="72">
        <f>SUMIF(项目基本情况!D$12:I$12,C7,项目基本情况!D$15:I$15)</f>
        <v>40</v>
      </c>
      <c r="G7" s="73">
        <f t="shared" ref="G7:G11" si="2">IF(ISERROR(ROUND(POWER(1+H7,D7-F7)*(POWER(1+H7,F7)-1)/(POWER(1+H7,D7)-1),3)),0,ROUND(POWER(1+H7,D7-F7)*(POWER(1+H7,F7)-1)/(POWER(1+H7,D7)-1),3))</f>
        <v>1</v>
      </c>
      <c r="H7" s="802">
        <v>4.4999999999999998E-2</v>
      </c>
      <c r="I7" s="802">
        <v>0.05</v>
      </c>
      <c r="J7" s="74">
        <v>8.5000000000000006E-2</v>
      </c>
      <c r="K7" s="1251">
        <f>SUMIF('数据-汇总表'!C$19:C$33,A7,'数据-汇总表'!E$19:E$33)</f>
        <v>443.61</v>
      </c>
      <c r="L7" s="803">
        <v>3000</v>
      </c>
      <c r="M7" s="75">
        <f t="shared" si="0"/>
        <v>133</v>
      </c>
      <c r="N7" s="801">
        <f>N6</f>
        <v>0.8</v>
      </c>
      <c r="O7" s="75" t="str">
        <f t="shared" ref="O7:O14" si="3">IF($N$5="成新度","——",ROUND(M7*N7,0))</f>
        <v>——</v>
      </c>
      <c r="P7" s="76" t="str">
        <f t="shared" ref="P7:P14" si="4">IF($N$5="成新度","——",M7-O7)</f>
        <v>——</v>
      </c>
      <c r="Q7" s="804">
        <v>0.2</v>
      </c>
      <c r="R7" s="77">
        <f ca="1">SUMIF('数据-汇总表'!C$19:C$33,A7,'数据-汇总表'!R$19:R$27)</f>
        <v>12926.88</v>
      </c>
      <c r="S7" s="54">
        <f>IF('数据-汇总表'!$I$17="按面积比例",SUMIF('数据-汇总表'!C$19:C$33,A7,'数据-汇总表'!K$19:K$33),SUMIF('数据-汇总表'!C$19:C$33,A7,'数据-汇总表'!N$19:N$33))</f>
        <v>0</v>
      </c>
      <c r="T7" s="1443">
        <f t="shared" ref="T7:T13" si="5">ROUND($L$14*S7/10000,0)</f>
        <v>0</v>
      </c>
      <c r="U7" s="78">
        <v>10</v>
      </c>
      <c r="V7" s="79">
        <v>0.03</v>
      </c>
      <c r="W7" s="79">
        <v>0.1</v>
      </c>
      <c r="X7" s="1261"/>
      <c r="Y7" s="80">
        <f>N7</f>
        <v>0.8</v>
      </c>
      <c r="Z7" s="81"/>
      <c r="AA7" s="74"/>
      <c r="AB7" s="74"/>
      <c r="AC7" s="1261"/>
      <c r="AD7" s="82"/>
      <c r="AE7" s="1262">
        <f t="shared" ref="AE7:AE13" ca="1" si="6">IF(AN7="",0,SUMIF(INDIRECT("'"&amp;AN7&amp;"'"&amp;"!E:E"),$AE$5,INDIRECT("'"&amp;AN7&amp;"'"&amp;"!F:F")))</f>
        <v>40</v>
      </c>
      <c r="AF7" s="1804"/>
      <c r="AG7" s="147">
        <f t="shared" ref="AG7:AG13" si="7">IF(AF7="",0,AE7-AF7)</f>
        <v>0</v>
      </c>
      <c r="AH7" s="83"/>
      <c r="AI7" s="85">
        <v>365</v>
      </c>
      <c r="AJ7" s="86"/>
      <c r="AK7" s="87">
        <v>1.4999999999999999E-2</v>
      </c>
      <c r="AL7" s="88">
        <v>1.5E-3</v>
      </c>
      <c r="AM7" s="89">
        <v>0.01</v>
      </c>
      <c r="AN7" s="2309" t="s">
        <v>3085</v>
      </c>
      <c r="AO7" s="55">
        <f t="shared" ref="AO7:AO13" ca="1" si="8">SUMIF(INDIRECT("'"&amp;AN7&amp;"'"&amp;"!A:A"),"总价",INDIRECT("'"&amp;AN7&amp;"'"&amp;"!B:B"))</f>
        <v>2606</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1</v>
      </c>
      <c r="H16" s="99">
        <f>ROUND(SUMPRODUCT(H6:H13,K6:K13)/SUMPRODUCT((H6:H13&gt;0)*(K6:K13)),3)</f>
        <v>4.3999999999999997E-2</v>
      </c>
      <c r="I16" s="100"/>
      <c r="J16" s="100"/>
      <c r="K16" s="101">
        <f>SUM(K6:K15)</f>
        <v>499.07</v>
      </c>
      <c r="L16" s="102">
        <f>ROUND(M16*10000/SUM(K6:K14),0)</f>
        <v>3106</v>
      </c>
      <c r="M16" s="102">
        <f>SUM(M6:M14)</f>
        <v>155</v>
      </c>
      <c r="N16" s="103">
        <f>ROUND(SUMPRODUCT(M6:M14,N6:N14)/M16,3)</f>
        <v>0.8</v>
      </c>
      <c r="O16" s="102">
        <f>SUM(O6:O14)</f>
        <v>0</v>
      </c>
      <c r="P16" s="102">
        <f>SUM(P6:P14)</f>
        <v>0</v>
      </c>
      <c r="Q16" s="104">
        <f>ROUND(SUMPRODUCT(Q6:Q13,K6:K13)/SUMPRODUCT((Q6:Q13&gt;0)*(K6:K13)),2)</f>
        <v>0.19</v>
      </c>
      <c r="R16" s="1255">
        <f ca="1">SUM(R6:R13)</f>
        <v>14543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2992" t="s">
        <v>3112</v>
      </c>
      <c r="V19" s="1581"/>
      <c r="W19" s="2992" t="s">
        <v>3113</v>
      </c>
      <c r="X19" s="1581"/>
      <c r="Y19" s="2992" t="s">
        <v>3118</v>
      </c>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2992" t="s">
        <v>3119</v>
      </c>
      <c r="U20" s="1581" t="s">
        <v>3114</v>
      </c>
      <c r="V20" s="1581"/>
      <c r="W20" s="1581" t="s">
        <v>3143</v>
      </c>
      <c r="X20" s="1581"/>
      <c r="Y20" s="1581" t="s">
        <v>3144</v>
      </c>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430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430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0.05</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212</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2995">
        <v>15</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2995">
        <v>10</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2995">
        <v>6</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2995">
        <v>3</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2995">
        <v>1.5</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E16" sqref="E16"/>
    </sheetView>
  </sheetViews>
  <sheetFormatPr defaultRowHeight="13.5"/>
  <cols>
    <col min="1" max="1" width="15" customWidth="1"/>
    <col min="2" max="2" width="14.75" customWidth="1"/>
    <col min="3" max="3" width="14" customWidth="1"/>
    <col min="4" max="4" width="14.5" customWidth="1"/>
  </cols>
  <sheetData>
    <row r="1" spans="1:6">
      <c r="A1" t="s">
        <v>3094</v>
      </c>
      <c r="B1" t="s">
        <v>3095</v>
      </c>
      <c r="C1" t="s">
        <v>3096</v>
      </c>
      <c r="D1" t="s">
        <v>3097</v>
      </c>
      <c r="F1" s="2987" t="s">
        <v>3098</v>
      </c>
    </row>
    <row r="2" spans="1:6">
      <c r="A2">
        <v>1005</v>
      </c>
      <c r="B2">
        <v>18000</v>
      </c>
      <c r="C2" s="2985">
        <v>43751</v>
      </c>
      <c r="D2" s="2985">
        <v>44116</v>
      </c>
      <c r="F2">
        <f>抵押物清单!D48</f>
        <v>63.71</v>
      </c>
    </row>
    <row r="3" spans="1:6">
      <c r="A3">
        <v>1106</v>
      </c>
      <c r="B3">
        <v>19500</v>
      </c>
      <c r="C3" s="2985">
        <v>43756</v>
      </c>
      <c r="D3" s="2985">
        <v>44121</v>
      </c>
      <c r="F3">
        <f>抵押物清单!D56</f>
        <v>64.39</v>
      </c>
    </row>
    <row r="4" spans="1:6">
      <c r="A4">
        <v>1107</v>
      </c>
      <c r="B4">
        <v>26000</v>
      </c>
      <c r="C4" s="2990">
        <v>43764</v>
      </c>
      <c r="D4" s="2990">
        <v>43946</v>
      </c>
      <c r="F4">
        <f>抵押物清单!D57</f>
        <v>102.3</v>
      </c>
    </row>
    <row r="5" spans="1:6">
      <c r="A5">
        <v>1501</v>
      </c>
      <c r="B5">
        <v>17500</v>
      </c>
      <c r="C5" s="2985">
        <v>43746</v>
      </c>
      <c r="D5" s="2985">
        <v>43897</v>
      </c>
      <c r="F5">
        <f>抵押物清单!D73</f>
        <v>55.46</v>
      </c>
    </row>
    <row r="6" spans="1:6">
      <c r="A6">
        <v>1502</v>
      </c>
      <c r="B6">
        <v>16500</v>
      </c>
      <c r="C6" s="2985">
        <v>43753</v>
      </c>
      <c r="D6" s="2985">
        <v>43935</v>
      </c>
      <c r="F6">
        <f>抵押物清单!D74</f>
        <v>53.04</v>
      </c>
    </row>
    <row r="7" spans="1:6">
      <c r="A7">
        <v>1602</v>
      </c>
      <c r="B7">
        <v>16200.000000000002</v>
      </c>
      <c r="C7" s="2985">
        <v>43748</v>
      </c>
      <c r="D7" s="2985">
        <v>44113</v>
      </c>
      <c r="F7">
        <f>抵押物清单!D81</f>
        <v>53.04</v>
      </c>
    </row>
    <row r="8" spans="1:6">
      <c r="A8">
        <v>1702</v>
      </c>
      <c r="B8">
        <v>16200.000000000002</v>
      </c>
      <c r="C8" s="2985">
        <v>43753</v>
      </c>
      <c r="D8" s="2985">
        <v>44118</v>
      </c>
      <c r="F8">
        <f>抵押物清单!D88</f>
        <v>53.04</v>
      </c>
    </row>
    <row r="9" spans="1:6">
      <c r="A9">
        <v>2601</v>
      </c>
      <c r="B9">
        <v>17500</v>
      </c>
      <c r="C9" s="2985">
        <v>43750</v>
      </c>
      <c r="D9" s="2985">
        <v>44115</v>
      </c>
      <c r="F9">
        <f>抵押物清单!D143</f>
        <v>55.46</v>
      </c>
    </row>
    <row r="10" spans="1:6">
      <c r="A10">
        <v>2605</v>
      </c>
      <c r="B10">
        <v>21500</v>
      </c>
      <c r="C10" s="2985">
        <v>43756</v>
      </c>
      <c r="D10" s="2985">
        <v>43847</v>
      </c>
      <c r="F10">
        <f>抵押物清单!D146</f>
        <v>63.71</v>
      </c>
    </row>
    <row r="11" spans="1:6">
      <c r="A11">
        <v>2803</v>
      </c>
      <c r="B11">
        <v>20500</v>
      </c>
      <c r="C11" s="2985">
        <v>43756</v>
      </c>
      <c r="D11" s="2985">
        <v>43999</v>
      </c>
      <c r="F11">
        <f>抵押物清单!D159</f>
        <v>60.88</v>
      </c>
    </row>
    <row r="12" spans="1:6">
      <c r="A12">
        <v>3503</v>
      </c>
      <c r="B12">
        <v>19500</v>
      </c>
      <c r="C12" s="2985">
        <v>43744</v>
      </c>
      <c r="D12" s="2985">
        <v>44109</v>
      </c>
      <c r="F12">
        <f>抵押物清单!D201</f>
        <v>60.88</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3" t="s">
        <v>2079</v>
      </c>
      <c r="B1" s="3104"/>
      <c r="C1" s="3104"/>
      <c r="D1" s="3104"/>
      <c r="E1" s="3104"/>
      <c r="F1" s="3104"/>
      <c r="G1" s="310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19127.079999999962</v>
      </c>
      <c r="C1" s="1742"/>
      <c r="D1" s="1742"/>
      <c r="E1" s="1742"/>
      <c r="F1" s="1742"/>
      <c r="G1" s="1740"/>
    </row>
    <row r="2" spans="1:10" ht="16.5">
      <c r="A2" s="1743" t="s">
        <v>1348</v>
      </c>
      <c r="B2" s="1743">
        <f>SUM(C14:C23)</f>
        <v>14543</v>
      </c>
      <c r="C2" s="1742"/>
      <c r="D2" s="1742"/>
      <c r="E2" s="1742"/>
      <c r="F2" s="1742"/>
      <c r="G2" s="1740"/>
    </row>
    <row r="3" spans="1:10" ht="16.5">
      <c r="A3" s="1743" t="s">
        <v>1357</v>
      </c>
      <c r="B3" s="1744">
        <f>项目基本情况!D3</f>
        <v>43845</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132306</v>
      </c>
      <c r="C5" s="1743">
        <f ca="1">ROUND(B5*10000/$B$1,0)</f>
        <v>69172</v>
      </c>
      <c r="D5" s="1743">
        <f ca="1">ROUND(B5*10000/$B$2,0)</f>
        <v>90976</v>
      </c>
      <c r="E5" s="1742"/>
      <c r="F5" s="1740"/>
      <c r="G5" s="1740"/>
    </row>
    <row r="6" spans="1:10" ht="16.5">
      <c r="A6" s="1743" t="s">
        <v>1351</v>
      </c>
      <c r="B6" s="1743">
        <f ca="1">SUM(G14:G23)</f>
        <v>132306</v>
      </c>
      <c r="C6" s="1743">
        <f ca="1">ROUND(B6*10000/$B$1,0)</f>
        <v>69172</v>
      </c>
      <c r="D6" s="1743">
        <f ca="1">ROUND(B6*10000/$B$2,0)</f>
        <v>90976</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'典型户型修正 (商业)'!B22</f>
        <v>4764.72</v>
      </c>
      <c r="C14" s="1741">
        <f>结果表!C118</f>
        <v>14543</v>
      </c>
      <c r="D14" s="1741">
        <f ca="1">'典型户型修正 (商业)'!S22</f>
        <v>24498</v>
      </c>
      <c r="E14" s="1741">
        <f ca="1">ROUND(D14*10000/B14,0)</f>
        <v>51415</v>
      </c>
      <c r="F14" s="1741">
        <f ca="1">ROUND(D14*10000/C14,0)</f>
        <v>16845</v>
      </c>
      <c r="G14" s="1741">
        <f ca="1">D14</f>
        <v>24498</v>
      </c>
      <c r="H14" s="1741" t="str">
        <f>结果表!D124</f>
        <v>——</v>
      </c>
      <c r="I14" s="1741" t="str">
        <f>结果表!D126</f>
        <v>——</v>
      </c>
      <c r="J14" s="1740"/>
    </row>
    <row r="15" spans="1:10" ht="16.5">
      <c r="A15" s="1739" t="s">
        <v>1344</v>
      </c>
      <c r="B15" s="1746">
        <f>典型户型修正!B22</f>
        <v>14362.359999999961</v>
      </c>
      <c r="C15" s="1746"/>
      <c r="D15" s="1746">
        <f ca="1">典型户型修正!S22</f>
        <v>107808</v>
      </c>
      <c r="E15" s="1741">
        <f t="shared" ref="E15:E23" ca="1" si="0">ROUND(D15*10000/B15,0)</f>
        <v>75063</v>
      </c>
      <c r="F15" s="1741" t="e">
        <f t="shared" ref="F15:F23" ca="1" si="1">ROUND(D15*10000/C15,0)</f>
        <v>#DIV/0!</v>
      </c>
      <c r="G15" s="1747">
        <f ca="1">D15</f>
        <v>107808</v>
      </c>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8" t="str">
        <f>项目基本情况!B1</f>
        <v>房地产抵押价值预评估</v>
      </c>
      <c r="C37" s="3008"/>
      <c r="D37" s="3008"/>
      <c r="E37" s="3008"/>
      <c r="F37" s="3008"/>
      <c r="G37" s="3008"/>
      <c r="H37" s="3008"/>
      <c r="I37" s="300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3120</v>
      </c>
      <c r="H1" s="2421" t="str">
        <f>IF(G1="现房","——","估价对象范围")</f>
        <v>——</v>
      </c>
      <c r="I1" s="2422"/>
    </row>
    <row r="2" spans="1:12" ht="21.75" customHeight="1" thickBot="1">
      <c r="A2" s="3177" t="str">
        <f>项目基本情况!S2</f>
        <v>房地产</v>
      </c>
      <c r="B2" s="3178"/>
      <c r="C2" s="3178"/>
      <c r="D2" s="3178"/>
      <c r="E2" s="3178"/>
      <c r="F2" s="3178"/>
      <c r="G2" s="3178"/>
      <c r="H2" s="3178"/>
      <c r="I2" s="3179"/>
    </row>
    <row r="3" spans="1:12" ht="12.75">
      <c r="A3" s="3180" t="s">
        <v>2118</v>
      </c>
      <c r="B3" s="3181"/>
      <c r="C3" s="3181"/>
      <c r="D3" s="3181"/>
      <c r="E3" s="3181"/>
      <c r="F3" s="3181"/>
      <c r="G3" s="3181"/>
      <c r="H3" s="3181"/>
      <c r="I3" s="3181"/>
    </row>
    <row r="4" spans="1:12" ht="14.25">
      <c r="A4" s="2425" t="s">
        <v>2119</v>
      </c>
      <c r="B4" s="2426" t="s">
        <v>2120</v>
      </c>
      <c r="C4" s="2427" t="s">
        <v>3090</v>
      </c>
      <c r="D4" s="2427" t="s">
        <v>3085</v>
      </c>
      <c r="E4" s="3161" t="s">
        <v>2121</v>
      </c>
      <c r="F4" s="3174"/>
      <c r="G4" s="3174"/>
      <c r="H4" s="3174"/>
      <c r="I4" s="3162"/>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52" t="s">
        <v>2122</v>
      </c>
      <c r="B5" s="3074">
        <v>25</v>
      </c>
      <c r="C5" s="3182"/>
      <c r="D5" s="3170"/>
      <c r="E5" s="140" t="s">
        <v>2123</v>
      </c>
      <c r="F5" s="2429"/>
      <c r="G5" s="2429"/>
      <c r="H5" s="2429"/>
      <c r="I5" s="1831"/>
    </row>
    <row r="6" spans="1:12" ht="12.75">
      <c r="A6" s="3152"/>
      <c r="B6" s="3074"/>
      <c r="C6" s="3184"/>
      <c r="D6" s="3170"/>
      <c r="E6" s="140" t="s">
        <v>2124</v>
      </c>
      <c r="F6" s="2429"/>
      <c r="G6" s="2429"/>
      <c r="H6" s="2429"/>
      <c r="I6" s="1831"/>
    </row>
    <row r="7" spans="1:12" ht="12.75">
      <c r="A7" s="3152"/>
      <c r="B7" s="3074"/>
      <c r="C7" s="3183"/>
      <c r="D7" s="3170"/>
      <c r="E7" s="140" t="s">
        <v>2125</v>
      </c>
      <c r="F7" s="2429"/>
      <c r="G7" s="2429"/>
      <c r="H7" s="2429"/>
      <c r="I7" s="1831"/>
    </row>
    <row r="8" spans="1:12" ht="12.75">
      <c r="A8" s="3152" t="s">
        <v>2126</v>
      </c>
      <c r="B8" s="3074">
        <v>15</v>
      </c>
      <c r="C8" s="3182"/>
      <c r="D8" s="3170"/>
      <c r="E8" s="140" t="s">
        <v>2127</v>
      </c>
      <c r="F8" s="2429"/>
      <c r="G8" s="2429"/>
      <c r="H8" s="2429"/>
      <c r="I8" s="1831"/>
    </row>
    <row r="9" spans="1:12" ht="12.75">
      <c r="A9" s="3152"/>
      <c r="B9" s="3074"/>
      <c r="C9" s="3183"/>
      <c r="D9" s="3170"/>
      <c r="E9" s="140" t="s">
        <v>2128</v>
      </c>
      <c r="F9" s="2429"/>
      <c r="G9" s="2429"/>
      <c r="H9" s="2429"/>
      <c r="I9" s="1831"/>
    </row>
    <row r="10" spans="1:12" ht="12.75">
      <c r="A10" s="3152" t="s">
        <v>2129</v>
      </c>
      <c r="B10" s="3074">
        <v>15</v>
      </c>
      <c r="C10" s="3182"/>
      <c r="D10" s="3170"/>
      <c r="E10" s="140" t="s">
        <v>2130</v>
      </c>
      <c r="F10" s="2429"/>
      <c r="G10" s="2429"/>
      <c r="H10" s="2429"/>
      <c r="I10" s="1831"/>
    </row>
    <row r="11" spans="1:12" ht="12.75">
      <c r="A11" s="3152"/>
      <c r="B11" s="3074"/>
      <c r="C11" s="3183"/>
      <c r="D11" s="3170"/>
      <c r="E11" s="140" t="s">
        <v>2131</v>
      </c>
      <c r="F11" s="2429"/>
      <c r="G11" s="2429"/>
      <c r="H11" s="2429"/>
      <c r="I11" s="1831"/>
    </row>
    <row r="12" spans="1:12" ht="12.75">
      <c r="A12" s="3152" t="s">
        <v>2132</v>
      </c>
      <c r="B12" s="3074">
        <v>15</v>
      </c>
      <c r="C12" s="3182"/>
      <c r="D12" s="3170"/>
      <c r="E12" s="140" t="s">
        <v>2133</v>
      </c>
      <c r="F12" s="2429"/>
      <c r="G12" s="2429"/>
      <c r="H12" s="2429"/>
      <c r="I12" s="1831"/>
    </row>
    <row r="13" spans="1:12" ht="12.75">
      <c r="A13" s="3152"/>
      <c r="B13" s="3074"/>
      <c r="C13" s="3183"/>
      <c r="D13" s="3170"/>
      <c r="E13" s="140" t="s">
        <v>2134</v>
      </c>
      <c r="F13" s="2429"/>
      <c r="G13" s="2429"/>
      <c r="H13" s="2429"/>
      <c r="I13" s="1831"/>
    </row>
    <row r="14" spans="1:12" ht="12.75">
      <c r="A14" s="3152" t="s">
        <v>2135</v>
      </c>
      <c r="B14" s="3074">
        <v>30</v>
      </c>
      <c r="C14" s="3182">
        <v>5</v>
      </c>
      <c r="D14" s="3170">
        <v>5</v>
      </c>
      <c r="E14" s="140" t="s">
        <v>2136</v>
      </c>
      <c r="F14" s="2429"/>
      <c r="G14" s="2429"/>
      <c r="H14" s="2429"/>
      <c r="I14" s="1831"/>
    </row>
    <row r="15" spans="1:12" ht="12.75">
      <c r="A15" s="3152"/>
      <c r="B15" s="3074"/>
      <c r="C15" s="3184"/>
      <c r="D15" s="3170"/>
      <c r="E15" s="140" t="s">
        <v>2137</v>
      </c>
      <c r="F15" s="2429"/>
      <c r="G15" s="2429"/>
      <c r="H15" s="2429"/>
      <c r="I15" s="1831"/>
    </row>
    <row r="16" spans="1:12" ht="12.75">
      <c r="A16" s="3152"/>
      <c r="B16" s="3074"/>
      <c r="C16" s="3183"/>
      <c r="D16" s="3170"/>
      <c r="E16" s="140" t="s">
        <v>2138</v>
      </c>
      <c r="F16" s="2429"/>
      <c r="G16" s="2429"/>
      <c r="H16" s="2429"/>
      <c r="I16" s="1831"/>
    </row>
    <row r="17" spans="1:35" ht="15">
      <c r="A17" s="2430" t="s">
        <v>2139</v>
      </c>
      <c r="B17" s="64"/>
      <c r="C17" s="141">
        <f>SUM(C5:C16)</f>
        <v>5</v>
      </c>
      <c r="D17" s="141">
        <f>SUM(D5:D16)</f>
        <v>5</v>
      </c>
      <c r="E17" s="138"/>
      <c r="F17" s="138"/>
      <c r="G17" s="138"/>
      <c r="H17" s="138"/>
      <c r="I17" s="138"/>
      <c r="K17" s="2428"/>
      <c r="L17" s="2431" t="s">
        <v>2140</v>
      </c>
      <c r="M17" s="2431" t="s">
        <v>2141</v>
      </c>
    </row>
    <row r="18" spans="1:35" ht="15.7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499.07</v>
      </c>
      <c r="M18" s="2428">
        <f>IF(C1="",'数据-汇总表'!E3,SUMIF(项目类型,C1,'数据-汇总表'!E17:E26))</f>
        <v>499.07</v>
      </c>
    </row>
    <row r="19" spans="1:35" ht="15">
      <c r="A19" s="2434" t="s">
        <v>2144</v>
      </c>
      <c r="B19" s="2435" t="s">
        <v>2145</v>
      </c>
      <c r="C19" s="143">
        <f ca="1">SUMIF(INDIRECT("'"&amp;C4&amp;"'"&amp;"!A:A"),结果表!B19,INDIRECT("'"&amp;C4&amp;"'"&amp;"!B:B"))</f>
        <v>2165</v>
      </c>
      <c r="D19" s="144">
        <f ca="1">SUMIF(INDIRECT("'"&amp;D4&amp;"'"&amp;"!A:A"),结果表!B19,INDIRECT("'"&amp;D4&amp;"'"&amp;"!B:B"))</f>
        <v>2606</v>
      </c>
      <c r="E19" s="2434" t="s">
        <v>2146</v>
      </c>
      <c r="F19" s="2435" t="s">
        <v>2145</v>
      </c>
      <c r="G19" s="145">
        <f ca="1">ROUND(C19*$C$18+D19*$D$18,0)</f>
        <v>2386</v>
      </c>
      <c r="H19" s="2436" t="s">
        <v>2147</v>
      </c>
      <c r="I19" s="138"/>
      <c r="K19" s="2428" t="s">
        <v>2148</v>
      </c>
      <c r="L19" s="2428">
        <f>IF(C1="",'数据-汇总表'!D3,SUMIF(项目类型,C1,'数据-汇总表'!D17:D26)+SUMIF(项目类型,C1,'数据-汇总表'!H17:H27))</f>
        <v>14543</v>
      </c>
      <c r="M19" s="2428">
        <f>IF(C1="",'数据-汇总表'!D3,SUMIF(项目类型,C1,'数据-汇总表'!D17:D26))</f>
        <v>14543</v>
      </c>
    </row>
    <row r="20" spans="1:35" ht="15">
      <c r="A20" s="2437"/>
      <c r="B20" s="1247" t="s">
        <v>2149</v>
      </c>
      <c r="C20" s="146">
        <f ca="1">SUMIF(INDIRECT("'"&amp;C4&amp;"'"&amp;"!A:A"),结果表!B20,INDIRECT("'"&amp;C4&amp;"'"&amp;"!B:B"))</f>
        <v>48795</v>
      </c>
      <c r="D20" s="147">
        <f ca="1">SUMIF(INDIRECT("'"&amp;D4&amp;"'"&amp;"!A:A"),结果表!B20,INDIRECT("'"&amp;D4&amp;"'"&amp;"!B:B"))</f>
        <v>58745</v>
      </c>
      <c r="E20" s="2437"/>
      <c r="F20" s="1247" t="s">
        <v>2149</v>
      </c>
      <c r="G20" s="148">
        <f ca="1">ROUND(C20*$C$18+D20*$D$18,0)</f>
        <v>53770</v>
      </c>
      <c r="H20" s="980" t="s">
        <v>2150</v>
      </c>
      <c r="I20" s="138"/>
    </row>
    <row r="21" spans="1:35" ht="15" customHeight="1" thickBot="1">
      <c r="A21" s="1000"/>
      <c r="B21" s="2438" t="s">
        <v>2151</v>
      </c>
      <c r="C21" s="789">
        <f ca="1">ROUND(C19*10000/L19,0)</f>
        <v>1489</v>
      </c>
      <c r="D21" s="790">
        <f ca="1">ROUND(D19*10000/L19,0)</f>
        <v>1792</v>
      </c>
      <c r="E21" s="1000"/>
      <c r="F21" s="2438" t="s">
        <v>2151</v>
      </c>
      <c r="G21" s="149">
        <f ca="1">ROUND(G19*10000/L19,0)</f>
        <v>1641</v>
      </c>
      <c r="H21" s="2439" t="s">
        <v>2150</v>
      </c>
      <c r="I21" s="138"/>
    </row>
    <row r="22" spans="1:35" ht="15" thickBot="1">
      <c r="A22" s="2281" t="s">
        <v>2152</v>
      </c>
      <c r="B22" s="2440"/>
      <c r="C22" s="2441"/>
      <c r="D22" s="791">
        <f ca="1">IF(C19&lt;D19,D19/C19-1,C19/D19-1)</f>
        <v>0.20369515011547334</v>
      </c>
      <c r="E22" s="138"/>
      <c r="F22" s="138"/>
      <c r="G22" s="138"/>
      <c r="H22" s="138"/>
      <c r="I22" s="138"/>
    </row>
    <row r="23" spans="1:35" ht="13.5" thickBot="1">
      <c r="A23" s="2418"/>
      <c r="B23" s="2418"/>
      <c r="C23" s="2418"/>
      <c r="D23" s="2418"/>
      <c r="E23" s="138"/>
      <c r="F23" s="138"/>
      <c r="G23" s="138"/>
      <c r="H23" s="138"/>
      <c r="I23" s="138"/>
    </row>
    <row r="24" spans="1:35" ht="14.25">
      <c r="A24" s="3191" t="s">
        <v>2153</v>
      </c>
      <c r="B24" s="2435" t="s">
        <v>2145</v>
      </c>
      <c r="C24" s="145">
        <f>IF(B30=0,0,D30)</f>
        <v>0</v>
      </c>
      <c r="D24" s="2442"/>
      <c r="E24" s="138"/>
      <c r="F24" s="138"/>
      <c r="G24" s="138"/>
      <c r="H24" s="138"/>
      <c r="I24" s="138"/>
    </row>
    <row r="25" spans="1:35" ht="14.25">
      <c r="A25" s="3192"/>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2386</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71" t="s">
        <v>2167</v>
      </c>
      <c r="B36" s="2461" t="s">
        <v>2168</v>
      </c>
      <c r="C36" s="154"/>
      <c r="D36" s="2462"/>
      <c r="E36" s="2463"/>
      <c r="F36" s="2464"/>
      <c r="G36" s="138"/>
      <c r="H36" s="138"/>
      <c r="I36" s="138"/>
    </row>
    <row r="37" spans="1:15" ht="15.75" thickBot="1">
      <c r="A37" s="3172"/>
      <c r="B37" s="2267" t="s">
        <v>2169</v>
      </c>
      <c r="C37" s="156"/>
      <c r="D37" s="1392"/>
      <c r="E37" s="1392"/>
      <c r="F37" s="2464"/>
      <c r="G37" s="138"/>
      <c r="H37" s="138"/>
      <c r="I37" s="138"/>
    </row>
    <row r="38" spans="1:15" ht="15.75" thickBot="1">
      <c r="A38" s="3173"/>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88" t="s">
        <v>2181</v>
      </c>
      <c r="B45" s="3189"/>
      <c r="C45" s="3190"/>
      <c r="D45" s="164">
        <f ca="1">ROUND(H101*F45,0)</f>
        <v>2386</v>
      </c>
      <c r="E45" s="165" t="s">
        <v>2182</v>
      </c>
      <c r="F45" s="166">
        <v>1</v>
      </c>
      <c r="G45" s="167" t="s">
        <v>2183</v>
      </c>
      <c r="H45" s="138"/>
      <c r="I45" s="138"/>
      <c r="J45" s="3107" t="s">
        <v>2184</v>
      </c>
      <c r="K45" s="3107"/>
      <c r="L45" s="3107"/>
      <c r="M45" s="3107"/>
      <c r="N45" s="3107"/>
      <c r="O45" s="3107"/>
    </row>
    <row r="46" spans="1:15" ht="14.25" customHeight="1">
      <c r="A46" s="3185" t="s">
        <v>2185</v>
      </c>
      <c r="B46" s="3186"/>
      <c r="C46" s="3186"/>
      <c r="D46" s="3186"/>
      <c r="E46" s="3186"/>
      <c r="F46" s="3186"/>
      <c r="G46" s="3187"/>
      <c r="H46" s="2480"/>
      <c r="I46" s="168"/>
      <c r="J46" s="1809">
        <v>1</v>
      </c>
      <c r="K46" s="3107" t="s">
        <v>2186</v>
      </c>
      <c r="L46" s="3107"/>
      <c r="M46" s="3108"/>
      <c r="N46" s="3108"/>
      <c r="O46" s="3108"/>
    </row>
    <row r="47" spans="1:15" ht="12" customHeight="1">
      <c r="A47" s="169" t="s">
        <v>2187</v>
      </c>
      <c r="B47" s="170"/>
      <c r="C47" s="171"/>
      <c r="D47" s="172" t="s">
        <v>2188</v>
      </c>
      <c r="E47" s="24" t="s">
        <v>2189</v>
      </c>
      <c r="F47" s="173" t="s">
        <v>2190</v>
      </c>
      <c r="G47" s="174" t="s">
        <v>2191</v>
      </c>
      <c r="H47" s="2480"/>
      <c r="I47" s="168"/>
      <c r="J47" s="1809">
        <v>2</v>
      </c>
      <c r="K47" s="3107" t="s">
        <v>2192</v>
      </c>
      <c r="L47" s="3107"/>
      <c r="M47" s="3109">
        <f>'数据-取费表'!B2</f>
        <v>43845</v>
      </c>
      <c r="N47" s="3109"/>
      <c r="O47" s="3109"/>
    </row>
    <row r="48" spans="1:15" ht="25.5">
      <c r="A48" s="3175" t="s">
        <v>2193</v>
      </c>
      <c r="B48" s="3176"/>
      <c r="C48" s="3176"/>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07" t="s">
        <v>2196</v>
      </c>
      <c r="L48" s="3107"/>
      <c r="M48" s="3110">
        <f ca="1">H101</f>
        <v>2386</v>
      </c>
      <c r="N48" s="3110"/>
      <c r="O48" s="3110"/>
    </row>
    <row r="49" spans="1:35" ht="25.5" customHeight="1">
      <c r="A49" s="176" t="s">
        <v>2197</v>
      </c>
      <c r="B49" s="3155" t="s">
        <v>2198</v>
      </c>
      <c r="C49" s="3155"/>
      <c r="D49" s="177">
        <v>0</v>
      </c>
      <c r="E49" s="23" t="s">
        <v>2199</v>
      </c>
      <c r="F49" s="28" t="s">
        <v>34</v>
      </c>
      <c r="G49" s="3136"/>
      <c r="H49" s="138"/>
      <c r="I49" s="2483"/>
      <c r="J49" s="1809">
        <v>4</v>
      </c>
      <c r="K49" s="3107" t="str">
        <f>IF(项目基本情况!E8="房地产抵押价值","房地产抵押价值","抵押担保权已注销时的房地产抵押价值")</f>
        <v>房地产抵押价值</v>
      </c>
      <c r="L49" s="3107"/>
      <c r="M49" s="3110">
        <f ca="1">IF(项目基本情况!E8="房地产抵押价值",H107,H109)</f>
        <v>2386</v>
      </c>
      <c r="N49" s="3110"/>
      <c r="O49" s="3110"/>
    </row>
    <row r="50" spans="1:35" ht="25.5" customHeight="1">
      <c r="A50" s="178"/>
      <c r="B50" s="3155" t="s">
        <v>2200</v>
      </c>
      <c r="C50" s="3155"/>
      <c r="D50" s="179"/>
      <c r="E50" s="31"/>
      <c r="F50" s="180"/>
      <c r="G50" s="3137"/>
      <c r="H50" s="138"/>
      <c r="I50" s="2483"/>
      <c r="J50" s="3107" t="s">
        <v>2201</v>
      </c>
      <c r="K50" s="3107"/>
      <c r="L50" s="3107"/>
      <c r="M50" s="3107"/>
      <c r="N50" s="3107"/>
      <c r="O50" s="3107"/>
    </row>
    <row r="51" spans="1:35" ht="12" customHeight="1">
      <c r="A51" s="181"/>
      <c r="B51" s="3155" t="s">
        <v>2202</v>
      </c>
      <c r="C51" s="3155"/>
      <c r="D51" s="182"/>
      <c r="E51" s="30"/>
      <c r="F51" s="180"/>
      <c r="G51" s="3138"/>
      <c r="H51" s="138"/>
      <c r="I51" s="2483"/>
      <c r="J51" s="2484" t="s">
        <v>2203</v>
      </c>
      <c r="K51" s="3107" t="s">
        <v>2204</v>
      </c>
      <c r="L51" s="3107"/>
      <c r="M51" s="2484" t="s">
        <v>2205</v>
      </c>
      <c r="N51" s="2484" t="s">
        <v>2206</v>
      </c>
      <c r="O51" s="2484" t="s">
        <v>2207</v>
      </c>
    </row>
    <row r="52" spans="1:35" ht="24" customHeight="1">
      <c r="A52" s="183" t="s">
        <v>2208</v>
      </c>
      <c r="B52" s="3155" t="s">
        <v>2209</v>
      </c>
      <c r="C52" s="3155"/>
      <c r="D52" s="182">
        <f ca="1">ROUND(D45*'数据-取费表'!B41/(1+'数据-取费表'!C42),0)</f>
        <v>127</v>
      </c>
      <c r="E52" s="11" t="s">
        <v>2210</v>
      </c>
      <c r="F52" s="184">
        <f>'数据-取费表'!B41</f>
        <v>5.6000000000000001E-2</v>
      </c>
      <c r="G52" s="2485"/>
      <c r="H52" s="138"/>
      <c r="I52" s="2483"/>
      <c r="J52" s="1809">
        <v>1</v>
      </c>
      <c r="K52" s="3130" t="s">
        <v>2211</v>
      </c>
      <c r="L52" s="3130"/>
      <c r="M52" s="1751">
        <f>D48</f>
        <v>0</v>
      </c>
      <c r="N52" s="1809" t="str">
        <f>E48</f>
        <v>销售额×税（费）率</v>
      </c>
      <c r="O52" s="1752" t="str">
        <f>F48</f>
        <v>免征</v>
      </c>
    </row>
    <row r="53" spans="1:35" ht="12" customHeight="1">
      <c r="A53" s="183" t="s">
        <v>2212</v>
      </c>
      <c r="B53" s="3156" t="s">
        <v>2213</v>
      </c>
      <c r="C53" s="3157"/>
      <c r="D53" s="182">
        <f ca="1">ROUND(D45*'数据-取费表'!B41/(1+'数据-取费表'!C42),0)</f>
        <v>127</v>
      </c>
      <c r="E53" s="11" t="s">
        <v>2210</v>
      </c>
      <c r="F53" s="184">
        <f>'数据-取费表'!B41</f>
        <v>5.6000000000000001E-2</v>
      </c>
      <c r="G53" s="2485"/>
      <c r="H53" s="138"/>
      <c r="I53" s="2483"/>
      <c r="J53" s="1809">
        <v>2</v>
      </c>
      <c r="K53" s="3130" t="s">
        <v>2214</v>
      </c>
      <c r="L53" s="3130"/>
      <c r="M53" s="1751">
        <f t="shared" ref="M53:O54" ca="1" si="0">D55</f>
        <v>1</v>
      </c>
      <c r="N53" s="1809" t="str">
        <f t="shared" si="0"/>
        <v>销售额×税（费）率</v>
      </c>
      <c r="O53" s="1752">
        <f t="shared" si="0"/>
        <v>5.0000000000000001E-4</v>
      </c>
    </row>
    <row r="54" spans="1:35" ht="12" customHeight="1">
      <c r="A54" s="183" t="s">
        <v>2215</v>
      </c>
      <c r="B54" s="3156" t="s">
        <v>2216</v>
      </c>
      <c r="C54" s="3157"/>
      <c r="D54" s="182">
        <f ca="1">C68</f>
        <v>127</v>
      </c>
      <c r="E54" s="30" t="s">
        <v>2217</v>
      </c>
      <c r="F54" s="184">
        <f>'数据-取费表'!B41</f>
        <v>5.6000000000000001E-2</v>
      </c>
      <c r="G54" s="2485"/>
      <c r="H54" s="2486"/>
      <c r="I54" s="2483"/>
      <c r="J54" s="1809">
        <v>3</v>
      </c>
      <c r="K54" s="3130" t="s">
        <v>2218</v>
      </c>
      <c r="L54" s="3130"/>
      <c r="M54" s="1751">
        <f t="shared" ca="1" si="0"/>
        <v>1350</v>
      </c>
      <c r="N54" s="1809" t="str">
        <f t="shared" si="0"/>
        <v>增值额×税（费）率</v>
      </c>
      <c r="O54" s="1753" t="str">
        <f t="shared" si="0"/>
        <v>——</v>
      </c>
    </row>
    <row r="55" spans="1:35" ht="24" customHeight="1">
      <c r="A55" s="3194" t="s">
        <v>2219</v>
      </c>
      <c r="B55" s="3176"/>
      <c r="C55" s="3176"/>
      <c r="D55" s="185">
        <f ca="1">IF(H55="个人住宅",0,ROUND(D45*I55,0))</f>
        <v>1</v>
      </c>
      <c r="E55" s="11" t="s">
        <v>2220</v>
      </c>
      <c r="F55" s="184">
        <f>IF(H55="正常",I55,"免征")</f>
        <v>5.0000000000000001E-4</v>
      </c>
      <c r="G55" s="2485"/>
      <c r="H55" s="2482" t="s">
        <v>2221</v>
      </c>
      <c r="I55" s="186">
        <f>'数据-取费表'!B49</f>
        <v>5.0000000000000001E-4</v>
      </c>
      <c r="J55" s="1809" t="str">
        <f>IF(H59="非个人房产","",4)</f>
        <v/>
      </c>
      <c r="K55" s="3130" t="str">
        <f>IF(H59="非个人房产","——","个人所得税")</f>
        <v>——</v>
      </c>
      <c r="L55" s="3130"/>
      <c r="M55" s="1754" t="str">
        <f>D59</f>
        <v>——</v>
      </c>
      <c r="N55" s="1807" t="str">
        <f>E59</f>
        <v>——</v>
      </c>
      <c r="O55" s="1755" t="str">
        <f>F59</f>
        <v>——</v>
      </c>
    </row>
    <row r="56" spans="1:35" ht="24.75">
      <c r="A56" s="3194" t="s">
        <v>2222</v>
      </c>
      <c r="B56" s="3176"/>
      <c r="C56" s="3176"/>
      <c r="D56" s="185">
        <f ca="1">IF(H56="个人住宅",D57,D58)</f>
        <v>1350</v>
      </c>
      <c r="E56" s="11" t="s">
        <v>2223</v>
      </c>
      <c r="F56" s="184" t="str">
        <f>IF(H56="正常",F58,"免征")</f>
        <v>——</v>
      </c>
      <c r="G56" s="2487" t="s">
        <v>2224</v>
      </c>
      <c r="H56" s="2488" t="s">
        <v>2221</v>
      </c>
      <c r="I56" s="2489"/>
      <c r="J56" s="1809" t="str">
        <f>IF(项目基本情况!K6="上海银行",IF(J55="",4,J55+1),"")</f>
        <v/>
      </c>
      <c r="K56" s="3113" t="str">
        <f>IF(项目基本情况!K6="上海银行","其他处置费用","")</f>
        <v/>
      </c>
      <c r="L56" s="3114"/>
      <c r="M56" s="1751" t="str">
        <f>IF(项目基本情况!K6="上海银行",M69,"")</f>
        <v/>
      </c>
      <c r="N56" s="3116" t="str">
        <f>IF(项目基本情况!K6="上海银行","包含处置中涉及的律师、诉讼、拍卖、评估等费用","")</f>
        <v/>
      </c>
      <c r="O56" s="3117"/>
    </row>
    <row r="57" spans="1:35" ht="12.75">
      <c r="A57" s="183" t="s">
        <v>2197</v>
      </c>
      <c r="B57" s="3161" t="s">
        <v>2225</v>
      </c>
      <c r="C57" s="3162"/>
      <c r="D57" s="187">
        <v>0</v>
      </c>
      <c r="E57" s="23" t="s">
        <v>2199</v>
      </c>
      <c r="F57" s="155"/>
      <c r="G57" s="2485"/>
      <c r="H57" s="2489"/>
      <c r="I57" s="2489"/>
      <c r="J57" s="3130">
        <f>IF(AND(J55="",J56=""),4,IF(项目基本情况!K6="上海银行",结果表!J56+1,结果表!J55+1))</f>
        <v>4</v>
      </c>
      <c r="K57" s="3130" t="s">
        <v>2226</v>
      </c>
      <c r="L57" s="2490" t="s">
        <v>2227</v>
      </c>
      <c r="M57" s="1756"/>
      <c r="N57" s="1757">
        <f ca="1">SUMIF(M52:M56,"&lt;9e307")</f>
        <v>1351</v>
      </c>
      <c r="O57" s="2491"/>
      <c r="P57" s="1750">
        <f ca="1">N57/M49</f>
        <v>0.56621961441743507</v>
      </c>
    </row>
    <row r="58" spans="1:35" ht="24.75">
      <c r="A58" s="183" t="s">
        <v>2208</v>
      </c>
      <c r="B58" s="3161" t="s">
        <v>2228</v>
      </c>
      <c r="C58" s="3174"/>
      <c r="D58" s="185">
        <f ca="1">IF(H58="转让取得",C81,C97)</f>
        <v>1350</v>
      </c>
      <c r="E58" s="11" t="s">
        <v>2223</v>
      </c>
      <c r="F58" s="24" t="s">
        <v>34</v>
      </c>
      <c r="G58" s="2485"/>
      <c r="H58" s="2488" t="s">
        <v>2229</v>
      </c>
      <c r="I58" s="2489"/>
      <c r="J58" s="3130"/>
      <c r="K58" s="3130"/>
      <c r="L58" s="2490" t="s">
        <v>2230</v>
      </c>
      <c r="M58" s="1758"/>
      <c r="N58" s="2492" t="str">
        <f ca="1">NUMBERSTRING(INT(N57*10000),2)&amp;"元整"</f>
        <v>壹仟叁佰伍拾壹万元整</v>
      </c>
      <c r="O58" s="2493"/>
    </row>
    <row r="59" spans="1:35" ht="24.75"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32">
        <f>J57+1</f>
        <v>5</v>
      </c>
      <c r="K59" s="3130" t="s">
        <v>2233</v>
      </c>
      <c r="L59" s="1809" t="s">
        <v>2227</v>
      </c>
      <c r="M59" s="1759"/>
      <c r="N59" s="1760">
        <f ca="1">M49-N57</f>
        <v>1035</v>
      </c>
      <c r="O59" s="2495"/>
    </row>
    <row r="60" spans="1:35" ht="12" customHeight="1">
      <c r="A60" s="2496"/>
      <c r="B60" s="2418"/>
      <c r="C60" s="2418"/>
      <c r="D60" s="2418"/>
      <c r="E60" s="2166"/>
      <c r="F60" s="2489"/>
      <c r="G60" s="2489"/>
      <c r="H60" s="2497"/>
      <c r="I60" s="138"/>
      <c r="J60" s="3133"/>
      <c r="K60" s="3130"/>
      <c r="L60" s="2490" t="s">
        <v>2230</v>
      </c>
      <c r="M60" s="1758"/>
      <c r="N60" s="2492" t="str">
        <f ca="1">NUMBERSTRING(INT(N59*10000),2)&amp;"元整"</f>
        <v>壹仟零叁拾伍万元整</v>
      </c>
      <c r="O60" s="2493"/>
    </row>
    <row r="61" spans="1:35" ht="13.5" thickBot="1">
      <c r="A61" s="3193" t="s">
        <v>2234</v>
      </c>
      <c r="B61" s="3193"/>
      <c r="C61" s="3193"/>
      <c r="D61" s="3193"/>
      <c r="E61" s="3193"/>
      <c r="F61" s="2489"/>
      <c r="G61" s="2489"/>
      <c r="H61" s="2497"/>
      <c r="I61" s="138"/>
      <c r="J61" s="1809">
        <f>J59+1</f>
        <v>6</v>
      </c>
      <c r="K61" s="3130" t="s">
        <v>2235</v>
      </c>
      <c r="L61" s="3130"/>
      <c r="M61" s="1761"/>
      <c r="N61" s="1762">
        <f ca="1">ROUND(N59*10000/'数据-汇总表'!E3,0)</f>
        <v>20739</v>
      </c>
      <c r="O61" s="2498"/>
    </row>
    <row r="62" spans="1:35" ht="12.75">
      <c r="A62" s="3150" t="s">
        <v>2236</v>
      </c>
      <c r="B62" s="3151"/>
      <c r="C62" s="1801"/>
      <c r="D62" s="1801" t="s">
        <v>2237</v>
      </c>
      <c r="E62" s="192" t="s">
        <v>2238</v>
      </c>
      <c r="F62" s="2489"/>
      <c r="G62" s="2489"/>
      <c r="H62" s="2497"/>
      <c r="I62" s="138"/>
    </row>
    <row r="63" spans="1:35" ht="12.75">
      <c r="A63" s="203" t="s">
        <v>775</v>
      </c>
      <c r="B63" s="193" t="s">
        <v>2239</v>
      </c>
      <c r="C63" s="194">
        <f ca="1">ROUND((C64+C65)/(1+'数据-取费表'!C42),0)</f>
        <v>2272</v>
      </c>
      <c r="D63" s="195"/>
      <c r="E63" s="196"/>
      <c r="F63" s="2489"/>
      <c r="G63" s="2489"/>
      <c r="H63" s="2497"/>
      <c r="I63" s="138"/>
      <c r="J63" s="3115" t="s">
        <v>2240</v>
      </c>
      <c r="K63" s="2499" t="s">
        <v>2241</v>
      </c>
      <c r="L63" s="1749">
        <f ca="1">IF(M49&gt;10000,M49*0.5%,IF(AND(M49&gt;1000,M49&lt;=10000),M49*1%,IF(AND(M49&gt;100,M49&lt;=1000),M49*3%,IF(AND(M49&gt;10,M49&lt;=100),M49*5%,M49*8%))))</f>
        <v>23.86</v>
      </c>
      <c r="M63" s="24">
        <f ca="1">ROUND(L63,1)</f>
        <v>23.9</v>
      </c>
      <c r="Z63" s="2423"/>
      <c r="AI63" s="2424"/>
    </row>
    <row r="64" spans="1:35" ht="14.25" customHeight="1">
      <c r="A64" s="197" t="s">
        <v>770</v>
      </c>
      <c r="B64" s="198" t="s">
        <v>2242</v>
      </c>
      <c r="C64" s="199">
        <f ca="1">D45</f>
        <v>2386</v>
      </c>
      <c r="D64" s="200" t="s">
        <v>32</v>
      </c>
      <c r="E64" s="201"/>
      <c r="F64" s="2489"/>
      <c r="G64" s="2489"/>
      <c r="H64" s="2497"/>
      <c r="I64" s="138"/>
      <c r="J64" s="3115"/>
      <c r="K64" s="2499" t="s">
        <v>2243</v>
      </c>
      <c r="L64" s="1749">
        <f ca="1">IF(M49&gt;2000,M49*0.5%,IF(AND(M49&gt;1000,M49&lt;=2000),M49*0.6%,IF(AND(M49&gt;500,M49&lt;=1000),M49*0.7%,IF(AND(M49&gt;200,M49&lt;=500),M49*0.8%,IF(AND(M49&gt;100,M49&lt;=200),M49*0.9%,IF(AND(M49&gt;50,M49&lt;=100),M49*1%,IF(AND(M49&gt;20,M49&lt;=50),M49*1.5%,IF(AND(M49&gt;10,M49&lt;=20),M49*2%,IF(AND(M49&gt;1,M49&lt;=10),M49*2.5%)))))))))</f>
        <v>11.93</v>
      </c>
      <c r="M64" s="24">
        <f t="shared" ref="M64:M65" ca="1" si="1">ROUND(L64,1)</f>
        <v>11.9</v>
      </c>
      <c r="N64" s="138" t="s">
        <v>2244</v>
      </c>
      <c r="Z64" s="2423"/>
      <c r="AI64" s="2424"/>
    </row>
    <row r="65" spans="1:35" ht="14.25" customHeight="1">
      <c r="A65" s="197" t="s">
        <v>771</v>
      </c>
      <c r="B65" s="198" t="s">
        <v>2245</v>
      </c>
      <c r="C65" s="202"/>
      <c r="D65" s="200"/>
      <c r="E65" s="201"/>
      <c r="F65" s="2489"/>
      <c r="G65" s="2489"/>
      <c r="H65" s="2497"/>
      <c r="I65" s="138"/>
      <c r="J65" s="3115"/>
      <c r="K65" s="2499" t="s">
        <v>2246</v>
      </c>
      <c r="L65" s="1749">
        <f ca="1">IF(M49&gt;1000,M49*0.1%,IF(AND(M49&gt;500,M49&lt;=1000),M49*0.5%,IF(AND(M49&gt;50,M49&lt;=500),M49*1%,IF(AND(M49&gt;1,M49&lt;=50),M49*1.5%))))</f>
        <v>2.3860000000000001</v>
      </c>
      <c r="M65" s="24">
        <f t="shared" ca="1" si="1"/>
        <v>2.4</v>
      </c>
      <c r="N65" s="138" t="s">
        <v>2244</v>
      </c>
      <c r="Z65" s="2423"/>
      <c r="AI65" s="2424"/>
    </row>
    <row r="66" spans="1:35" ht="14.25" customHeight="1">
      <c r="A66" s="203" t="s">
        <v>772</v>
      </c>
      <c r="B66" s="204" t="s">
        <v>2247</v>
      </c>
      <c r="C66" s="205"/>
      <c r="D66" s="206" t="s">
        <v>32</v>
      </c>
      <c r="E66" s="1773" t="s">
        <v>1366</v>
      </c>
      <c r="F66" s="2489"/>
      <c r="G66" s="2489"/>
      <c r="H66" s="2497"/>
      <c r="I66" s="138"/>
      <c r="J66" s="3115"/>
      <c r="K66" s="2499" t="s">
        <v>2248</v>
      </c>
      <c r="L66" s="1749">
        <f ca="1">M49*0.5%</f>
        <v>11.93</v>
      </c>
      <c r="M66" s="24">
        <f ca="1">IF(L66&gt;0.5,0.5,ROUND(L66,0))</f>
        <v>0.5</v>
      </c>
      <c r="N66" s="138" t="s">
        <v>2249</v>
      </c>
      <c r="Z66" s="2423"/>
      <c r="AI66" s="2424"/>
    </row>
    <row r="67" spans="1:35" ht="14.25" customHeight="1">
      <c r="A67" s="203" t="s">
        <v>773</v>
      </c>
      <c r="B67" s="204" t="s">
        <v>2250</v>
      </c>
      <c r="C67" s="207">
        <f ca="1">C63-C66</f>
        <v>2272</v>
      </c>
      <c r="D67" s="200" t="s">
        <v>32</v>
      </c>
      <c r="E67" s="201"/>
      <c r="F67" s="2489"/>
      <c r="G67" s="2489"/>
      <c r="H67" s="2497"/>
      <c r="I67" s="138"/>
      <c r="J67" s="3115"/>
      <c r="K67" s="2499" t="s">
        <v>2251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2252</v>
      </c>
      <c r="C68" s="210">
        <f ca="1">IF(C67&lt;=0,0,ROUND(C67*D68,0))</f>
        <v>127</v>
      </c>
      <c r="D68" s="211">
        <f>'数据-取费表'!B41</f>
        <v>5.6000000000000001E-2</v>
      </c>
      <c r="E68" s="212"/>
      <c r="F68" s="2489"/>
      <c r="G68" s="2489"/>
      <c r="H68" s="2497"/>
      <c r="I68" s="138"/>
      <c r="J68" s="3115"/>
      <c r="K68" s="2499" t="s">
        <v>2253</v>
      </c>
      <c r="L68" s="1749">
        <f ca="1">IF(M49&gt;10000,M49*0.5%,IF(AND(M49&gt;5000,M49&lt;=10000),M49*1%,IF(AND(M49&gt;1000,M49&lt;=5000),M49*2%,IF(AND(M49&gt;200,M49&lt;=1000),M49*3%,M49*5%))))</f>
        <v>47.72</v>
      </c>
      <c r="M68" s="24">
        <f ca="1">ROUND(L68,1)</f>
        <v>47.7</v>
      </c>
      <c r="Z68" s="2423"/>
      <c r="AI68" s="2424"/>
    </row>
    <row r="69" spans="1:35" s="2446" customFormat="1" ht="16.5" customHeight="1">
      <c r="A69" s="2500"/>
      <c r="B69" s="2501"/>
      <c r="C69" s="2502"/>
      <c r="D69" s="2503"/>
      <c r="E69" s="2504"/>
      <c r="F69" s="2166"/>
      <c r="G69" s="2166"/>
      <c r="H69" s="2165"/>
      <c r="I69" s="2418"/>
      <c r="J69" s="3115"/>
      <c r="K69" s="2499" t="s">
        <v>2254</v>
      </c>
      <c r="L69" s="2505"/>
      <c r="M69" s="24">
        <f ca="1">ROUND(SUM(M63:M68),0)</f>
        <v>89</v>
      </c>
      <c r="N69" s="1750">
        <f ca="1">M69/M49</f>
        <v>3.7300922045264043E-2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9" t="s">
        <v>2255</v>
      </c>
      <c r="B70" s="3160"/>
      <c r="C70" s="3160"/>
      <c r="D70" s="3160"/>
      <c r="E70" s="3160"/>
      <c r="F70" s="3160"/>
      <c r="G70" s="3160"/>
      <c r="H70" s="316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0" t="s">
        <v>2236</v>
      </c>
      <c r="B71" s="3151"/>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2272</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14</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56" t="s">
        <v>2264</v>
      </c>
      <c r="F76" s="3155"/>
      <c r="G76" s="3155"/>
      <c r="H76" s="315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14</v>
      </c>
      <c r="D78" s="226">
        <f>'数据-取费表'!B43</f>
        <v>6.000000000000001E-3</v>
      </c>
      <c r="E78" s="3147" t="s">
        <v>2269</v>
      </c>
      <c r="F78" s="3148"/>
      <c r="G78" s="3148"/>
      <c r="H78" s="314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2258</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161.28571428571428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9" t="s">
        <v>2273</v>
      </c>
      <c r="B83" s="3160"/>
      <c r="C83" s="3160"/>
      <c r="D83" s="3160"/>
      <c r="E83" s="3160"/>
      <c r="F83" s="3160"/>
      <c r="G83" s="3160"/>
      <c r="H83" s="316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0" t="s">
        <v>2236</v>
      </c>
      <c r="B84" s="3151"/>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2272</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14</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47" t="s">
        <v>2282</v>
      </c>
      <c r="F91" s="3148"/>
      <c r="G91" s="3148"/>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47" t="s">
        <v>2286</v>
      </c>
      <c r="F92" s="3148"/>
      <c r="G92" s="3148"/>
      <c r="H92" s="314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14</v>
      </c>
      <c r="D93" s="226">
        <f>'数据-取费表'!B43</f>
        <v>6.000000000000001E-3</v>
      </c>
      <c r="E93" s="3147" t="s">
        <v>2269</v>
      </c>
      <c r="F93" s="3148"/>
      <c r="G93" s="3148"/>
      <c r="H93" s="314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95" t="s">
        <v>2290</v>
      </c>
      <c r="F94" s="3196"/>
      <c r="G94" s="3196"/>
      <c r="H94" s="31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2258</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161.28571428571428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1350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99" t="s">
        <v>2292</v>
      </c>
      <c r="B100" s="3100"/>
      <c r="C100" s="3100"/>
      <c r="D100" s="3131"/>
      <c r="E100" s="3100" t="s">
        <v>2293</v>
      </c>
      <c r="F100" s="3100"/>
      <c r="G100" s="3100"/>
      <c r="H100" s="3131"/>
      <c r="I100" s="138"/>
    </row>
    <row r="101" spans="1:35" ht="18.75" customHeight="1">
      <c r="A101" s="3139" t="s">
        <v>2294</v>
      </c>
      <c r="B101" s="3140"/>
      <c r="C101" s="736" t="str">
        <f>C4</f>
        <v>比较法-商业</v>
      </c>
      <c r="D101" s="737" t="str">
        <f>D4</f>
        <v>收益法</v>
      </c>
      <c r="E101" s="3111" t="s">
        <v>2295</v>
      </c>
      <c r="F101" s="3112"/>
      <c r="G101" s="2520" t="s">
        <v>2296</v>
      </c>
      <c r="H101" s="1045">
        <f ca="1">H118</f>
        <v>2386</v>
      </c>
      <c r="I101" s="138"/>
    </row>
    <row r="102" spans="1:35" ht="18.75" customHeight="1">
      <c r="A102" s="3141" t="s">
        <v>2297</v>
      </c>
      <c r="B102" s="2520" t="s">
        <v>2296</v>
      </c>
      <c r="C102" s="736">
        <f ca="1">C19</f>
        <v>2165</v>
      </c>
      <c r="D102" s="737">
        <f ca="1">D19</f>
        <v>2606</v>
      </c>
      <c r="E102" s="3111"/>
      <c r="F102" s="3112"/>
      <c r="G102" s="2520" t="s">
        <v>2298</v>
      </c>
      <c r="H102" s="371">
        <f ca="1">I118</f>
        <v>47809</v>
      </c>
      <c r="I102" s="138"/>
    </row>
    <row r="103" spans="1:35" ht="42.75" customHeight="1">
      <c r="A103" s="3141"/>
      <c r="B103" s="2520" t="s">
        <v>2298</v>
      </c>
      <c r="C103" s="738">
        <f ca="1">C20</f>
        <v>48795</v>
      </c>
      <c r="D103" s="739">
        <f ca="1">D20</f>
        <v>58745</v>
      </c>
      <c r="E103" s="3105" t="s">
        <v>2299</v>
      </c>
      <c r="F103" s="3106"/>
      <c r="G103" s="2521" t="s">
        <v>2300</v>
      </c>
      <c r="H103" s="1045">
        <f>IF(D36="正常操作",H104+H105+H106,H105+H106)</f>
        <v>0</v>
      </c>
      <c r="I103" s="138"/>
    </row>
    <row r="104" spans="1:35" ht="18.75" customHeight="1">
      <c r="A104" s="3141" t="s">
        <v>2301</v>
      </c>
      <c r="B104" s="2522" t="s">
        <v>2296</v>
      </c>
      <c r="C104" s="740">
        <f ca="1">H118</f>
        <v>2386</v>
      </c>
      <c r="D104" s="741"/>
      <c r="E104" s="2267" t="s">
        <v>2302</v>
      </c>
      <c r="F104" s="2258"/>
      <c r="G104" s="2521" t="s">
        <v>2300</v>
      </c>
      <c r="H104" s="1046">
        <f>IF(D36="同一抵押权人同一抵押物续贷",C36&amp;"（未扣减，详见特别提示）",C36)</f>
        <v>0</v>
      </c>
      <c r="I104" s="138"/>
    </row>
    <row r="105" spans="1:35" ht="18.75" customHeight="1" thickBot="1">
      <c r="A105" s="3153"/>
      <c r="B105" s="2523" t="s">
        <v>2298</v>
      </c>
      <c r="C105" s="742">
        <f ca="1">I118</f>
        <v>47809</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42" t="str">
        <f>IF(项目基本情况!E8="已注销","——","3.房地产抵押价值")</f>
        <v>3.房地产抵押价值</v>
      </c>
      <c r="F107" s="3112"/>
      <c r="G107" s="2520" t="s">
        <v>2296</v>
      </c>
      <c r="H107" s="1045">
        <f ca="1">IF(E107="——","——",H101-H103)</f>
        <v>2386</v>
      </c>
      <c r="I107" s="138"/>
    </row>
    <row r="108" spans="1:35" ht="18.75" customHeight="1">
      <c r="A108" s="138"/>
      <c r="B108" s="138"/>
      <c r="C108" s="138"/>
      <c r="D108" s="138"/>
      <c r="E108" s="3142"/>
      <c r="F108" s="3112"/>
      <c r="G108" s="2520" t="s">
        <v>2298</v>
      </c>
      <c r="H108" s="371">
        <f ca="1">ROUND(H107*10000/'数据-汇总表'!E3,0)</f>
        <v>47809</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20" t="s">
        <v>2296</v>
      </c>
      <c r="H109" s="348" t="str">
        <f>IF(E109="——","——",H101-H105-H106)</f>
        <v>——</v>
      </c>
      <c r="I109" s="138"/>
    </row>
    <row r="110" spans="1:35" ht="18.75" customHeight="1">
      <c r="A110" s="138"/>
      <c r="B110" s="138"/>
      <c r="C110" s="138"/>
      <c r="D110" s="138"/>
      <c r="E110" s="3142"/>
      <c r="F110" s="3112"/>
      <c r="G110" s="2520"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0" t="s">
        <v>2296</v>
      </c>
      <c r="H111" s="1045" t="str">
        <f>IF(E111="——","——",N59)</f>
        <v>——</v>
      </c>
      <c r="I111" s="138"/>
    </row>
    <row r="112" spans="1:35" ht="18.75" customHeight="1" thickBot="1">
      <c r="A112" s="138"/>
      <c r="B112" s="138"/>
      <c r="C112" s="138"/>
      <c r="D112" s="138"/>
      <c r="E112" s="3145"/>
      <c r="F112" s="3146"/>
      <c r="G112" s="2525" t="s">
        <v>2298</v>
      </c>
      <c r="H112" s="790" t="str">
        <f>IF(E111="——","——",N61)</f>
        <v>——</v>
      </c>
      <c r="I112" s="138"/>
    </row>
    <row r="113" spans="1:11" ht="18.75" customHeight="1">
      <c r="A113" s="138"/>
      <c r="B113" s="138"/>
      <c r="C113" s="138"/>
      <c r="D113" s="138"/>
      <c r="E113" s="3154" t="s">
        <v>2304</v>
      </c>
      <c r="F113" s="3154"/>
      <c r="G113" s="3154"/>
      <c r="H113" s="3154"/>
      <c r="I113" s="138"/>
    </row>
    <row r="114" spans="1:11" ht="3.75" customHeight="1">
      <c r="A114" s="2418"/>
      <c r="B114" s="2418"/>
      <c r="C114" s="2418"/>
      <c r="D114" s="2418"/>
      <c r="E114" s="2496"/>
      <c r="F114" s="2496"/>
      <c r="G114" s="2496"/>
      <c r="H114" s="2496"/>
      <c r="I114" s="2418"/>
    </row>
    <row r="115" spans="1:11" ht="18.75" customHeight="1">
      <c r="A115" s="3167" t="s">
        <v>2306</v>
      </c>
      <c r="B115" s="3168"/>
      <c r="C115" s="3168"/>
      <c r="D115" s="3168"/>
      <c r="E115" s="3168"/>
      <c r="F115" s="3168"/>
      <c r="G115" s="3168"/>
      <c r="H115" s="3168"/>
      <c r="I115" s="3169"/>
    </row>
    <row r="116" spans="1:11" ht="27" customHeight="1">
      <c r="A116" s="3074" t="s">
        <v>2307</v>
      </c>
      <c r="B116" s="3121" t="s">
        <v>2308</v>
      </c>
      <c r="C116" s="3121" t="s">
        <v>2309</v>
      </c>
      <c r="D116" s="3127" t="s">
        <v>2310</v>
      </c>
      <c r="E116" s="3128"/>
      <c r="F116" s="3163" t="s">
        <v>2311</v>
      </c>
      <c r="G116" s="3163"/>
      <c r="H116" s="3074" t="s">
        <v>2312</v>
      </c>
      <c r="I116" s="3074"/>
    </row>
    <row r="117" spans="1:11" ht="18.75" customHeight="1">
      <c r="A117" s="3074"/>
      <c r="B117" s="3122"/>
      <c r="C117" s="3122"/>
      <c r="D117" s="1795" t="s">
        <v>2313</v>
      </c>
      <c r="E117" s="1795" t="s">
        <v>2314</v>
      </c>
      <c r="F117" s="1795" t="s">
        <v>2313</v>
      </c>
      <c r="G117" s="1795" t="s">
        <v>2315</v>
      </c>
      <c r="H117" s="1795" t="s">
        <v>2313</v>
      </c>
      <c r="I117" s="1795" t="s">
        <v>2315</v>
      </c>
    </row>
    <row r="118" spans="1:11" ht="24.75" customHeight="1">
      <c r="A118" s="2526" t="str">
        <f>项目基本情况!S2</f>
        <v>房地产</v>
      </c>
      <c r="B118" s="1795">
        <f>M18</f>
        <v>499.07</v>
      </c>
      <c r="C118" s="1795">
        <f>M19</f>
        <v>14543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2386</v>
      </c>
      <c r="I118" s="1795">
        <f ca="1">ROUND(IF(D32="楼面单价",C32,H118*10000/B118),0)</f>
        <v>47809</v>
      </c>
    </row>
    <row r="119" spans="1:11" ht="18.75" customHeight="1">
      <c r="A119" s="3074" t="s">
        <v>2316</v>
      </c>
      <c r="B119" s="3074"/>
      <c r="C119" s="3074"/>
      <c r="D119" s="3123" t="e">
        <f ca="1">NUMBERSTRING(INT(D118*10000),2)&amp;"元整"</f>
        <v>#REF!</v>
      </c>
      <c r="E119" s="3124"/>
      <c r="F119" s="3123" t="e">
        <f ca="1">NUMBERSTRING(INT(F118*10000),2)&amp;"元整"</f>
        <v>#REF!</v>
      </c>
      <c r="G119" s="3124"/>
      <c r="H119" s="3123" t="str">
        <f ca="1">NUMBERSTRING(INT(H118*10000),2)&amp;"元整"</f>
        <v>贰仟叁佰捌拾陆万元整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3" t="str">
        <f>IF(D120=0,"故，本次评估不存在"&amp;A120,"故，本次评估"&amp;A120&amp;"为人民币"&amp;D120&amp;"万元整。")</f>
        <v>故，本次评估不存在估价师知悉的法定优先受偿款</v>
      </c>
    </row>
    <row r="121" spans="1:11" ht="18.75" customHeight="1">
      <c r="A121" s="3164" t="s">
        <v>2316</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2386</v>
      </c>
      <c r="E122" s="3119"/>
      <c r="F122" s="3119"/>
      <c r="G122" s="3119"/>
      <c r="H122" s="3119"/>
      <c r="I122" s="3120"/>
    </row>
    <row r="123" spans="1:11" ht="18.75" customHeight="1">
      <c r="A123" s="3074" t="s">
        <v>2316</v>
      </c>
      <c r="B123" s="3074"/>
      <c r="C123" s="3074"/>
      <c r="D123" s="3123" t="str">
        <f ca="1">NUMBERSTRING(INT(D122*10000),2)&amp;"元整"</f>
        <v>贰仟叁佰捌拾陆万元整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4" t="s">
        <v>2316</v>
      </c>
      <c r="B125" s="3074"/>
      <c r="C125" s="3074"/>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4" t="s">
        <v>2316</v>
      </c>
      <c r="B127" s="3074"/>
      <c r="C127" s="3074"/>
      <c r="D127" s="3123" t="e">
        <f>NUMBERSTRING(INT(D126*10000),2)&amp;"元整"</f>
        <v>#VALUE!</v>
      </c>
      <c r="E127" s="3125"/>
      <c r="F127" s="3125"/>
      <c r="G127" s="3125"/>
      <c r="H127" s="3125"/>
      <c r="I127" s="3124"/>
    </row>
    <row r="128" spans="1:11" ht="21.75" customHeight="1">
      <c r="A128" s="3126" t="s">
        <v>2317</v>
      </c>
      <c r="B128" s="3126"/>
      <c r="C128" s="3126"/>
      <c r="D128" s="3126"/>
      <c r="E128" s="3126"/>
      <c r="F128" s="3126"/>
      <c r="G128" s="3126"/>
      <c r="H128" s="3126"/>
      <c r="I128" s="3126"/>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8</v>
      </c>
    </row>
    <row r="2" spans="1:9" s="244" customFormat="1" ht="18" customHeight="1">
      <c r="A2" s="245" t="s">
        <v>2326</v>
      </c>
      <c r="B2" s="246">
        <f ca="1">IF(D2="——",C52,C52-E2)</f>
        <v>201</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4027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2"/>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430</v>
      </c>
      <c r="F9" s="265"/>
      <c r="G9" s="2553"/>
      <c r="H9" s="1390"/>
      <c r="I9" s="2554" t="s">
        <v>2343</v>
      </c>
    </row>
    <row r="10" spans="1:9" s="258" customFormat="1" ht="13.5" customHeight="1">
      <c r="A10" s="950" t="s">
        <v>801</v>
      </c>
      <c r="B10" s="268" t="s">
        <v>2344</v>
      </c>
      <c r="C10" s="269">
        <f ca="1">ROUND(D10*E10/10000,0)</f>
        <v>21</v>
      </c>
      <c r="D10" s="1032">
        <f ca="1">IF(B1="",'数据-汇总表'!E6,IF(INDIRECT("'数据-取费表'!c"&amp;$G$1)="住宅",INDIRECT("'数据-取费表'!s"&amp;$G$1),INDIRECT("'数据-取费表'!k"&amp;$G$1)+INDIRECT("'数据-取费表'!s"&amp;$G$1)))</f>
        <v>499.07</v>
      </c>
      <c r="E10" s="269">
        <f>'数据-取费表'!B28</f>
        <v>430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10</v>
      </c>
      <c r="D19" s="1036">
        <f ca="1">D9+D10</f>
        <v>499.07</v>
      </c>
      <c r="E19" s="255">
        <f>'数据-取费表'!B31</f>
        <v>200</v>
      </c>
      <c r="F19" s="275"/>
      <c r="G19" s="2552"/>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1</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2</v>
      </c>
      <c r="D27" s="279">
        <f ca="1">C29</f>
        <v>3.8E-3</v>
      </c>
      <c r="E27" s="280" t="s">
        <v>2378</v>
      </c>
      <c r="F27" s="290">
        <f ca="1">IF(B1="",'数据-取费表'!Q16,INDIRECT("'数据-取费表'!q"&amp;$G$1))</f>
        <v>0.19</v>
      </c>
      <c r="G27" s="291" t="s">
        <v>2379</v>
      </c>
    </row>
    <row r="28" spans="1:7" s="258" customFormat="1" ht="13.5" customHeight="1">
      <c r="A28" s="951" t="s">
        <v>791</v>
      </c>
      <c r="B28" s="292" t="s">
        <v>2380</v>
      </c>
      <c r="C28" s="293">
        <f ca="1">ROUND((C5+C19+C20)*F27*'数据-取费表'!B21/'数据-取费表'!B20,0)</f>
        <v>2</v>
      </c>
      <c r="D28" s="279"/>
      <c r="E28" s="280"/>
      <c r="F28" s="290"/>
      <c r="G28" s="291"/>
    </row>
    <row r="29" spans="1:7" s="258" customFormat="1" ht="13.5" customHeight="1">
      <c r="A29" s="951" t="s">
        <v>792</v>
      </c>
      <c r="B29" s="292" t="s">
        <v>2381</v>
      </c>
      <c r="C29" s="282">
        <f ca="1">ROUND(C21*F27*'数据-取费表'!B21/'数据-取费表'!B20,4)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172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155</v>
      </c>
      <c r="D34" s="261"/>
      <c r="E34" s="264"/>
      <c r="F34" s="301">
        <f ca="1">IF('数据-取费表'!B24=0,1,IF(B1="",'数据-取费表'!N16,INDIRECT("'数据-取费表'!n"&amp;$G$1)))</f>
        <v>1</v>
      </c>
      <c r="G34" s="263" t="s">
        <v>2390</v>
      </c>
    </row>
    <row r="35" spans="1:7" ht="13.5" customHeight="1">
      <c r="A35" s="951" t="s">
        <v>796</v>
      </c>
      <c r="B35" s="259" t="s">
        <v>2391</v>
      </c>
      <c r="C35" s="264">
        <f ca="1">ROUND(C34*F35,0)</f>
        <v>5</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10</v>
      </c>
      <c r="D37" s="261">
        <f ca="1">D19</f>
        <v>499.07</v>
      </c>
      <c r="E37" s="293">
        <f>'数据-取费表'!B35</f>
        <v>200</v>
      </c>
      <c r="F37" s="303"/>
      <c r="G37" s="305" t="s">
        <v>2396</v>
      </c>
    </row>
    <row r="38" spans="1:7" ht="13.5" customHeight="1">
      <c r="A38" s="951" t="s">
        <v>799</v>
      </c>
      <c r="B38" s="259" t="s">
        <v>2397</v>
      </c>
      <c r="C38" s="264">
        <f ca="1">ROUND(C34*F38,0)</f>
        <v>2</v>
      </c>
      <c r="D38" s="264"/>
      <c r="E38" s="264"/>
      <c r="F38" s="303">
        <f>'数据-取费表'!B36</f>
        <v>1.4999999999999999E-2</v>
      </c>
      <c r="G38" s="263" t="s">
        <v>2392</v>
      </c>
    </row>
    <row r="39" spans="1:7" s="258" customFormat="1" ht="13.5" customHeight="1">
      <c r="A39" s="299" t="s">
        <v>2398</v>
      </c>
      <c r="B39" s="254" t="s">
        <v>2399</v>
      </c>
      <c r="C39" s="276">
        <f ca="1">ROUND(C33*F20,0)</f>
        <v>3</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v>
      </c>
      <c r="D42" s="282"/>
      <c r="E42" s="282"/>
      <c r="F42" s="283"/>
      <c r="G42" s="3198" t="s">
        <v>2408</v>
      </c>
    </row>
    <row r="43" spans="1:7" ht="13.5" customHeight="1">
      <c r="A43" s="951" t="s">
        <v>792</v>
      </c>
      <c r="B43" s="259" t="s">
        <v>2409</v>
      </c>
      <c r="C43" s="282">
        <f ca="1">ROUND(IF('数据-取费表'!B22&lt;=1,C39*F22*'数据-取费表'!B21/2,C39*(POWER((1+F22),'数据-取费表'!B21/2)-1)),0)</f>
        <v>0</v>
      </c>
      <c r="D43" s="282"/>
      <c r="E43" s="282"/>
      <c r="F43" s="283"/>
      <c r="G43" s="3199"/>
    </row>
    <row r="44" spans="1:7" ht="13.5" customHeight="1">
      <c r="A44" s="951" t="s">
        <v>793</v>
      </c>
      <c r="B44" s="259" t="s">
        <v>2410</v>
      </c>
      <c r="C44" s="282">
        <f ca="1">ROUND(IF('数据-取费表'!B22&lt;=1,C40*F22*'数据-取费表'!B21/2,C40*(POWER((1+F22),'数据-取费表'!B21/2)-1)),4)</f>
        <v>1E-3</v>
      </c>
      <c r="D44" s="282"/>
      <c r="E44" s="282"/>
      <c r="F44" s="283"/>
      <c r="G44" s="3200"/>
    </row>
    <row r="45" spans="1:7" s="258" customFormat="1" ht="13.5" customHeight="1">
      <c r="A45" s="299" t="s">
        <v>2411</v>
      </c>
      <c r="B45" s="288" t="s">
        <v>2377</v>
      </c>
      <c r="C45" s="289">
        <f ca="1">C46</f>
        <v>33</v>
      </c>
      <c r="D45" s="279">
        <f ca="1">C47</f>
        <v>3.8E-3</v>
      </c>
      <c r="E45" s="280" t="s">
        <v>2403</v>
      </c>
      <c r="F45" s="290"/>
      <c r="G45" s="291" t="s">
        <v>2412</v>
      </c>
    </row>
    <row r="46" spans="1:7" s="258" customFormat="1" ht="13.5" customHeight="1">
      <c r="A46" s="951" t="s">
        <v>791</v>
      </c>
      <c r="B46" s="292" t="s">
        <v>2413</v>
      </c>
      <c r="C46" s="293">
        <f ca="1">ROUND((C33+C39)*F27,0)</f>
        <v>33</v>
      </c>
      <c r="D46" s="307"/>
      <c r="E46" s="280"/>
      <c r="F46" s="290"/>
      <c r="G46" s="291"/>
    </row>
    <row r="47" spans="1:7" s="258" customFormat="1" ht="13.5" customHeight="1">
      <c r="A47" s="951" t="s">
        <v>792</v>
      </c>
      <c r="B47" s="292" t="s">
        <v>2414</v>
      </c>
      <c r="C47" s="282">
        <f ca="1">ROUND(C40*F27,4)</f>
        <v>3.8E-3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234</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187</v>
      </c>
      <c r="D51" s="276"/>
      <c r="E51" s="276"/>
      <c r="F51" s="308"/>
      <c r="G51" s="278" t="s">
        <v>2424</v>
      </c>
    </row>
    <row r="52" spans="1:7" s="252" customFormat="1" ht="16.5" thickBot="1">
      <c r="A52" s="309" t="s">
        <v>2425</v>
      </c>
      <c r="B52" s="310"/>
      <c r="C52" s="311">
        <f ca="1">C31+C51</f>
        <v>201</v>
      </c>
      <c r="D52" s="310"/>
      <c r="E52" s="310"/>
      <c r="F52" s="310"/>
      <c r="G52" s="312"/>
    </row>
    <row r="55" spans="1:7" ht="15">
      <c r="B55" s="314" t="s">
        <v>2426</v>
      </c>
      <c r="C55" s="315"/>
    </row>
    <row r="56" spans="1:7">
      <c r="B56" s="317" t="s">
        <v>1507</v>
      </c>
      <c r="C56" s="319">
        <f ca="1">1-C57</f>
        <v>6.9999999999999951E-2</v>
      </c>
    </row>
    <row r="57" spans="1:7">
      <c r="B57" s="317" t="s">
        <v>1508</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233</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4669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214600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214600</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430</v>
      </c>
      <c r="F9" s="265"/>
      <c r="G9" s="270"/>
    </row>
    <row r="10" spans="1:8" s="258" customFormat="1" ht="13.5" customHeight="1">
      <c r="A10" s="950" t="s">
        <v>801</v>
      </c>
      <c r="B10" s="268" t="s">
        <v>2344</v>
      </c>
      <c r="C10" s="269">
        <f ca="1">ROUND(D10*E10,0)</f>
        <v>214600</v>
      </c>
      <c r="D10" s="1032">
        <f ca="1">IF(B1="",'数据-汇总表'!E6,IF(INDIRECT("'数据-取费表'!c"&amp;$G$1)="住宅",INDIRECT("'数据-取费表'!s"&amp;$G$1),INDIRECT("'数据-取费表'!k"&amp;$G$1)+INDIRECT("'数据-取费表'!s"&amp;$G$1)))</f>
        <v>499.07</v>
      </c>
      <c r="E10" s="269">
        <f>'数据-取费表'!B28</f>
        <v>430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99814</v>
      </c>
      <c r="D19" s="1036">
        <f ca="1">D9+D10</f>
        <v>499.07</v>
      </c>
      <c r="E19" s="255">
        <f>'数据-取费表'!B31</f>
        <v>200</v>
      </c>
      <c r="F19" s="275"/>
      <c r="G19" s="2552"/>
    </row>
    <row r="20" spans="1:7" s="258" customFormat="1" ht="13.5" customHeight="1">
      <c r="A20" s="299" t="s">
        <v>2438</v>
      </c>
      <c r="B20" s="254" t="s">
        <v>2439</v>
      </c>
      <c r="C20" s="276">
        <f ca="1">ROUND((C5+C19)*F20,0)</f>
        <v>6288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30878</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20871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9708</v>
      </c>
      <c r="D24" s="282"/>
      <c r="E24" s="282"/>
      <c r="F24" s="283"/>
      <c r="G24" s="284" t="s">
        <v>2450</v>
      </c>
    </row>
    <row r="25" spans="1:7" s="258" customFormat="1" ht="24">
      <c r="A25" s="951" t="s">
        <v>2340</v>
      </c>
      <c r="B25" s="259" t="s">
        <v>2451</v>
      </c>
      <c r="C25" s="1381">
        <f ca="1">ROUND(IF('数据-取费表'!B22&lt;=1,C20*F22*'数据-取费表'!B22/2,C20*(POWER((1+F22),'数据-取费表'!B22/2)-1)),0)</f>
        <v>299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60933</v>
      </c>
      <c r="D27" s="279">
        <f ca="1">C29</f>
        <v>3.8E-3</v>
      </c>
      <c r="E27" s="280" t="s">
        <v>2378</v>
      </c>
      <c r="F27" s="290">
        <f ca="1">IF(B1="",'数据-取费表'!Q16,INDIRECT("'数据-取费表'!q"&amp;$G$1))</f>
        <v>0.19</v>
      </c>
      <c r="G27" s="291" t="s">
        <v>2379</v>
      </c>
    </row>
    <row r="28" spans="1:7" s="258" customFormat="1" ht="13.5" customHeight="1">
      <c r="A28" s="951" t="s">
        <v>791</v>
      </c>
      <c r="B28" s="292" t="s">
        <v>2380</v>
      </c>
      <c r="C28" s="293">
        <f ca="1">ROUND((C5+C19+C20)*F27,0)</f>
        <v>60933</v>
      </c>
      <c r="D28" s="279"/>
      <c r="E28" s="280"/>
      <c r="F28" s="290"/>
      <c r="G28" s="291"/>
    </row>
    <row r="29" spans="1:7" s="258" customFormat="1" ht="13.5" customHeight="1">
      <c r="A29" s="951" t="s">
        <v>792</v>
      </c>
      <c r="B29" s="292" t="s">
        <v>2381</v>
      </c>
      <c r="C29" s="282">
        <f ca="1">ROUND(C21*F27,4)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447460</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1722354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1552670</v>
      </c>
      <c r="D34" s="261"/>
      <c r="E34" s="264"/>
      <c r="F34" s="301"/>
      <c r="G34" s="263"/>
    </row>
    <row r="35" spans="1:7" ht="13.5" customHeight="1">
      <c r="A35" s="951" t="s">
        <v>796</v>
      </c>
      <c r="B35" s="259" t="s">
        <v>2391</v>
      </c>
      <c r="C35" s="264">
        <f ca="1">ROUND(C34*F35,0)</f>
        <v>46580</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99814</v>
      </c>
      <c r="D37" s="261">
        <f ca="1">D19</f>
        <v>499.07</v>
      </c>
      <c r="E37" s="293">
        <f>'数据-取费表'!B35</f>
        <v>200</v>
      </c>
      <c r="F37" s="303"/>
      <c r="G37" s="305"/>
    </row>
    <row r="38" spans="1:7" ht="13.5" customHeight="1">
      <c r="A38" s="951" t="s">
        <v>799</v>
      </c>
      <c r="B38" s="259" t="s">
        <v>2397</v>
      </c>
      <c r="C38" s="264">
        <f ca="1">ROUND(C34*F38,0)</f>
        <v>23290</v>
      </c>
      <c r="D38" s="264"/>
      <c r="E38" s="264"/>
      <c r="F38" s="303">
        <f>'数据-取费表'!B36</f>
        <v>1.4999999999999999E-2</v>
      </c>
      <c r="G38" s="263" t="s">
        <v>2392</v>
      </c>
    </row>
    <row r="39" spans="1:7" s="258" customFormat="1" ht="13.5" customHeight="1">
      <c r="A39" s="299" t="s">
        <v>2398</v>
      </c>
      <c r="B39" s="254" t="s">
        <v>2399</v>
      </c>
      <c r="C39" s="276">
        <f ca="1">ROUND(C33*F20,0)</f>
        <v>34447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83448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81812</v>
      </c>
      <c r="D42" s="282"/>
      <c r="E42" s="282"/>
      <c r="F42" s="283"/>
      <c r="G42" s="3198" t="s">
        <v>2455</v>
      </c>
    </row>
    <row r="43" spans="1:7" ht="13.5" customHeight="1">
      <c r="A43" s="951" t="s">
        <v>792</v>
      </c>
      <c r="B43" s="259" t="s">
        <v>2409</v>
      </c>
      <c r="C43" s="282">
        <f ca="1">ROUND(IF('数据-取费表'!B22&lt;=1,C39*F22*'数据-取费表'!B20/2,C39*(POWER((1+F22),'数据-取费表'!B20/2)-1)),0)</f>
        <v>1636</v>
      </c>
      <c r="D43" s="282"/>
      <c r="E43" s="282"/>
      <c r="F43" s="283"/>
      <c r="G43" s="3199"/>
    </row>
    <row r="44" spans="1:7" ht="13.5" customHeight="1">
      <c r="A44" s="951" t="s">
        <v>793</v>
      </c>
      <c r="B44" s="259" t="s">
        <v>2410</v>
      </c>
      <c r="C44" s="282">
        <f ca="1">ROUND(IF('数据-取费表'!B22&lt;=1,C40*F22*'数据-取费表'!B20/2,C40*(POWER((1+F22),'数据-取费表'!B20/2)-1)),4)</f>
        <v>1E-3</v>
      </c>
      <c r="D44" s="282"/>
      <c r="E44" s="282"/>
      <c r="F44" s="283"/>
      <c r="G44" s="3200"/>
    </row>
    <row r="45" spans="1:7" s="258" customFormat="1" ht="13.5" customHeight="1">
      <c r="A45" s="299" t="s">
        <v>2411</v>
      </c>
      <c r="B45" s="288" t="s">
        <v>2377</v>
      </c>
      <c r="C45" s="289">
        <f ca="1">C46</f>
        <v>333792</v>
      </c>
      <c r="D45" s="279">
        <f ca="1">C47</f>
        <v>3.8E-3</v>
      </c>
      <c r="E45" s="280" t="s">
        <v>2403</v>
      </c>
      <c r="F45" s="290"/>
      <c r="G45" s="291" t="s">
        <v>2412</v>
      </c>
    </row>
    <row r="46" spans="1:7" s="258" customFormat="1" ht="13.5" customHeight="1">
      <c r="A46" s="951" t="s">
        <v>791</v>
      </c>
      <c r="B46" s="292" t="s">
        <v>2413</v>
      </c>
      <c r="C46" s="293">
        <f ca="1">ROUND((C33+C39)*F27,0)</f>
        <v>333792</v>
      </c>
      <c r="D46" s="307"/>
      <c r="E46" s="280"/>
      <c r="F46" s="290"/>
      <c r="G46" s="291"/>
    </row>
    <row r="47" spans="1:7" s="258" customFormat="1" ht="13.5" customHeight="1">
      <c r="A47" s="951" t="s">
        <v>792</v>
      </c>
      <c r="B47" s="292" t="s">
        <v>2414</v>
      </c>
      <c r="C47" s="282">
        <f ca="1">ROUND(C40*F27,4)</f>
        <v>3.8E-3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2358218</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1886574</v>
      </c>
      <c r="D51" s="276"/>
      <c r="E51" s="276"/>
      <c r="F51" s="308"/>
      <c r="G51" s="278" t="s">
        <v>2424</v>
      </c>
    </row>
    <row r="52" spans="1:7" s="252" customFormat="1" ht="16.5" thickBot="1">
      <c r="A52" s="309" t="s">
        <v>2425</v>
      </c>
      <c r="B52" s="310"/>
      <c r="C52" s="311">
        <f ca="1">C31+C51</f>
        <v>2334034</v>
      </c>
      <c r="D52" s="310"/>
      <c r="E52" s="310"/>
      <c r="F52" s="310"/>
      <c r="G52" s="312"/>
    </row>
    <row r="55" spans="1:7" ht="15">
      <c r="B55" s="314" t="s">
        <v>2426</v>
      </c>
      <c r="C55" s="315"/>
    </row>
    <row r="56" spans="1:7">
      <c r="B56" s="317" t="s">
        <v>1507</v>
      </c>
      <c r="C56" s="319">
        <f ca="1">1-C57</f>
        <v>0.19199999999999995</v>
      </c>
    </row>
    <row r="57" spans="1:7">
      <c r="B57" s="317" t="s">
        <v>1508</v>
      </c>
      <c r="C57" s="318">
        <f ca="1">ROUND(C51/C52,3)</f>
        <v>0.80800000000000005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19" sqref="L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6" t="s">
        <v>2646</v>
      </c>
      <c r="S4" s="3207"/>
      <c r="T4" s="3206" t="s">
        <v>2647</v>
      </c>
      <c r="U4" s="3207"/>
      <c r="V4" s="3231" t="s">
        <v>2648</v>
      </c>
      <c r="W4" s="3231"/>
      <c r="X4" s="1813"/>
      <c r="Y4" s="3206" t="s">
        <v>2650</v>
      </c>
      <c r="Z4" s="3207"/>
      <c r="AA4" s="3201" t="s">
        <v>2646</v>
      </c>
      <c r="AB4" s="3202" t="s">
        <v>2647</v>
      </c>
      <c r="AC4" s="3201" t="s">
        <v>2648</v>
      </c>
    </row>
    <row r="5" spans="1:30" ht="15">
      <c r="A5" s="404"/>
      <c r="B5" s="405"/>
      <c r="C5" s="3212" t="s">
        <v>2541</v>
      </c>
      <c r="D5" s="3213"/>
      <c r="E5" s="3210" t="s">
        <v>2542</v>
      </c>
      <c r="F5" s="3211"/>
      <c r="G5" s="3212" t="s">
        <v>2543</v>
      </c>
      <c r="H5" s="3213"/>
      <c r="I5" s="3212" t="s">
        <v>2544</v>
      </c>
      <c r="J5" s="3213"/>
      <c r="K5" s="610"/>
      <c r="L5" s="1130"/>
      <c r="M5" s="1131"/>
      <c r="N5" s="1131"/>
      <c r="O5" s="1131"/>
      <c r="P5" s="3225"/>
      <c r="Q5" s="3226"/>
      <c r="R5" s="3208"/>
      <c r="S5" s="3209"/>
      <c r="T5" s="3208"/>
      <c r="U5" s="3209"/>
      <c r="V5" s="3231"/>
      <c r="W5" s="3231"/>
      <c r="X5" s="1813"/>
      <c r="Y5" s="3208"/>
      <c r="Z5" s="3209"/>
      <c r="AA5" s="3202"/>
      <c r="AB5" s="3202"/>
      <c r="AC5" s="3202"/>
    </row>
    <row r="6" spans="1:30" ht="15.75" thickBot="1">
      <c r="A6" s="406"/>
      <c r="B6" s="407"/>
      <c r="C6" s="3214" t="s">
        <v>2545</v>
      </c>
      <c r="D6" s="3215"/>
      <c r="E6" s="3216" t="s">
        <v>2545</v>
      </c>
      <c r="F6" s="3217"/>
      <c r="G6" s="3214" t="s">
        <v>2545</v>
      </c>
      <c r="H6" s="3215"/>
      <c r="I6" s="3214" t="s">
        <v>2545</v>
      </c>
      <c r="J6" s="3215"/>
      <c r="K6" s="610" t="s">
        <v>2546</v>
      </c>
      <c r="L6" s="1130"/>
      <c r="M6" s="1131"/>
      <c r="N6" s="1131"/>
      <c r="O6" s="1131"/>
      <c r="P6" s="3227"/>
      <c r="Q6" s="3228"/>
      <c r="R6" s="3208"/>
      <c r="S6" s="3209"/>
      <c r="T6" s="3229"/>
      <c r="U6" s="3230"/>
      <c r="V6" s="3231"/>
      <c r="W6" s="3231"/>
      <c r="X6" s="1813"/>
      <c r="Y6" s="3229"/>
      <c r="Z6" s="3230"/>
      <c r="AA6" s="3203"/>
      <c r="AB6" s="3203"/>
      <c r="AC6" s="3203"/>
    </row>
    <row r="7" spans="1:30" s="117" customFormat="1" ht="15.75" thickBot="1">
      <c r="A7" s="408" t="s">
        <v>2547</v>
      </c>
      <c r="B7" s="409"/>
      <c r="C7" s="410">
        <f>'数据-取费表'!B2</f>
        <v>43845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4" t="s">
        <v>2548</v>
      </c>
      <c r="Q7" s="3232"/>
      <c r="R7" s="770" t="s">
        <v>17</v>
      </c>
      <c r="S7" s="771">
        <f t="shared" ref="S7:S15" si="0">F7</f>
        <v>0</v>
      </c>
      <c r="T7" s="770" t="s">
        <v>17</v>
      </c>
      <c r="U7" s="771">
        <f t="shared" ref="U7:U15" si="1">H7</f>
        <v>0</v>
      </c>
      <c r="V7" s="770" t="s">
        <v>17</v>
      </c>
      <c r="W7" s="771">
        <f t="shared" ref="W7:W15" si="2">J7</f>
        <v>0</v>
      </c>
      <c r="X7" s="772"/>
      <c r="Y7" s="3204" t="s">
        <v>2548</v>
      </c>
      <c r="Z7" s="320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2551</v>
      </c>
      <c r="Q8" s="3205"/>
      <c r="R8" s="770" t="s">
        <v>17</v>
      </c>
      <c r="S8" s="771">
        <f t="shared" si="0"/>
        <v>0</v>
      </c>
      <c r="T8" s="770" t="s">
        <v>17</v>
      </c>
      <c r="U8" s="771">
        <f t="shared" si="1"/>
        <v>0</v>
      </c>
      <c r="V8" s="770" t="s">
        <v>17</v>
      </c>
      <c r="W8" s="771">
        <f t="shared" si="2"/>
        <v>0</v>
      </c>
      <c r="X8" s="772"/>
      <c r="Y8" s="3204" t="s">
        <v>2551</v>
      </c>
      <c r="Z8" s="3205"/>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18" t="s">
        <v>2554</v>
      </c>
      <c r="Q9" s="1795" t="str">
        <f t="shared" ref="Q9:Q15" si="6">B9</f>
        <v>用途</v>
      </c>
      <c r="R9" s="770" t="s">
        <v>17</v>
      </c>
      <c r="S9" s="771">
        <f t="shared" si="0"/>
        <v>100</v>
      </c>
      <c r="T9" s="770" t="s">
        <v>17</v>
      </c>
      <c r="U9" s="771">
        <f t="shared" si="1"/>
        <v>100</v>
      </c>
      <c r="V9" s="770" t="s">
        <v>17</v>
      </c>
      <c r="W9" s="771">
        <f t="shared" si="2"/>
        <v>100</v>
      </c>
      <c r="X9" s="772"/>
      <c r="Y9" s="307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18"/>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8"/>
      <c r="Q11" s="1795"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8"/>
      <c r="Q12" s="1795" t="str">
        <f t="shared" si="6"/>
        <v>配建</v>
      </c>
      <c r="R12" s="770" t="s">
        <v>17</v>
      </c>
      <c r="S12" s="771">
        <f t="shared" si="0"/>
        <v>100</v>
      </c>
      <c r="T12" s="770" t="s">
        <v>17</v>
      </c>
      <c r="U12" s="771">
        <f t="shared" si="1"/>
        <v>100</v>
      </c>
      <c r="V12" s="770" t="s">
        <v>17</v>
      </c>
      <c r="W12" s="771">
        <f t="shared" si="2"/>
        <v>100</v>
      </c>
      <c r="X12" s="772"/>
      <c r="Y12" s="307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7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8"/>
      <c r="Q14" s="1795">
        <f t="shared" si="6"/>
        <v>111</v>
      </c>
      <c r="R14" s="770" t="s">
        <v>17</v>
      </c>
      <c r="S14" s="771">
        <f t="shared" si="0"/>
        <v>100</v>
      </c>
      <c r="T14" s="770" t="s">
        <v>17</v>
      </c>
      <c r="U14" s="771">
        <f t="shared" si="1"/>
        <v>100</v>
      </c>
      <c r="V14" s="770" t="s">
        <v>17</v>
      </c>
      <c r="W14" s="771">
        <f t="shared" si="2"/>
        <v>100</v>
      </c>
      <c r="X14" s="772"/>
      <c r="Y14" s="3074"/>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3" t="s">
        <v>2559</v>
      </c>
      <c r="Q15" s="1810" t="str">
        <f t="shared" si="6"/>
        <v>居住社区成熟度</v>
      </c>
      <c r="R15" s="774" t="s">
        <v>17</v>
      </c>
      <c r="S15" s="775">
        <f t="shared" si="0"/>
        <v>100</v>
      </c>
      <c r="T15" s="774" t="s">
        <v>17</v>
      </c>
      <c r="U15" s="775">
        <f t="shared" si="1"/>
        <v>100</v>
      </c>
      <c r="V15" s="774" t="s">
        <v>17</v>
      </c>
      <c r="W15" s="775">
        <f t="shared" si="2"/>
        <v>100</v>
      </c>
      <c r="X15" s="1813"/>
      <c r="Y15" s="3233"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4"/>
      <c r="Q16" s="1810"/>
      <c r="R16" s="774"/>
      <c r="S16" s="775"/>
      <c r="T16" s="774"/>
      <c r="U16" s="775"/>
      <c r="V16" s="774"/>
      <c r="W16" s="775"/>
      <c r="X16" s="1813"/>
      <c r="Y16" s="3234"/>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4"/>
      <c r="Q17" s="1810" t="str">
        <f>B17</f>
        <v>商业繁华度</v>
      </c>
      <c r="R17" s="774" t="s">
        <v>17</v>
      </c>
      <c r="S17" s="775">
        <f>F17</f>
        <v>100</v>
      </c>
      <c r="T17" s="774" t="s">
        <v>17</v>
      </c>
      <c r="U17" s="775">
        <f>H17</f>
        <v>100</v>
      </c>
      <c r="V17" s="774" t="s">
        <v>17</v>
      </c>
      <c r="W17" s="775">
        <f>J17</f>
        <v>100</v>
      </c>
      <c r="X17" s="1813"/>
      <c r="Y17" s="3234"/>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4"/>
      <c r="Q18" s="1810"/>
      <c r="R18" s="774"/>
      <c r="S18" s="775"/>
      <c r="T18" s="774"/>
      <c r="U18" s="775"/>
      <c r="V18" s="774"/>
      <c r="W18" s="775"/>
      <c r="X18" s="1813"/>
      <c r="Y18" s="3234"/>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4"/>
      <c r="Q19" s="1810" t="str">
        <f>B19</f>
        <v>办公集聚程度</v>
      </c>
      <c r="R19" s="774" t="s">
        <v>17</v>
      </c>
      <c r="S19" s="775">
        <f>F19</f>
        <v>100</v>
      </c>
      <c r="T19" s="774" t="s">
        <v>17</v>
      </c>
      <c r="U19" s="775">
        <f>H19</f>
        <v>100</v>
      </c>
      <c r="V19" s="774" t="s">
        <v>17</v>
      </c>
      <c r="W19" s="775">
        <f>J19</f>
        <v>100</v>
      </c>
      <c r="X19" s="1813"/>
      <c r="Y19" s="3234"/>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4"/>
      <c r="Q20" s="1810"/>
      <c r="R20" s="774"/>
      <c r="S20" s="775"/>
      <c r="T20" s="774"/>
      <c r="U20" s="775"/>
      <c r="V20" s="774"/>
      <c r="W20" s="775"/>
      <c r="X20" s="1813"/>
      <c r="Y20" s="3234"/>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4"/>
      <c r="Q21" s="1810" t="str">
        <f>B21</f>
        <v>交通便捷度</v>
      </c>
      <c r="R21" s="774" t="s">
        <v>17</v>
      </c>
      <c r="S21" s="775">
        <f>F21</f>
        <v>100</v>
      </c>
      <c r="T21" s="774" t="s">
        <v>17</v>
      </c>
      <c r="U21" s="775">
        <f>H21</f>
        <v>100</v>
      </c>
      <c r="V21" s="774" t="s">
        <v>17</v>
      </c>
      <c r="W21" s="775">
        <f>J21</f>
        <v>100</v>
      </c>
      <c r="X21" s="1813"/>
      <c r="Y21" s="3234"/>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4"/>
      <c r="Q22" s="1810"/>
      <c r="R22" s="774"/>
      <c r="S22" s="775"/>
      <c r="T22" s="774"/>
      <c r="U22" s="775"/>
      <c r="V22" s="774"/>
      <c r="W22" s="775"/>
      <c r="X22" s="1813"/>
      <c r="Y22" s="3234"/>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4"/>
      <c r="Q23" s="1810" t="str">
        <f t="shared" ref="Q23:Q37" si="8">B23</f>
        <v>区域土地利用方向</v>
      </c>
      <c r="R23" s="774" t="s">
        <v>17</v>
      </c>
      <c r="S23" s="775">
        <f>F23</f>
        <v>100</v>
      </c>
      <c r="T23" s="774" t="s">
        <v>17</v>
      </c>
      <c r="U23" s="775">
        <f>H23</f>
        <v>100</v>
      </c>
      <c r="V23" s="774" t="s">
        <v>17</v>
      </c>
      <c r="W23" s="775">
        <f>J23</f>
        <v>100</v>
      </c>
      <c r="X23" s="1813"/>
      <c r="Y23" s="3234"/>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4"/>
      <c r="Q24" s="1810"/>
      <c r="R24" s="774"/>
      <c r="S24" s="775"/>
      <c r="T24" s="774"/>
      <c r="U24" s="775"/>
      <c r="V24" s="774"/>
      <c r="W24" s="775"/>
      <c r="X24" s="1813"/>
      <c r="Y24" s="3234"/>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4"/>
      <c r="Q25" s="1810" t="str">
        <f t="shared" si="8"/>
        <v>自然及人文环境状况</v>
      </c>
      <c r="R25" s="774" t="s">
        <v>17</v>
      </c>
      <c r="S25" s="775">
        <f>F25</f>
        <v>100</v>
      </c>
      <c r="T25" s="774" t="s">
        <v>17</v>
      </c>
      <c r="U25" s="775">
        <f>H25</f>
        <v>100</v>
      </c>
      <c r="V25" s="774" t="s">
        <v>17</v>
      </c>
      <c r="W25" s="775">
        <f>J25</f>
        <v>100</v>
      </c>
      <c r="X25" s="1813"/>
      <c r="Y25" s="3234"/>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4"/>
      <c r="Q26" s="1810"/>
      <c r="R26" s="774"/>
      <c r="S26" s="775"/>
      <c r="T26" s="774"/>
      <c r="U26" s="775"/>
      <c r="V26" s="774"/>
      <c r="W26" s="775"/>
      <c r="X26" s="1813"/>
      <c r="Y26" s="3234"/>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4"/>
      <c r="Q27" s="1795" t="str">
        <f t="shared" si="8"/>
        <v>公共配套设施</v>
      </c>
      <c r="R27" s="770" t="s">
        <v>17</v>
      </c>
      <c r="S27" s="771">
        <f>F27</f>
        <v>100</v>
      </c>
      <c r="T27" s="770" t="s">
        <v>17</v>
      </c>
      <c r="U27" s="771">
        <f>H27</f>
        <v>100</v>
      </c>
      <c r="V27" s="770" t="s">
        <v>17</v>
      </c>
      <c r="W27" s="771">
        <f>J27</f>
        <v>100</v>
      </c>
      <c r="X27" s="772"/>
      <c r="Y27" s="3234"/>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4"/>
      <c r="Q28" s="1795"/>
      <c r="R28" s="770"/>
      <c r="S28" s="771"/>
      <c r="T28" s="770"/>
      <c r="U28" s="771"/>
      <c r="V28" s="770"/>
      <c r="W28" s="771"/>
      <c r="X28" s="772"/>
      <c r="Y28" s="3234"/>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4"/>
      <c r="Q29" s="1795"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4"/>
      <c r="Q30" s="1795"/>
      <c r="R30" s="770"/>
      <c r="S30" s="771"/>
      <c r="T30" s="770"/>
      <c r="U30" s="771"/>
      <c r="V30" s="770"/>
      <c r="W30" s="771"/>
      <c r="X30" s="772"/>
      <c r="Y30" s="3234"/>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4"/>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4"/>
      <c r="Q32" s="1810" t="str">
        <f t="shared" si="8"/>
        <v>毗邻道路的类型与等级</v>
      </c>
      <c r="R32" s="774" t="s">
        <v>17</v>
      </c>
      <c r="S32" s="775">
        <f t="shared" si="10"/>
        <v>100</v>
      </c>
      <c r="T32" s="774" t="s">
        <v>17</v>
      </c>
      <c r="U32" s="775">
        <f t="shared" si="11"/>
        <v>100</v>
      </c>
      <c r="V32" s="774" t="s">
        <v>17</v>
      </c>
      <c r="W32" s="775">
        <f t="shared" si="12"/>
        <v>100</v>
      </c>
      <c r="X32" s="1813"/>
      <c r="Y32" s="3234"/>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4"/>
      <c r="Q33" s="1810"/>
      <c r="R33" s="774"/>
      <c r="S33" s="775"/>
      <c r="T33" s="774"/>
      <c r="U33" s="775"/>
      <c r="V33" s="774"/>
      <c r="W33" s="775"/>
      <c r="X33" s="1813"/>
      <c r="Y33" s="3234"/>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4"/>
      <c r="Q34" s="1810" t="str">
        <f t="shared" si="8"/>
        <v>土地级别</v>
      </c>
      <c r="R34" s="774" t="s">
        <v>17</v>
      </c>
      <c r="S34" s="775">
        <f t="shared" si="10"/>
        <v>100</v>
      </c>
      <c r="T34" s="774" t="s">
        <v>17</v>
      </c>
      <c r="U34" s="775">
        <f t="shared" si="11"/>
        <v>100</v>
      </c>
      <c r="V34" s="774" t="s">
        <v>17</v>
      </c>
      <c r="W34" s="775">
        <f t="shared" si="12"/>
        <v>100</v>
      </c>
      <c r="X34" s="1813"/>
      <c r="Y34" s="323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4"/>
      <c r="Q35" s="1810">
        <f t="shared" si="8"/>
        <v>111</v>
      </c>
      <c r="R35" s="774" t="s">
        <v>17</v>
      </c>
      <c r="S35" s="775">
        <f t="shared" si="10"/>
        <v>100</v>
      </c>
      <c r="T35" s="774" t="s">
        <v>17</v>
      </c>
      <c r="U35" s="775">
        <f t="shared" si="11"/>
        <v>100</v>
      </c>
      <c r="V35" s="774" t="s">
        <v>17</v>
      </c>
      <c r="W35" s="775">
        <f t="shared" si="12"/>
        <v>100</v>
      </c>
      <c r="X35" s="1813"/>
      <c r="Y35" s="323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2564</v>
      </c>
      <c r="Q36" s="1810">
        <f t="shared" si="8"/>
        <v>111</v>
      </c>
      <c r="R36" s="774" t="s">
        <v>17</v>
      </c>
      <c r="S36" s="775">
        <f t="shared" si="10"/>
        <v>100</v>
      </c>
      <c r="T36" s="774" t="s">
        <v>17</v>
      </c>
      <c r="U36" s="775">
        <f t="shared" si="11"/>
        <v>100</v>
      </c>
      <c r="V36" s="774" t="s">
        <v>17</v>
      </c>
      <c r="W36" s="775">
        <f t="shared" si="12"/>
        <v>100</v>
      </c>
      <c r="X36" s="1813"/>
      <c r="Y36" s="3236"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10">
        <f t="shared" si="8"/>
        <v>111</v>
      </c>
      <c r="R37" s="777" t="s">
        <v>17</v>
      </c>
      <c r="S37" s="778">
        <f t="shared" si="10"/>
        <v>100</v>
      </c>
      <c r="T37" s="777" t="s">
        <v>17</v>
      </c>
      <c r="U37" s="778">
        <f t="shared" si="11"/>
        <v>100</v>
      </c>
      <c r="V37" s="777" t="s">
        <v>17</v>
      </c>
      <c r="W37" s="778">
        <f t="shared" si="12"/>
        <v>100</v>
      </c>
      <c r="X37" s="779"/>
      <c r="Y37" s="3236"/>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6"/>
      <c r="Q38" s="1810" t="str">
        <f>B38</f>
        <v>宗地面积</v>
      </c>
      <c r="R38" s="774" t="s">
        <v>17</v>
      </c>
      <c r="S38" s="775" t="e">
        <f t="shared" si="10"/>
        <v>#N/A</v>
      </c>
      <c r="T38" s="774" t="s">
        <v>17</v>
      </c>
      <c r="U38" s="775" t="e">
        <f t="shared" si="11"/>
        <v>#N/A</v>
      </c>
      <c r="V38" s="774" t="s">
        <v>17</v>
      </c>
      <c r="W38" s="775" t="e">
        <f t="shared" si="12"/>
        <v>#N/A</v>
      </c>
      <c r="X38" s="1813"/>
      <c r="Y38" s="3236"/>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6"/>
      <c r="Q39" s="1810" t="str">
        <f t="shared" ref="Q39:Q45" si="14">B39</f>
        <v>宗地形状</v>
      </c>
      <c r="R39" s="774" t="s">
        <v>17</v>
      </c>
      <c r="S39" s="775">
        <f t="shared" si="10"/>
        <v>100</v>
      </c>
      <c r="T39" s="774" t="s">
        <v>17</v>
      </c>
      <c r="U39" s="775">
        <f t="shared" si="11"/>
        <v>100</v>
      </c>
      <c r="V39" s="774" t="s">
        <v>17</v>
      </c>
      <c r="W39" s="775">
        <f t="shared" si="12"/>
        <v>100</v>
      </c>
      <c r="X39" s="1813"/>
      <c r="Y39" s="3236"/>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6"/>
      <c r="Q40" s="1810" t="str">
        <f t="shared" si="14"/>
        <v>临街宽度及深度</v>
      </c>
      <c r="R40" s="774" t="s">
        <v>17</v>
      </c>
      <c r="S40" s="775">
        <f t="shared" si="10"/>
        <v>100</v>
      </c>
      <c r="T40" s="774" t="s">
        <v>17</v>
      </c>
      <c r="U40" s="775">
        <f t="shared" si="11"/>
        <v>100</v>
      </c>
      <c r="V40" s="774" t="s">
        <v>17</v>
      </c>
      <c r="W40" s="775">
        <f t="shared" si="12"/>
        <v>100</v>
      </c>
      <c r="X40" s="1813"/>
      <c r="Y40" s="3236"/>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36"/>
      <c r="Q41" s="1810"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6" t="s">
        <v>2564</v>
      </c>
      <c r="Q42" s="1810" t="str">
        <f t="shared" si="14"/>
        <v>工程地质条件</v>
      </c>
      <c r="R42" s="774" t="s">
        <v>17</v>
      </c>
      <c r="S42" s="775">
        <f t="shared" si="10"/>
        <v>100</v>
      </c>
      <c r="T42" s="774" t="s">
        <v>17</v>
      </c>
      <c r="U42" s="775">
        <f t="shared" si="11"/>
        <v>100</v>
      </c>
      <c r="V42" s="774" t="s">
        <v>17</v>
      </c>
      <c r="W42" s="775">
        <f t="shared" si="12"/>
        <v>100</v>
      </c>
      <c r="X42" s="1813"/>
      <c r="Y42" s="3236"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10">
        <f t="shared" si="14"/>
        <v>111</v>
      </c>
      <c r="R43" s="774" t="s">
        <v>17</v>
      </c>
      <c r="S43" s="775">
        <f t="shared" si="10"/>
        <v>100</v>
      </c>
      <c r="T43" s="774" t="s">
        <v>17</v>
      </c>
      <c r="U43" s="775">
        <f t="shared" si="11"/>
        <v>100</v>
      </c>
      <c r="V43" s="774" t="s">
        <v>17</v>
      </c>
      <c r="W43" s="775">
        <f t="shared" si="12"/>
        <v>100</v>
      </c>
      <c r="X43" s="1813"/>
      <c r="Y43" s="323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10">
        <f t="shared" si="14"/>
        <v>111</v>
      </c>
      <c r="R44" s="774" t="s">
        <v>17</v>
      </c>
      <c r="S44" s="775">
        <f t="shared" si="10"/>
        <v>100</v>
      </c>
      <c r="T44" s="774" t="s">
        <v>17</v>
      </c>
      <c r="U44" s="775">
        <f t="shared" si="11"/>
        <v>100</v>
      </c>
      <c r="V44" s="774" t="s">
        <v>17</v>
      </c>
      <c r="W44" s="775">
        <f t="shared" si="12"/>
        <v>100</v>
      </c>
      <c r="X44" s="1813"/>
      <c r="Y44" s="3236"/>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10">
        <f t="shared" si="14"/>
        <v>111</v>
      </c>
      <c r="R45" s="777" t="s">
        <v>17</v>
      </c>
      <c r="S45" s="778">
        <f t="shared" si="10"/>
        <v>100</v>
      </c>
      <c r="T45" s="777" t="s">
        <v>17</v>
      </c>
      <c r="U45" s="778">
        <f t="shared" si="11"/>
        <v>100</v>
      </c>
      <c r="V45" s="777" t="s">
        <v>17</v>
      </c>
      <c r="W45" s="778">
        <f t="shared" si="12"/>
        <v>100</v>
      </c>
      <c r="X45" s="779"/>
      <c r="Y45" s="3236"/>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18" t="str">
        <f>A46</f>
        <v>成交单价</v>
      </c>
      <c r="Q46" s="3218"/>
      <c r="R46" s="3231">
        <f>E46</f>
        <v>0</v>
      </c>
      <c r="S46" s="3231"/>
      <c r="T46" s="3231">
        <f>G46</f>
        <v>0</v>
      </c>
      <c r="U46" s="3231"/>
      <c r="V46" s="3231">
        <f>I46</f>
        <v>0</v>
      </c>
      <c r="W46" s="323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18" t="str">
        <f>A47</f>
        <v>比较价值（元/平方米）</v>
      </c>
      <c r="Q47" s="321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8" t="str">
        <f>A48</f>
        <v>估价对象XX用房的比较价值（楼面单价，元/平方米）</v>
      </c>
      <c r="Q48" s="3239"/>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9" t="s">
        <v>2763</v>
      </c>
      <c r="H55" s="3241"/>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499.07</v>
      </c>
      <c r="F56" s="1103" t="e">
        <f t="shared" ref="F56:F65" si="15">ROUND(B56*E56/10000,0)</f>
        <v>#DIV/0!</v>
      </c>
      <c r="G56" s="3242"/>
      <c r="H56" s="3218"/>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3"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3"/>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3"/>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3"/>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499.07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L34" sqref="L3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-24</v>
      </c>
      <c r="C2" s="320" t="s">
        <v>2459</v>
      </c>
      <c r="D2" s="320"/>
      <c r="E2" s="320"/>
      <c r="F2" s="320"/>
      <c r="G2" s="320"/>
      <c r="H2" s="320"/>
      <c r="I2" s="320"/>
      <c r="J2" s="320"/>
      <c r="K2" s="320"/>
    </row>
    <row r="3" spans="1:33" ht="18" customHeight="1" thickBot="1">
      <c r="A3" s="247" t="s">
        <v>2328</v>
      </c>
      <c r="B3" s="248">
        <f ca="1">ROUND(B2*10000/IF(C1="",'数据-汇总表'!E3,INDIRECT("'数据-取费表'!K"&amp;$K$1)),0)</f>
        <v>-481</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499.07</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499.07</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21</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430</v>
      </c>
      <c r="F19" s="976"/>
      <c r="G19" s="15"/>
      <c r="H19" s="1579"/>
      <c r="I19" s="981"/>
      <c r="J19" s="981"/>
      <c r="K19" s="982"/>
    </row>
    <row r="20" spans="1:33" s="975" customFormat="1" ht="13.5" customHeight="1">
      <c r="A20" s="971" t="s">
        <v>806</v>
      </c>
      <c r="B20" s="972" t="s">
        <v>2494</v>
      </c>
      <c r="C20" s="24">
        <f ca="1">ROUND(D20*E20/10000,0)</f>
        <v>21</v>
      </c>
      <c r="D20" s="1033">
        <f ca="1">IF(C1="",'数据-汇总表'!E6,IF(INDIRECT("'数据-取费表'!c"&amp;$K$1)="住宅",INDIRECT("'数据-取费表'!s"&amp;$K$1),INDIRECT("'数据-取费表'!k"&amp;$K$1)+INDIRECT("'数据-取费表'!s"&amp;$K$1)))</f>
        <v>499.07</v>
      </c>
      <c r="E20" s="24">
        <f>'数据-取费表'!B28</f>
        <v>430</v>
      </c>
      <c r="F20" s="976"/>
      <c r="G20" s="15"/>
      <c r="H20" s="981"/>
      <c r="I20" s="981"/>
      <c r="J20" s="981"/>
      <c r="K20" s="982"/>
    </row>
    <row r="21" spans="1:33" s="975" customFormat="1" ht="13.5" customHeight="1">
      <c r="A21" s="961" t="s">
        <v>802</v>
      </c>
      <c r="B21" s="985" t="s">
        <v>2495</v>
      </c>
      <c r="C21" s="986">
        <f ca="1">C16+C17+C18</f>
        <v>21</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4</v>
      </c>
      <c r="D28" s="324">
        <f ca="1">C29</f>
        <v>0</v>
      </c>
      <c r="E28" s="326" t="s">
        <v>15</v>
      </c>
      <c r="F28" s="332">
        <f ca="1">IF(C1="",'数据-取费表'!Q16,INDIRECT("'数据-取费表'!q"&amp;$K$1))</f>
        <v>0.19</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4</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-24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44" t="s">
        <v>1397</v>
      </c>
      <c r="C6" s="1296">
        <f ca="1">ROUND(F6*F8*F7*(1-F9),0)</f>
        <v>0</v>
      </c>
      <c r="D6" s="164" t="s">
        <v>3027</v>
      </c>
      <c r="E6" s="347" t="s">
        <v>1399</v>
      </c>
      <c r="F6" s="348">
        <f ca="1">INDIRECT("'数据-取费表'!u"&amp;$G$1)</f>
        <v>0</v>
      </c>
      <c r="G6" s="1851"/>
      <c r="H6" s="1291" t="s">
        <v>1031</v>
      </c>
      <c r="I6" s="3244" t="s">
        <v>1397</v>
      </c>
      <c r="J6" s="346">
        <f ca="1">ROUND(M6*M8*M7*(1-M9),0)</f>
        <v>0</v>
      </c>
      <c r="K6" s="1834" t="s">
        <v>3028</v>
      </c>
      <c r="L6" s="347" t="s">
        <v>1399</v>
      </c>
      <c r="M6" s="348">
        <f ca="1">INDIRECT("'数据-取费表'!z"&amp;$G$1)</f>
        <v>0</v>
      </c>
    </row>
    <row r="7" spans="1:37" ht="18" customHeight="1">
      <c r="A7" s="1295"/>
      <c r="B7" s="3245"/>
      <c r="C7" s="1297"/>
      <c r="D7" s="352"/>
      <c r="E7" s="1298" t="s">
        <v>1400</v>
      </c>
      <c r="F7" s="348">
        <f ca="1">IF(INDIRECT("'数据-取费表'!ah"&amp;$G$1)="",INDIRECT("'数据-取费表'!k"&amp;$G$1),INDIRECT("'数据-取费表'!ah"&amp;$G$1))</f>
        <v>0</v>
      </c>
      <c r="G7" s="1851"/>
      <c r="H7" s="349"/>
      <c r="I7" s="3245"/>
      <c r="J7" s="351"/>
      <c r="K7" s="352"/>
      <c r="L7" s="347" t="s">
        <v>1400</v>
      </c>
      <c r="M7" s="348">
        <f ca="1">F7</f>
        <v>0</v>
      </c>
    </row>
    <row r="8" spans="1:37" ht="18" customHeight="1">
      <c r="A8" s="349"/>
      <c r="B8" s="3245"/>
      <c r="C8" s="351"/>
      <c r="D8" s="352"/>
      <c r="E8" s="347" t="s">
        <v>1401</v>
      </c>
      <c r="F8" s="348">
        <f ca="1">INDIRECT("'数据-取费表'!ai"&amp;$G$1)</f>
        <v>0</v>
      </c>
      <c r="G8" s="1851"/>
      <c r="H8" s="349"/>
      <c r="I8" s="3245"/>
      <c r="J8" s="351"/>
      <c r="K8" s="352"/>
      <c r="L8" s="347" t="s">
        <v>1401</v>
      </c>
      <c r="M8" s="348">
        <f ca="1">INDIRECT("'数据-取费表'!ai"&amp;$G$1)</f>
        <v>0</v>
      </c>
    </row>
    <row r="9" spans="1:37" ht="18" customHeight="1">
      <c r="A9" s="349"/>
      <c r="B9" s="3246"/>
      <c r="C9" s="351"/>
      <c r="D9" s="352"/>
      <c r="E9" s="347" t="s">
        <v>1402</v>
      </c>
      <c r="F9" s="357">
        <f ca="1">INDIRECT("'数据-取费表'!w"&amp;$G$1)</f>
        <v>0</v>
      </c>
      <c r="G9" s="1851"/>
      <c r="H9" s="349"/>
      <c r="I9" s="32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2">
        <f ca="1">IF(M47="住宅",IF(D1="——",MAX(J51,L48),MAX(J51,L48-'数据-取费表'!B24)),IF(D1="——",MIN(J51,L48),MIN(J51,L48-'数据-取费表'!B24)))</f>
        <v>0</v>
      </c>
      <c r="K53" s="3247" t="s">
        <v>1542</v>
      </c>
      <c r="L53" s="3248"/>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1072</v>
      </c>
      <c r="B1" s="3250"/>
      <c r="C1" s="3251"/>
      <c r="D1" s="3252">
        <f>SUM(I10,I15,I20,I21,I23)</f>
        <v>0</v>
      </c>
      <c r="E1" s="3252"/>
      <c r="F1" s="3252"/>
      <c r="G1" s="3252"/>
      <c r="H1" s="3252"/>
      <c r="I1" s="3253"/>
    </row>
    <row r="2" spans="1:9">
      <c r="A2" s="3254" t="s">
        <v>1073</v>
      </c>
      <c r="B2" s="3255" t="s">
        <v>1074</v>
      </c>
      <c r="C2" s="3255"/>
      <c r="D2" s="1301" t="s">
        <v>1075</v>
      </c>
      <c r="E2" s="1301" t="s">
        <v>1076</v>
      </c>
      <c r="F2" s="1301" t="s">
        <v>1077</v>
      </c>
      <c r="G2" s="1301" t="s">
        <v>1078</v>
      </c>
      <c r="H2" s="1301" t="s">
        <v>1079</v>
      </c>
      <c r="I2" s="1302" t="s">
        <v>1080</v>
      </c>
    </row>
    <row r="3" spans="1:9">
      <c r="A3" s="3254"/>
      <c r="B3" s="3255" t="s">
        <v>1081</v>
      </c>
      <c r="C3" s="3255"/>
      <c r="D3" s="1303"/>
      <c r="E3" s="1301"/>
      <c r="F3" s="1304"/>
      <c r="G3" s="1304"/>
      <c r="H3" s="1305"/>
      <c r="I3" s="1306">
        <f>ROUND(D3*E3*F3*G3*H3/10000,0)</f>
        <v>0</v>
      </c>
    </row>
    <row r="4" spans="1:9">
      <c r="A4" s="3254"/>
      <c r="B4" s="3255" t="s">
        <v>1082</v>
      </c>
      <c r="C4" s="3255"/>
      <c r="D4" s="1303"/>
      <c r="E4" s="1301"/>
      <c r="F4" s="1304"/>
      <c r="G4" s="1304"/>
      <c r="H4" s="1305"/>
      <c r="I4" s="1306">
        <f t="shared" ref="I4:I9" si="0">ROUND(D4*E4*F4*G4*H4/10000,0)</f>
        <v>0</v>
      </c>
    </row>
    <row r="5" spans="1:9">
      <c r="A5" s="3254"/>
      <c r="B5" s="3255" t="s">
        <v>1083</v>
      </c>
      <c r="C5" s="3255"/>
      <c r="D5" s="1303"/>
      <c r="E5" s="1301"/>
      <c r="F5" s="1304"/>
      <c r="G5" s="1304"/>
      <c r="H5" s="1305"/>
      <c r="I5" s="1306">
        <f t="shared" si="0"/>
        <v>0</v>
      </c>
    </row>
    <row r="6" spans="1:9">
      <c r="A6" s="3254"/>
      <c r="B6" s="3255" t="s">
        <v>1084</v>
      </c>
      <c r="C6" s="3255"/>
      <c r="D6" s="1303"/>
      <c r="E6" s="1301"/>
      <c r="F6" s="1304"/>
      <c r="G6" s="1304"/>
      <c r="H6" s="1305"/>
      <c r="I6" s="1306">
        <f t="shared" si="0"/>
        <v>0</v>
      </c>
    </row>
    <row r="7" spans="1:9">
      <c r="A7" s="3254"/>
      <c r="B7" s="3255" t="s">
        <v>1085</v>
      </c>
      <c r="C7" s="3255"/>
      <c r="D7" s="1303"/>
      <c r="E7" s="1301"/>
      <c r="F7" s="1304"/>
      <c r="G7" s="1304"/>
      <c r="H7" s="1305"/>
      <c r="I7" s="1306">
        <f t="shared" si="0"/>
        <v>0</v>
      </c>
    </row>
    <row r="8" spans="1:9">
      <c r="A8" s="3254"/>
      <c r="B8" s="3255" t="s">
        <v>1086</v>
      </c>
      <c r="C8" s="3255"/>
      <c r="D8" s="1303"/>
      <c r="E8" s="1301"/>
      <c r="F8" s="1304"/>
      <c r="G8" s="1304"/>
      <c r="H8" s="1305"/>
      <c r="I8" s="1306">
        <f t="shared" si="0"/>
        <v>0</v>
      </c>
    </row>
    <row r="9" spans="1:9">
      <c r="A9" s="3254"/>
      <c r="B9" s="3255" t="s">
        <v>1087</v>
      </c>
      <c r="C9" s="3255"/>
      <c r="D9" s="1303"/>
      <c r="E9" s="1301"/>
      <c r="F9" s="1304"/>
      <c r="G9" s="1304"/>
      <c r="H9" s="1305"/>
      <c r="I9" s="1306">
        <f t="shared" si="0"/>
        <v>0</v>
      </c>
    </row>
    <row r="10" spans="1:9">
      <c r="A10" s="3254"/>
      <c r="B10" s="3256" t="s">
        <v>1088</v>
      </c>
      <c r="C10" s="3256"/>
      <c r="D10" s="1307"/>
      <c r="E10" s="1307" t="e">
        <f>ROUND(D1*10000/D10/H9,0)</f>
        <v>#DIV/0!</v>
      </c>
      <c r="F10" s="1308"/>
      <c r="G10" s="1308"/>
      <c r="H10" s="1309"/>
      <c r="I10" s="1310">
        <f>SUM(I3:I9)</f>
        <v>0</v>
      </c>
    </row>
    <row r="11" spans="1:9" ht="14.25">
      <c r="A11" s="3254" t="s">
        <v>1089</v>
      </c>
      <c r="B11" s="3255" t="s">
        <v>1090</v>
      </c>
      <c r="C11" s="3255"/>
      <c r="D11" s="1303" t="s">
        <v>1091</v>
      </c>
      <c r="E11" s="1303" t="s">
        <v>1092</v>
      </c>
      <c r="F11" s="1304" t="s">
        <v>1093</v>
      </c>
      <c r="G11" s="1304" t="s">
        <v>1079</v>
      </c>
      <c r="H11" s="1311" t="s">
        <v>1094</v>
      </c>
      <c r="I11" s="1302" t="s">
        <v>1080</v>
      </c>
    </row>
    <row r="12" spans="1:9">
      <c r="A12" s="3254"/>
      <c r="B12" s="3255" t="s">
        <v>1095</v>
      </c>
      <c r="C12" s="3255"/>
      <c r="D12" s="1303"/>
      <c r="E12" s="1303"/>
      <c r="F12" s="1304"/>
      <c r="G12" s="1305"/>
      <c r="H12" s="1312"/>
      <c r="I12" s="1302">
        <f>ROUND(D12*E12*F12*G12/10000,0)</f>
        <v>0</v>
      </c>
    </row>
    <row r="13" spans="1:9">
      <c r="A13" s="3254"/>
      <c r="B13" s="3255" t="s">
        <v>1096</v>
      </c>
      <c r="C13" s="3255"/>
      <c r="D13" s="1303"/>
      <c r="E13" s="1303"/>
      <c r="F13" s="1304"/>
      <c r="G13" s="1305"/>
      <c r="H13" s="1312"/>
      <c r="I13" s="1302">
        <f>ROUND(D13*E13*F13*G13/10000,0)</f>
        <v>0</v>
      </c>
    </row>
    <row r="14" spans="1:9">
      <c r="A14" s="3254"/>
      <c r="B14" s="3255" t="s">
        <v>1097</v>
      </c>
      <c r="C14" s="3255"/>
      <c r="D14" s="1303"/>
      <c r="E14" s="1303"/>
      <c r="F14" s="1304"/>
      <c r="G14" s="1305"/>
      <c r="H14" s="1312"/>
      <c r="I14" s="1302">
        <f>ROUND(D14*E14*F14*G14/10000,0)</f>
        <v>0</v>
      </c>
    </row>
    <row r="15" spans="1:9">
      <c r="A15" s="3254"/>
      <c r="B15" s="3256" t="s">
        <v>1088</v>
      </c>
      <c r="C15" s="3256"/>
      <c r="D15" s="1307"/>
      <c r="E15" s="1307">
        <f>SUM(E12:E14)</f>
        <v>0</v>
      </c>
      <c r="F15" s="1308"/>
      <c r="G15" s="1305"/>
      <c r="H15" s="1312"/>
      <c r="I15" s="1313">
        <f>SUM(I12:I14)</f>
        <v>0</v>
      </c>
    </row>
    <row r="16" spans="1:9" ht="24">
      <c r="A16" s="3254" t="s">
        <v>1098</v>
      </c>
      <c r="B16" s="3255" t="s">
        <v>1099</v>
      </c>
      <c r="C16" s="3255"/>
      <c r="D16" s="1303" t="s">
        <v>1075</v>
      </c>
      <c r="E16" s="1314" t="s">
        <v>1100</v>
      </c>
      <c r="F16" s="1304" t="s">
        <v>1101</v>
      </c>
      <c r="G16" s="1305" t="s">
        <v>1079</v>
      </c>
      <c r="H16" s="1311" t="s">
        <v>1094</v>
      </c>
      <c r="I16" s="1302" t="s">
        <v>1080</v>
      </c>
    </row>
    <row r="17" spans="1:9" ht="14.25">
      <c r="A17" s="3254"/>
      <c r="B17" s="3255" t="s">
        <v>1102</v>
      </c>
      <c r="C17" s="3255"/>
      <c r="D17" s="1303"/>
      <c r="E17" s="1303"/>
      <c r="F17" s="1304"/>
      <c r="G17" s="1305"/>
      <c r="H17" s="1315"/>
      <c r="I17" s="1316">
        <f>ROUND(D17*E17*F17*G17/10000,0)</f>
        <v>0</v>
      </c>
    </row>
    <row r="18" spans="1:9" ht="14.25">
      <c r="A18" s="3254"/>
      <c r="B18" s="3255" t="s">
        <v>1103</v>
      </c>
      <c r="C18" s="3255"/>
      <c r="D18" s="1303"/>
      <c r="E18" s="1303"/>
      <c r="F18" s="1304"/>
      <c r="G18" s="1305"/>
      <c r="H18" s="1315"/>
      <c r="I18" s="1316">
        <f>ROUND(D18*E18*F18*G18/10000,0)</f>
        <v>0</v>
      </c>
    </row>
    <row r="19" spans="1:9" ht="14.25">
      <c r="A19" s="3254"/>
      <c r="B19" s="3255" t="s">
        <v>1104</v>
      </c>
      <c r="C19" s="3255"/>
      <c r="D19" s="1303"/>
      <c r="E19" s="1303"/>
      <c r="F19" s="1304"/>
      <c r="G19" s="1305"/>
      <c r="H19" s="1315"/>
      <c r="I19" s="1316">
        <f>ROUND(D19*E19*F19*G19/10000,0)</f>
        <v>0</v>
      </c>
    </row>
    <row r="20" spans="1:9">
      <c r="A20" s="3254"/>
      <c r="B20" s="3256" t="s">
        <v>1088</v>
      </c>
      <c r="C20" s="3256"/>
      <c r="D20" s="1307">
        <f>SUM(D17:D19)</f>
        <v>0</v>
      </c>
      <c r="E20" s="1307"/>
      <c r="F20" s="1308"/>
      <c r="G20" s="1305"/>
      <c r="H20" s="1312"/>
      <c r="I20" s="1313">
        <f>SUM(I17:I19)</f>
        <v>0</v>
      </c>
    </row>
    <row r="21" spans="1:9">
      <c r="A21" s="3254" t="s">
        <v>1105</v>
      </c>
      <c r="B21" s="3258"/>
      <c r="C21" s="3258"/>
      <c r="D21" s="3258"/>
      <c r="E21" s="3258"/>
      <c r="F21" s="3258"/>
      <c r="G21" s="3258"/>
      <c r="H21" s="1765">
        <v>0.1</v>
      </c>
      <c r="I21" s="1310">
        <f>ROUND(I10*H21,0)</f>
        <v>0</v>
      </c>
    </row>
    <row r="22" spans="1:9" ht="14.25">
      <c r="A22" s="3259" t="s">
        <v>1106</v>
      </c>
      <c r="B22" s="3260"/>
      <c r="C22" s="3261"/>
      <c r="D22" s="1317" t="s">
        <v>1107</v>
      </c>
      <c r="E22" s="1317" t="s">
        <v>1108</v>
      </c>
      <c r="F22" s="1318" t="s">
        <v>1109</v>
      </c>
      <c r="G22" s="1318" t="s">
        <v>1110</v>
      </c>
      <c r="H22" s="1311" t="s">
        <v>1111</v>
      </c>
      <c r="I22" s="1302" t="s">
        <v>1112</v>
      </c>
    </row>
    <row r="23" spans="1:9" ht="14.25" thickBot="1">
      <c r="A23" s="3262"/>
      <c r="B23" s="3263"/>
      <c r="C23" s="3264"/>
      <c r="D23" s="1319"/>
      <c r="E23" s="1319"/>
      <c r="F23" s="1319"/>
      <c r="G23" s="1320"/>
      <c r="H23" s="1321"/>
      <c r="I23" s="1322">
        <f>ROUND(E23*D23*F23*(1-G23)/10000,0)</f>
        <v>0</v>
      </c>
    </row>
    <row r="26" spans="1:9">
      <c r="A26" s="1323" t="s">
        <v>1113</v>
      </c>
      <c r="B26" s="1323"/>
      <c r="C26" s="1323"/>
      <c r="D26" s="1323"/>
      <c r="E26" s="3265">
        <f>C27-C30-C31-C32</f>
        <v>0</v>
      </c>
      <c r="F26" s="3265"/>
      <c r="G26" s="3265"/>
      <c r="H26" s="1737" t="s">
        <v>1335</v>
      </c>
    </row>
    <row r="27" spans="1:9">
      <c r="A27" s="1324">
        <v>1</v>
      </c>
      <c r="B27" s="1325" t="s">
        <v>1114</v>
      </c>
      <c r="C27" s="1325">
        <f>C28+C29</f>
        <v>0</v>
      </c>
      <c r="D27" s="1325"/>
      <c r="E27" s="3266"/>
      <c r="F27" s="3266"/>
      <c r="G27" s="3266"/>
    </row>
    <row r="28" spans="1:9">
      <c r="A28" s="1326" t="s">
        <v>1115</v>
      </c>
      <c r="B28" s="1325" t="s">
        <v>1116</v>
      </c>
      <c r="C28" s="1325"/>
      <c r="D28" s="1325"/>
      <c r="E28" s="3266"/>
      <c r="F28" s="3266"/>
      <c r="G28" s="326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7"/>
      <c r="F32" s="3257"/>
      <c r="G32" s="3257"/>
    </row>
    <row r="33" spans="1:7" hidden="1">
      <c r="A33" s="3267" t="s">
        <v>1125</v>
      </c>
      <c r="B33" s="3268"/>
      <c r="C33" s="3268"/>
      <c r="D33" s="3269"/>
      <c r="E33" s="3265"/>
      <c r="F33" s="3265"/>
      <c r="G33" s="3265"/>
    </row>
    <row r="34" spans="1:7" hidden="1">
      <c r="A34" s="1328">
        <v>1</v>
      </c>
      <c r="B34" s="1325" t="s">
        <v>1126</v>
      </c>
      <c r="C34" s="1325"/>
      <c r="D34" s="1325"/>
      <c r="E34" s="3266"/>
      <c r="F34" s="3266"/>
      <c r="G34" s="3266"/>
    </row>
    <row r="35" spans="1:7" hidden="1">
      <c r="A35" s="1328">
        <v>2</v>
      </c>
      <c r="B35" s="1325" t="s">
        <v>1127</v>
      </c>
      <c r="C35" s="1325"/>
      <c r="D35" s="1325"/>
      <c r="E35" s="3266"/>
      <c r="F35" s="3266"/>
      <c r="G35" s="3266"/>
    </row>
    <row r="36" spans="1:7" hidden="1">
      <c r="A36" s="1328">
        <v>3</v>
      </c>
      <c r="B36" s="1325" t="s">
        <v>1128</v>
      </c>
      <c r="C36" s="1325"/>
      <c r="D36" s="1325"/>
      <c r="E36" s="3266"/>
      <c r="F36" s="3266"/>
      <c r="G36" s="3266"/>
    </row>
    <row r="37" spans="1:7" hidden="1">
      <c r="A37" s="1328">
        <v>4</v>
      </c>
      <c r="B37" s="1325" t="s">
        <v>1129</v>
      </c>
      <c r="C37" s="1325"/>
      <c r="D37" s="1325"/>
      <c r="E37" s="3266"/>
      <c r="F37" s="3266"/>
      <c r="G37" s="3266"/>
    </row>
    <row r="38" spans="1:7" hidden="1">
      <c r="A38" s="3267" t="s">
        <v>1130</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5" zoomScale="90" zoomScaleNormal="90" workbookViewId="0">
      <selection activeCell="G36" sqref="G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t="s">
        <v>1372</v>
      </c>
      <c r="E1" s="2659"/>
      <c r="F1" s="2586" t="s">
        <v>3099</v>
      </c>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f>IF(C2="——",ROUND(C49*D3/10000,0),ROUND(C49*D3/10000,0)-D2)</f>
        <v>2165</v>
      </c>
      <c r="C2" s="2588" t="s">
        <v>70</v>
      </c>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f>IF(C2="——",C49,ROUND(B2*10000/D3,0))</f>
        <v>48795</v>
      </c>
      <c r="C3" s="400" t="s">
        <v>2643</v>
      </c>
      <c r="D3" s="399">
        <f>IF(D1="",'数据-汇总表'!E3,SUMIF('数据-汇总表'!$C19:$C33,D1,'数据-汇总表'!$E19:$E33))</f>
        <v>443.61</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6" t="s">
        <v>2646</v>
      </c>
      <c r="S4" s="3207"/>
      <c r="T4" s="3206" t="s">
        <v>2647</v>
      </c>
      <c r="U4" s="3207"/>
      <c r="V4" s="3231" t="s">
        <v>2648</v>
      </c>
      <c r="W4" s="3231"/>
      <c r="X4" s="1813"/>
      <c r="Y4" s="3206" t="s">
        <v>2650</v>
      </c>
      <c r="Z4" s="3207"/>
      <c r="AA4" s="3201" t="s">
        <v>2646</v>
      </c>
      <c r="AB4" s="3231" t="s">
        <v>2647</v>
      </c>
      <c r="AC4" s="3201" t="s">
        <v>2648</v>
      </c>
    </row>
    <row r="5" spans="1:29" ht="15">
      <c r="A5" s="404"/>
      <c r="B5" s="405"/>
      <c r="C5" s="3212" t="s">
        <v>2541</v>
      </c>
      <c r="D5" s="3213"/>
      <c r="E5" s="3285" t="s">
        <v>3121</v>
      </c>
      <c r="F5" s="3211"/>
      <c r="G5" s="3286" t="s">
        <v>3122</v>
      </c>
      <c r="H5" s="3213"/>
      <c r="I5" s="3286" t="s">
        <v>3123</v>
      </c>
      <c r="J5" s="3213"/>
      <c r="K5" s="610"/>
      <c r="L5" s="1130"/>
      <c r="M5" s="1131"/>
      <c r="N5" s="1131"/>
      <c r="O5" s="1131"/>
      <c r="P5" s="3225"/>
      <c r="Q5" s="3226"/>
      <c r="R5" s="3208"/>
      <c r="S5" s="3209"/>
      <c r="T5" s="3208"/>
      <c r="U5" s="3209"/>
      <c r="V5" s="3231"/>
      <c r="W5" s="3231"/>
      <c r="X5" s="1813"/>
      <c r="Y5" s="3208"/>
      <c r="Z5" s="3209"/>
      <c r="AA5" s="3202"/>
      <c r="AB5" s="3231"/>
      <c r="AC5" s="3202"/>
    </row>
    <row r="6" spans="1:29" ht="15.75" thickBot="1">
      <c r="A6" s="406"/>
      <c r="B6" s="407"/>
      <c r="C6" s="3214" t="s">
        <v>2545</v>
      </c>
      <c r="D6" s="3215"/>
      <c r="E6" s="3216" t="s">
        <v>2545</v>
      </c>
      <c r="F6" s="3217"/>
      <c r="G6" s="3214" t="s">
        <v>2545</v>
      </c>
      <c r="H6" s="3215"/>
      <c r="I6" s="3214" t="s">
        <v>2545</v>
      </c>
      <c r="J6" s="3215"/>
      <c r="K6" s="610" t="s">
        <v>2546</v>
      </c>
      <c r="L6" s="1130"/>
      <c r="M6" s="1131"/>
      <c r="N6" s="1131"/>
      <c r="O6" s="1131"/>
      <c r="P6" s="3227"/>
      <c r="Q6" s="3228"/>
      <c r="R6" s="3208"/>
      <c r="S6" s="3209"/>
      <c r="T6" s="3229"/>
      <c r="U6" s="3230"/>
      <c r="V6" s="3231"/>
      <c r="W6" s="3231"/>
      <c r="X6" s="1813"/>
      <c r="Y6" s="3229"/>
      <c r="Z6" s="3230"/>
      <c r="AA6" s="3203"/>
      <c r="AB6" s="3231"/>
      <c r="AC6" s="3203"/>
    </row>
    <row r="7" spans="1:29" s="117" customFormat="1" ht="15.75" thickBot="1">
      <c r="A7" s="408" t="s">
        <v>2547</v>
      </c>
      <c r="B7" s="409"/>
      <c r="C7" s="410">
        <f>'数据-取费表'!B2</f>
        <v>43845</v>
      </c>
      <c r="D7" s="411">
        <v>100</v>
      </c>
      <c r="E7" s="412">
        <f>C7</f>
        <v>43845</v>
      </c>
      <c r="F7" s="413">
        <f>SUMIF(58:58,YEAR(E7)&amp;"-"&amp;MONTH(E7),59:59)</f>
        <v>100</v>
      </c>
      <c r="G7" s="412">
        <f>C7</f>
        <v>43845</v>
      </c>
      <c r="H7" s="411">
        <f>SUMIF(58:58,YEAR(G7)&amp;"-"&amp;MONTH(G7),59:59)</f>
        <v>100</v>
      </c>
      <c r="I7" s="412">
        <f>C7</f>
        <v>43845</v>
      </c>
      <c r="J7" s="411">
        <f>SUMIF(58:58,YEAR(I7)&amp;"-"&amp;MONTH(I7),59:59)</f>
        <v>100</v>
      </c>
      <c r="K7" s="611"/>
      <c r="L7" s="1132"/>
      <c r="M7" s="1133"/>
      <c r="N7" s="1133"/>
      <c r="O7" s="1133"/>
      <c r="P7" s="3204" t="s">
        <v>2548</v>
      </c>
      <c r="Q7" s="3232"/>
      <c r="R7" s="770" t="s">
        <v>17</v>
      </c>
      <c r="S7" s="771">
        <f t="shared" ref="S7:S15" si="0">F7</f>
        <v>100</v>
      </c>
      <c r="T7" s="770" t="s">
        <v>17</v>
      </c>
      <c r="U7" s="771">
        <f t="shared" ref="U7:U15" si="1">H7</f>
        <v>100</v>
      </c>
      <c r="V7" s="770" t="s">
        <v>17</v>
      </c>
      <c r="W7" s="771">
        <f t="shared" ref="W7:W15" si="2">J7</f>
        <v>100</v>
      </c>
      <c r="X7" s="772"/>
      <c r="Y7" s="3204" t="s">
        <v>2548</v>
      </c>
      <c r="Z7" s="3205"/>
      <c r="AA7" s="773">
        <f>D7/F7</f>
        <v>1</v>
      </c>
      <c r="AB7" s="773">
        <f>D7/H7</f>
        <v>1</v>
      </c>
      <c r="AC7" s="773">
        <f>D7/J7</f>
        <v>1</v>
      </c>
    </row>
    <row r="8" spans="1:29" s="117" customFormat="1" ht="15.75" thickBot="1">
      <c r="A8" s="408" t="s">
        <v>2549</v>
      </c>
      <c r="B8" s="409"/>
      <c r="C8" s="414" t="s">
        <v>2651</v>
      </c>
      <c r="D8" s="411">
        <v>100</v>
      </c>
      <c r="E8" s="414" t="s">
        <v>3100</v>
      </c>
      <c r="F8" s="413">
        <f>SUMIF(61:61,E8,62:62)-SUMIF(61:61,C8,62:62)+100</f>
        <v>100</v>
      </c>
      <c r="G8" s="414" t="s">
        <v>3100</v>
      </c>
      <c r="H8" s="411">
        <f>SUMIF(61:61,G8,62:62)-SUMIF(61:61,C8,62:62)+100</f>
        <v>100</v>
      </c>
      <c r="I8" s="414" t="s">
        <v>3100</v>
      </c>
      <c r="J8" s="411">
        <f>SUMIF(61:61,I8,62:62)-SUMIF(61:61,C8,62:62)+100</f>
        <v>100</v>
      </c>
      <c r="K8" s="611"/>
      <c r="L8" s="1132"/>
      <c r="M8" s="1133"/>
      <c r="N8" s="1133"/>
      <c r="O8" s="1133"/>
      <c r="P8" s="3204" t="s">
        <v>2551</v>
      </c>
      <c r="Q8" s="3205"/>
      <c r="R8" s="770" t="s">
        <v>17</v>
      </c>
      <c r="S8" s="771">
        <f t="shared" si="0"/>
        <v>100</v>
      </c>
      <c r="T8" s="770" t="s">
        <v>17</v>
      </c>
      <c r="U8" s="771">
        <f t="shared" si="1"/>
        <v>100</v>
      </c>
      <c r="V8" s="770" t="s">
        <v>17</v>
      </c>
      <c r="W8" s="771">
        <f t="shared" si="2"/>
        <v>100</v>
      </c>
      <c r="X8" s="772"/>
      <c r="Y8" s="3204" t="s">
        <v>2551</v>
      </c>
      <c r="Z8" s="3205"/>
      <c r="AA8" s="773">
        <f t="shared" ref="AA8:AA46" si="3">D8/F8</f>
        <v>1</v>
      </c>
      <c r="AB8" s="773">
        <f t="shared" ref="AB8:AB46" si="4">D8/H8</f>
        <v>1</v>
      </c>
      <c r="AC8" s="773">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2" t="s">
        <v>2554</v>
      </c>
      <c r="Q9" s="1795" t="str">
        <f t="shared" ref="Q9:Q15" si="6">B9</f>
        <v>用途</v>
      </c>
      <c r="R9" s="770" t="s">
        <v>17</v>
      </c>
      <c r="S9" s="771">
        <f t="shared" si="0"/>
        <v>100</v>
      </c>
      <c r="T9" s="770" t="s">
        <v>17</v>
      </c>
      <c r="U9" s="771">
        <f t="shared" si="1"/>
        <v>100</v>
      </c>
      <c r="V9" s="770" t="s">
        <v>17</v>
      </c>
      <c r="W9" s="771">
        <f t="shared" si="2"/>
        <v>100</v>
      </c>
      <c r="X9" s="772"/>
      <c r="Y9" s="3074" t="s">
        <v>2555</v>
      </c>
      <c r="Z9" s="55" t="str">
        <f t="shared" ref="Z9:Z15" si="7">Q9</f>
        <v>用途</v>
      </c>
      <c r="AA9" s="773">
        <f t="shared" si="3"/>
        <v>1</v>
      </c>
      <c r="AB9" s="773">
        <f t="shared" si="4"/>
        <v>1</v>
      </c>
      <c r="AC9" s="773">
        <f t="shared" si="5"/>
        <v>1</v>
      </c>
    </row>
    <row r="10" spans="1:29" s="427" customFormat="1" ht="27">
      <c r="A10" s="421"/>
      <c r="B10" s="422" t="s">
        <v>2556</v>
      </c>
      <c r="C10" s="423" t="s">
        <v>3125</v>
      </c>
      <c r="D10" s="136">
        <v>100</v>
      </c>
      <c r="E10" s="424" t="s">
        <v>3125</v>
      </c>
      <c r="F10" s="425">
        <f>SUMIF(65:65,E10,66:66)-SUMIF(65:65,C10,66:66)+100</f>
        <v>100</v>
      </c>
      <c r="G10" s="423" t="s">
        <v>3125</v>
      </c>
      <c r="H10" s="136">
        <f>SUMIF(65:65,G10,66:66)-SUMIF(65:65,C10,66:66)+100</f>
        <v>100</v>
      </c>
      <c r="I10" s="423" t="s">
        <v>3125</v>
      </c>
      <c r="J10" s="136">
        <f>SUMIF(65:65,I10,66:66)-SUMIF(65:65,C10,66:66)+100</f>
        <v>100</v>
      </c>
      <c r="K10" s="612"/>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75" thickBot="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2"/>
      <c r="Q11" s="1795" t="str">
        <f t="shared" si="6"/>
        <v>容积率</v>
      </c>
      <c r="R11" s="770" t="s">
        <v>17</v>
      </c>
      <c r="S11" s="771">
        <f t="shared" si="0"/>
        <v>100</v>
      </c>
      <c r="T11" s="770" t="s">
        <v>17</v>
      </c>
      <c r="U11" s="771">
        <f t="shared" si="1"/>
        <v>100</v>
      </c>
      <c r="V11" s="770" t="s">
        <v>17</v>
      </c>
      <c r="W11" s="771">
        <f t="shared" si="2"/>
        <v>100</v>
      </c>
      <c r="X11" s="772"/>
      <c r="Y11" s="3074"/>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2"/>
      <c r="Q14" s="1795">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6" t="s">
        <v>2559</v>
      </c>
      <c r="Q15" s="1810" t="str">
        <f t="shared" si="6"/>
        <v>商业繁华度</v>
      </c>
      <c r="R15" s="774" t="s">
        <v>17</v>
      </c>
      <c r="S15" s="775">
        <f t="shared" si="0"/>
        <v>100</v>
      </c>
      <c r="T15" s="774" t="s">
        <v>17</v>
      </c>
      <c r="U15" s="775">
        <f t="shared" si="1"/>
        <v>100</v>
      </c>
      <c r="V15" s="774" t="s">
        <v>17</v>
      </c>
      <c r="W15" s="775">
        <f t="shared" si="2"/>
        <v>100</v>
      </c>
      <c r="X15" s="1813"/>
      <c r="Y15" s="3233" t="s">
        <v>2559</v>
      </c>
      <c r="Z15" s="1814" t="str">
        <f t="shared" si="7"/>
        <v>商业繁华度</v>
      </c>
      <c r="AA15" s="1811">
        <f t="shared" si="3"/>
        <v>1</v>
      </c>
      <c r="AB15" s="1811">
        <f t="shared" si="4"/>
        <v>1</v>
      </c>
      <c r="AC15" s="1811">
        <f t="shared" si="5"/>
        <v>1</v>
      </c>
    </row>
    <row r="16" spans="1:29" ht="15">
      <c r="A16" s="428"/>
      <c r="B16" s="446"/>
      <c r="C16" s="447" t="s">
        <v>3126</v>
      </c>
      <c r="D16" s="448"/>
      <c r="E16" s="447" t="s">
        <v>3126</v>
      </c>
      <c r="F16" s="449"/>
      <c r="G16" s="447" t="s">
        <v>3126</v>
      </c>
      <c r="H16" s="450"/>
      <c r="I16" s="447" t="s">
        <v>3126</v>
      </c>
      <c r="J16" s="448"/>
      <c r="K16" s="615"/>
      <c r="L16" s="1140"/>
      <c r="M16" s="1131"/>
      <c r="N16" s="1131"/>
      <c r="O16" s="1131"/>
      <c r="P16" s="3277"/>
      <c r="Q16" s="1810"/>
      <c r="R16" s="774"/>
      <c r="S16" s="775"/>
      <c r="T16" s="774"/>
      <c r="U16" s="775"/>
      <c r="V16" s="774"/>
      <c r="W16" s="775"/>
      <c r="X16" s="1813"/>
      <c r="Y16" s="3234"/>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7"/>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1811">
        <f t="shared" si="5"/>
        <v>1</v>
      </c>
    </row>
    <row r="18" spans="1:29" ht="15">
      <c r="A18" s="428"/>
      <c r="B18" s="456"/>
      <c r="C18" s="2610" t="s">
        <v>3126</v>
      </c>
      <c r="D18" s="450"/>
      <c r="E18" s="2612" t="s">
        <v>3126</v>
      </c>
      <c r="F18" s="453"/>
      <c r="G18" s="2611" t="s">
        <v>3126</v>
      </c>
      <c r="H18" s="448"/>
      <c r="I18" s="2612" t="s">
        <v>3126</v>
      </c>
      <c r="J18" s="448"/>
      <c r="K18" s="615"/>
      <c r="L18" s="1140"/>
      <c r="M18" s="1131"/>
      <c r="N18" s="1131"/>
      <c r="O18" s="1131"/>
      <c r="P18" s="3277"/>
      <c r="Q18" s="1810"/>
      <c r="R18" s="774"/>
      <c r="S18" s="775"/>
      <c r="T18" s="774"/>
      <c r="U18" s="775"/>
      <c r="V18" s="774"/>
      <c r="W18" s="775"/>
      <c r="X18" s="1813"/>
      <c r="Y18" s="3234"/>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7"/>
      <c r="Q19" s="1810" t="str">
        <f>B19</f>
        <v>公共配套设施</v>
      </c>
      <c r="R19" s="774" t="s">
        <v>17</v>
      </c>
      <c r="S19" s="775">
        <f>F19</f>
        <v>100</v>
      </c>
      <c r="T19" s="774" t="s">
        <v>17</v>
      </c>
      <c r="U19" s="775">
        <f>H19</f>
        <v>100</v>
      </c>
      <c r="V19" s="774" t="s">
        <v>17</v>
      </c>
      <c r="W19" s="775">
        <f>J19</f>
        <v>100</v>
      </c>
      <c r="X19" s="1813"/>
      <c r="Y19" s="3234"/>
      <c r="Z19" s="1814" t="str">
        <f>Q19</f>
        <v>公共配套设施</v>
      </c>
      <c r="AA19" s="1811">
        <f t="shared" si="3"/>
        <v>1</v>
      </c>
      <c r="AB19" s="1811">
        <f t="shared" si="4"/>
        <v>1</v>
      </c>
      <c r="AC19" s="1811">
        <f t="shared" si="5"/>
        <v>1</v>
      </c>
    </row>
    <row r="20" spans="1:29" ht="15">
      <c r="A20" s="428"/>
      <c r="B20" s="456"/>
      <c r="C20" s="447" t="s">
        <v>3126</v>
      </c>
      <c r="D20" s="448"/>
      <c r="E20" s="2607" t="s">
        <v>3126</v>
      </c>
      <c r="F20" s="449"/>
      <c r="G20" s="2606" t="s">
        <v>3126</v>
      </c>
      <c r="H20" s="448"/>
      <c r="I20" s="2607" t="s">
        <v>3126</v>
      </c>
      <c r="J20" s="448"/>
      <c r="K20" s="615"/>
      <c r="L20" s="1140"/>
      <c r="M20" s="1131"/>
      <c r="N20" s="1131"/>
      <c r="O20" s="1131"/>
      <c r="P20" s="3277"/>
      <c r="Q20" s="1810"/>
      <c r="R20" s="774"/>
      <c r="S20" s="775"/>
      <c r="T20" s="774"/>
      <c r="U20" s="775"/>
      <c r="V20" s="774"/>
      <c r="W20" s="775"/>
      <c r="X20" s="1813"/>
      <c r="Y20" s="3234"/>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7"/>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1811">
        <f t="shared" ref="AC21" si="10">D21/J21</f>
        <v>1</v>
      </c>
    </row>
    <row r="22" spans="1:29" ht="15">
      <c r="A22" s="428"/>
      <c r="B22" s="1384"/>
      <c r="C22" s="2610" t="s">
        <v>3127</v>
      </c>
      <c r="D22" s="448"/>
      <c r="E22" s="447" t="s">
        <v>3127</v>
      </c>
      <c r="F22" s="449"/>
      <c r="G22" s="447" t="s">
        <v>3127</v>
      </c>
      <c r="H22" s="448"/>
      <c r="I22" s="447" t="s">
        <v>3127</v>
      </c>
      <c r="J22" s="448"/>
      <c r="K22" s="1383"/>
      <c r="L22" s="1140"/>
      <c r="M22" s="1131"/>
      <c r="N22" s="1131"/>
      <c r="O22" s="1131"/>
      <c r="P22" s="3277"/>
      <c r="Q22" s="1810"/>
      <c r="R22" s="774"/>
      <c r="S22" s="775"/>
      <c r="T22" s="774"/>
      <c r="U22" s="775"/>
      <c r="V22" s="774"/>
      <c r="W22" s="775"/>
      <c r="X22" s="1813"/>
      <c r="Y22" s="3234"/>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7"/>
      <c r="Q23" s="1810" t="str">
        <f>B23</f>
        <v>自然及人文环境</v>
      </c>
      <c r="R23" s="774" t="s">
        <v>17</v>
      </c>
      <c r="S23" s="775">
        <f>F23</f>
        <v>100</v>
      </c>
      <c r="T23" s="774" t="s">
        <v>17</v>
      </c>
      <c r="U23" s="775">
        <f>H23</f>
        <v>100</v>
      </c>
      <c r="V23" s="774" t="s">
        <v>17</v>
      </c>
      <c r="W23" s="775">
        <f>J23</f>
        <v>100</v>
      </c>
      <c r="X23" s="1813"/>
      <c r="Y23" s="3234"/>
      <c r="Z23" s="1814" t="str">
        <f>Q23</f>
        <v>自然及人文环境</v>
      </c>
      <c r="AA23" s="1811">
        <f t="shared" si="3"/>
        <v>1</v>
      </c>
      <c r="AB23" s="1811">
        <f t="shared" si="4"/>
        <v>1</v>
      </c>
      <c r="AC23" s="1811">
        <f t="shared" si="5"/>
        <v>1</v>
      </c>
    </row>
    <row r="24" spans="1:29" ht="15">
      <c r="A24" s="428"/>
      <c r="B24" s="456"/>
      <c r="C24" s="447" t="s">
        <v>3126</v>
      </c>
      <c r="D24" s="448"/>
      <c r="E24" s="2607" t="s">
        <v>3126</v>
      </c>
      <c r="F24" s="449"/>
      <c r="G24" s="2606" t="s">
        <v>3126</v>
      </c>
      <c r="H24" s="448"/>
      <c r="I24" s="2607" t="s">
        <v>3126</v>
      </c>
      <c r="J24" s="448"/>
      <c r="K24" s="615"/>
      <c r="L24" s="1140"/>
      <c r="M24" s="1131"/>
      <c r="N24" s="1131"/>
      <c r="O24" s="1131"/>
      <c r="P24" s="3277"/>
      <c r="Q24" s="1810"/>
      <c r="R24" s="774"/>
      <c r="S24" s="775"/>
      <c r="T24" s="774"/>
      <c r="U24" s="775"/>
      <c r="V24" s="774"/>
      <c r="W24" s="775"/>
      <c r="X24" s="1813"/>
      <c r="Y24" s="3234"/>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7"/>
      <c r="Q25" s="1810" t="str">
        <f t="shared" ref="Q25:Q46" si="11">B25</f>
        <v>临街状况</v>
      </c>
      <c r="R25" s="774" t="s">
        <v>17</v>
      </c>
      <c r="S25" s="775">
        <f>F25</f>
        <v>100</v>
      </c>
      <c r="T25" s="774" t="s">
        <v>17</v>
      </c>
      <c r="U25" s="775">
        <f>H25</f>
        <v>100</v>
      </c>
      <c r="V25" s="774" t="s">
        <v>17</v>
      </c>
      <c r="W25" s="775">
        <f>J25</f>
        <v>100</v>
      </c>
      <c r="X25" s="1813"/>
      <c r="Y25" s="3234"/>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7"/>
      <c r="Q26" s="1810" t="str">
        <f t="shared" si="11"/>
        <v>平面位置/可视性</v>
      </c>
      <c r="R26" s="774" t="s">
        <v>17</v>
      </c>
      <c r="S26" s="775">
        <f>F26</f>
        <v>100</v>
      </c>
      <c r="T26" s="774" t="s">
        <v>17</v>
      </c>
      <c r="U26" s="775">
        <f>H26</f>
        <v>100</v>
      </c>
      <c r="V26" s="774" t="s">
        <v>17</v>
      </c>
      <c r="W26" s="775">
        <f>J26</f>
        <v>100</v>
      </c>
      <c r="X26" s="1813"/>
      <c r="Y26" s="3234"/>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77"/>
      <c r="Q27" s="1795" t="str">
        <f t="shared" si="11"/>
        <v>人流量</v>
      </c>
      <c r="R27" s="770" t="s">
        <v>17</v>
      </c>
      <c r="S27" s="771">
        <f>F27</f>
        <v>100</v>
      </c>
      <c r="T27" s="770" t="s">
        <v>17</v>
      </c>
      <c r="U27" s="771">
        <f>H27</f>
        <v>100</v>
      </c>
      <c r="V27" s="770" t="s">
        <v>17</v>
      </c>
      <c r="W27" s="771">
        <f>J27</f>
        <v>100</v>
      </c>
      <c r="X27" s="772"/>
      <c r="Y27" s="3234"/>
      <c r="Z27" s="55" t="str">
        <f>Q27</f>
        <v>人流量</v>
      </c>
      <c r="AA27" s="1811">
        <f>D27/F27</f>
        <v>1</v>
      </c>
      <c r="AB27" s="1811">
        <f>D27/H27</f>
        <v>1</v>
      </c>
      <c r="AC27" s="1811">
        <f>D27/J27</f>
        <v>1</v>
      </c>
    </row>
    <row r="28" spans="1:29" ht="15.75" thickBot="1">
      <c r="A28" s="428"/>
      <c r="B28" s="422" t="s">
        <v>2658</v>
      </c>
      <c r="C28" s="616" t="s">
        <v>3141</v>
      </c>
      <c r="D28" s="435">
        <v>100</v>
      </c>
      <c r="E28" s="616" t="s">
        <v>3142</v>
      </c>
      <c r="F28" s="461">
        <f>SUMIF(92:92,E28,93:93)-SUMIF(92:92,C28,93:93)+100</f>
        <v>120</v>
      </c>
      <c r="G28" s="616" t="s">
        <v>3142</v>
      </c>
      <c r="H28" s="435">
        <f>SUMIF(92:92,G28,93:93)-SUMIF(92:92,C28,93:93)+100</f>
        <v>120</v>
      </c>
      <c r="I28" s="616" t="s">
        <v>3142</v>
      </c>
      <c r="J28" s="435">
        <f>SUMIF(92:92,I28,93:93)-SUMIF(92:92,C28,93:93)+100</f>
        <v>120</v>
      </c>
      <c r="K28" s="613"/>
      <c r="L28" s="1140"/>
      <c r="M28" s="1131"/>
      <c r="N28" s="1131"/>
      <c r="O28" s="1131"/>
      <c r="P28" s="3277"/>
      <c r="Q28" s="1810" t="str">
        <f t="shared" si="11"/>
        <v>楼层</v>
      </c>
      <c r="R28" s="774" t="s">
        <v>17</v>
      </c>
      <c r="S28" s="775">
        <f t="shared" ref="S28:S46" si="12">F28</f>
        <v>120</v>
      </c>
      <c r="T28" s="774" t="s">
        <v>17</v>
      </c>
      <c r="U28" s="775">
        <f t="shared" ref="U28:U46" si="13">H28</f>
        <v>120</v>
      </c>
      <c r="V28" s="774" t="s">
        <v>17</v>
      </c>
      <c r="W28" s="775">
        <f t="shared" ref="W28:W46" si="14">J28</f>
        <v>120</v>
      </c>
      <c r="X28" s="1813"/>
      <c r="Y28" s="3234"/>
      <c r="Z28" s="1814" t="str">
        <f t="shared" ref="Z28:Z46" si="15">Q28</f>
        <v>楼层</v>
      </c>
      <c r="AA28" s="1811">
        <f t="shared" si="3"/>
        <v>0.83333333333333337</v>
      </c>
      <c r="AB28" s="1811">
        <f t="shared" si="4"/>
        <v>0.83333333333333337</v>
      </c>
      <c r="AC28" s="1811">
        <f t="shared" si="5"/>
        <v>0.83333333333333337</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7"/>
      <c r="Q29" s="1810">
        <f t="shared" si="11"/>
        <v>111</v>
      </c>
      <c r="R29" s="774" t="s">
        <v>17</v>
      </c>
      <c r="S29" s="775">
        <f t="shared" si="12"/>
        <v>100</v>
      </c>
      <c r="T29" s="774" t="s">
        <v>17</v>
      </c>
      <c r="U29" s="775">
        <f t="shared" si="13"/>
        <v>100</v>
      </c>
      <c r="V29" s="774" t="s">
        <v>17</v>
      </c>
      <c r="W29" s="775">
        <f t="shared" si="14"/>
        <v>100</v>
      </c>
      <c r="X29" s="1813"/>
      <c r="Y29" s="3234"/>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7"/>
      <c r="Q30" s="1810">
        <f t="shared" si="11"/>
        <v>111</v>
      </c>
      <c r="R30" s="774" t="s">
        <v>17</v>
      </c>
      <c r="S30" s="775">
        <f t="shared" si="12"/>
        <v>100</v>
      </c>
      <c r="T30" s="774" t="s">
        <v>17</v>
      </c>
      <c r="U30" s="775">
        <f t="shared" si="13"/>
        <v>100</v>
      </c>
      <c r="V30" s="774" t="s">
        <v>17</v>
      </c>
      <c r="W30" s="775">
        <f t="shared" si="14"/>
        <v>100</v>
      </c>
      <c r="X30" s="1813"/>
      <c r="Y30" s="3234"/>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7"/>
      <c r="Q31" s="1810">
        <f t="shared" si="11"/>
        <v>111</v>
      </c>
      <c r="R31" s="774" t="s">
        <v>17</v>
      </c>
      <c r="S31" s="775">
        <f t="shared" si="12"/>
        <v>100</v>
      </c>
      <c r="T31" s="774" t="s">
        <v>17</v>
      </c>
      <c r="U31" s="775">
        <f t="shared" si="13"/>
        <v>100</v>
      </c>
      <c r="V31" s="774" t="s">
        <v>17</v>
      </c>
      <c r="W31" s="775">
        <f t="shared" si="14"/>
        <v>100</v>
      </c>
      <c r="X31" s="1813"/>
      <c r="Y31" s="3234"/>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72" t="s">
        <v>2564</v>
      </c>
      <c r="Q32" s="1810" t="str">
        <f t="shared" si="11"/>
        <v>商业类型</v>
      </c>
      <c r="R32" s="774" t="s">
        <v>17</v>
      </c>
      <c r="S32" s="775">
        <f t="shared" si="12"/>
        <v>100</v>
      </c>
      <c r="T32" s="774" t="s">
        <v>17</v>
      </c>
      <c r="U32" s="775">
        <f t="shared" si="13"/>
        <v>100</v>
      </c>
      <c r="V32" s="774" t="s">
        <v>17</v>
      </c>
      <c r="W32" s="775">
        <f t="shared" si="14"/>
        <v>100</v>
      </c>
      <c r="X32" s="1813"/>
      <c r="Y32" s="3236"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73"/>
      <c r="Q33" s="776" t="str">
        <f t="shared" si="11"/>
        <v>项目建筑规模</v>
      </c>
      <c r="R33" s="777" t="s">
        <v>17</v>
      </c>
      <c r="S33" s="778">
        <f t="shared" si="12"/>
        <v>100</v>
      </c>
      <c r="T33" s="777" t="s">
        <v>17</v>
      </c>
      <c r="U33" s="778">
        <f t="shared" si="13"/>
        <v>100</v>
      </c>
      <c r="V33" s="777" t="s">
        <v>17</v>
      </c>
      <c r="W33" s="778">
        <f t="shared" si="14"/>
        <v>100</v>
      </c>
      <c r="X33" s="779"/>
      <c r="Y33" s="3236"/>
      <c r="Z33" s="780" t="str">
        <f t="shared" si="15"/>
        <v>项目建筑规模</v>
      </c>
      <c r="AA33" s="1811">
        <f t="shared" si="3"/>
        <v>1</v>
      </c>
      <c r="AB33" s="1811">
        <f t="shared" si="4"/>
        <v>1</v>
      </c>
      <c r="AC33" s="1811">
        <f t="shared" si="5"/>
        <v>1</v>
      </c>
    </row>
    <row r="34" spans="1:29" ht="15">
      <c r="A34" s="472"/>
      <c r="B34" s="422" t="s">
        <v>2566</v>
      </c>
      <c r="C34" s="2621" t="s">
        <v>3103</v>
      </c>
      <c r="D34" s="435">
        <v>100</v>
      </c>
      <c r="E34" s="2621" t="s">
        <v>3103</v>
      </c>
      <c r="F34" s="461">
        <f>SUMIF(105:105,E34,106:106)-SUMIF(105:105,C34,106:106)+100</f>
        <v>100</v>
      </c>
      <c r="G34" s="2621" t="s">
        <v>3103</v>
      </c>
      <c r="H34" s="435">
        <f>SUMIF(105:105,G34,106:106)-SUMIF(105:105,C34,106:106)+100</f>
        <v>100</v>
      </c>
      <c r="I34" s="2621" t="s">
        <v>3103</v>
      </c>
      <c r="J34" s="435">
        <f>SUMIF(105:105,I34,106:106)-SUMIF(105:105,C34,106:106)+100</f>
        <v>100</v>
      </c>
      <c r="K34" s="612"/>
      <c r="L34" s="1140"/>
      <c r="M34" s="1131"/>
      <c r="N34" s="1131"/>
      <c r="O34" s="1131"/>
      <c r="P34" s="3273"/>
      <c r="Q34" s="1810" t="str">
        <f t="shared" si="11"/>
        <v>建筑结构</v>
      </c>
      <c r="R34" s="774" t="s">
        <v>17</v>
      </c>
      <c r="S34" s="775">
        <f t="shared" si="12"/>
        <v>100</v>
      </c>
      <c r="T34" s="774" t="s">
        <v>17</v>
      </c>
      <c r="U34" s="775">
        <f t="shared" si="13"/>
        <v>100</v>
      </c>
      <c r="V34" s="774" t="s">
        <v>17</v>
      </c>
      <c r="W34" s="775">
        <f t="shared" si="14"/>
        <v>100</v>
      </c>
      <c r="X34" s="1813"/>
      <c r="Y34" s="3236"/>
      <c r="Z34" s="1814" t="str">
        <f t="shared" si="15"/>
        <v>建筑结构</v>
      </c>
      <c r="AA34" s="1811">
        <f t="shared" si="3"/>
        <v>1</v>
      </c>
      <c r="AB34" s="1811">
        <f t="shared" si="4"/>
        <v>1</v>
      </c>
      <c r="AC34" s="1811">
        <f t="shared" si="5"/>
        <v>1</v>
      </c>
    </row>
    <row r="35" spans="1:29" ht="15">
      <c r="A35" s="472"/>
      <c r="B35" s="422" t="s">
        <v>2660</v>
      </c>
      <c r="C35" s="2615" t="s">
        <v>3129</v>
      </c>
      <c r="D35" s="435">
        <v>100</v>
      </c>
      <c r="E35" s="2615" t="s">
        <v>3129</v>
      </c>
      <c r="F35" s="461">
        <f>SUMIF(107:107,E35,108:108)-SUMIF(107:107,C35,108:108)+100</f>
        <v>100</v>
      </c>
      <c r="G35" s="2615" t="s">
        <v>3129</v>
      </c>
      <c r="H35" s="435">
        <f>SUMIF(107:107,G35,108:108)-SUMIF(107:107,C35,108:108)+100</f>
        <v>100</v>
      </c>
      <c r="I35" s="2615" t="s">
        <v>3129</v>
      </c>
      <c r="J35" s="435">
        <f>SUMIF(107:107,I35,108:108)-SUMIF(107:107,C35,108:108)+100</f>
        <v>100</v>
      </c>
      <c r="K35" s="612"/>
      <c r="L35" s="1140"/>
      <c r="M35" s="1131"/>
      <c r="N35" s="1131"/>
      <c r="O35" s="1131"/>
      <c r="P35" s="3273"/>
      <c r="Q35" s="1810" t="str">
        <f t="shared" si="11"/>
        <v>公共部分装修</v>
      </c>
      <c r="R35" s="774" t="s">
        <v>17</v>
      </c>
      <c r="S35" s="775">
        <f t="shared" si="12"/>
        <v>100</v>
      </c>
      <c r="T35" s="774" t="s">
        <v>17</v>
      </c>
      <c r="U35" s="775">
        <f t="shared" si="13"/>
        <v>100</v>
      </c>
      <c r="V35" s="774" t="s">
        <v>17</v>
      </c>
      <c r="W35" s="775">
        <f t="shared" si="14"/>
        <v>100</v>
      </c>
      <c r="X35" s="1813"/>
      <c r="Y35" s="3236"/>
      <c r="Z35" s="1814" t="str">
        <f t="shared" si="15"/>
        <v>公共部分装修</v>
      </c>
      <c r="AA35" s="1811">
        <f t="shared" si="3"/>
        <v>1</v>
      </c>
      <c r="AB35" s="1811">
        <f t="shared" si="4"/>
        <v>1</v>
      </c>
      <c r="AC35" s="1811">
        <f t="shared" si="5"/>
        <v>1</v>
      </c>
    </row>
    <row r="36" spans="1:29" ht="15">
      <c r="A36" s="472"/>
      <c r="B36" s="422" t="s">
        <v>2661</v>
      </c>
      <c r="C36" s="474">
        <f>'数据-取费表'!N6</f>
        <v>0.8</v>
      </c>
      <c r="D36" s="435">
        <v>100</v>
      </c>
      <c r="E36" s="801">
        <v>0.6</v>
      </c>
      <c r="F36" s="461">
        <f>LOOKUP(E36,110:110,111:111)-LOOKUP(C36,110:110,111:111)+100</f>
        <v>90</v>
      </c>
      <c r="G36" s="801">
        <f>ROUND(1-(2020-2000)/60,2)</f>
        <v>0.67</v>
      </c>
      <c r="H36" s="461">
        <f>LOOKUP(G36,110:110,111:111)-LOOKUP(C36,110:110,111:111)+100</f>
        <v>90</v>
      </c>
      <c r="I36" s="801">
        <f>ROUND(1-(2020-1998)/60,2)</f>
        <v>0.63</v>
      </c>
      <c r="J36" s="435">
        <f>LOOKUP(I36,110:110,111:111)-LOOKUP(C36,110:110,111:111)+100</f>
        <v>90</v>
      </c>
      <c r="K36" s="612">
        <v>5</v>
      </c>
      <c r="L36" s="1140"/>
      <c r="M36" s="1131"/>
      <c r="N36" s="1131"/>
      <c r="O36" s="1131"/>
      <c r="P36" s="3273"/>
      <c r="Q36" s="1810" t="str">
        <f t="shared" si="11"/>
        <v>成新度</v>
      </c>
      <c r="R36" s="774" t="s">
        <v>17</v>
      </c>
      <c r="S36" s="775">
        <f t="shared" si="12"/>
        <v>90</v>
      </c>
      <c r="T36" s="774" t="s">
        <v>17</v>
      </c>
      <c r="U36" s="775">
        <f t="shared" si="13"/>
        <v>90</v>
      </c>
      <c r="V36" s="774" t="s">
        <v>17</v>
      </c>
      <c r="W36" s="775">
        <f t="shared" si="14"/>
        <v>90</v>
      </c>
      <c r="X36" s="1813"/>
      <c r="Y36" s="3236"/>
      <c r="Z36" s="1814" t="str">
        <f t="shared" si="15"/>
        <v>成新度</v>
      </c>
      <c r="AA36" s="1811">
        <f t="shared" si="3"/>
        <v>1.1111111111111112</v>
      </c>
      <c r="AB36" s="1811">
        <f t="shared" si="4"/>
        <v>1.1111111111111112</v>
      </c>
      <c r="AC36" s="1811">
        <f t="shared" si="5"/>
        <v>1.1111111111111112</v>
      </c>
    </row>
    <row r="37" spans="1:29" s="117" customFormat="1" ht="15">
      <c r="A37" s="473"/>
      <c r="B37" s="422" t="s">
        <v>2662</v>
      </c>
      <c r="C37" s="2615" t="s">
        <v>3127</v>
      </c>
      <c r="D37" s="136">
        <v>100</v>
      </c>
      <c r="E37" s="2615" t="s">
        <v>3127</v>
      </c>
      <c r="F37" s="461">
        <f>SUMIF(112:112,E37,113:113)-SUMIF(112:112,C37,113:113)+100</f>
        <v>100</v>
      </c>
      <c r="G37" s="2615" t="s">
        <v>3127</v>
      </c>
      <c r="H37" s="435">
        <f>SUMIF(112:112,G37,113:113)-SUMIF(112:112,C37,113:113)+100</f>
        <v>100</v>
      </c>
      <c r="I37" s="2615" t="s">
        <v>3127</v>
      </c>
      <c r="J37" s="435">
        <f>SUMIF(112:112,I37,113:113)-SUMIF(112:112,C37,113:113)+100</f>
        <v>100</v>
      </c>
      <c r="K37" s="612"/>
      <c r="L37" s="1132"/>
      <c r="M37" s="1133"/>
      <c r="N37" s="1133"/>
      <c r="O37" s="1133"/>
      <c r="P37" s="3273"/>
      <c r="Q37" s="1795"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73" t="s">
        <v>2564</v>
      </c>
      <c r="Q38" s="1810" t="str">
        <f t="shared" si="11"/>
        <v>业态</v>
      </c>
      <c r="R38" s="774" t="s">
        <v>17</v>
      </c>
      <c r="S38" s="775">
        <f t="shared" si="12"/>
        <v>100</v>
      </c>
      <c r="T38" s="774" t="s">
        <v>17</v>
      </c>
      <c r="U38" s="775">
        <f t="shared" si="13"/>
        <v>100</v>
      </c>
      <c r="V38" s="774" t="s">
        <v>17</v>
      </c>
      <c r="W38" s="775">
        <f t="shared" si="14"/>
        <v>100</v>
      </c>
      <c r="X38" s="1813"/>
      <c r="Y38" s="3236"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73"/>
      <c r="Q39" s="1810" t="str">
        <f t="shared" si="11"/>
        <v>层高</v>
      </c>
      <c r="R39" s="774" t="s">
        <v>17</v>
      </c>
      <c r="S39" s="775">
        <f t="shared" si="12"/>
        <v>100</v>
      </c>
      <c r="T39" s="774" t="s">
        <v>17</v>
      </c>
      <c r="U39" s="775">
        <f t="shared" si="13"/>
        <v>100</v>
      </c>
      <c r="V39" s="774" t="s">
        <v>17</v>
      </c>
      <c r="W39" s="775">
        <f t="shared" si="14"/>
        <v>100</v>
      </c>
      <c r="X39" s="1813"/>
      <c r="Y39" s="3236"/>
      <c r="Z39" s="1814" t="str">
        <f t="shared" si="15"/>
        <v>层高</v>
      </c>
      <c r="AA39" s="1811">
        <f t="shared" si="3"/>
        <v>1</v>
      </c>
      <c r="AB39" s="1811">
        <f t="shared" si="4"/>
        <v>1</v>
      </c>
      <c r="AC39" s="1811">
        <f t="shared" si="5"/>
        <v>1</v>
      </c>
    </row>
    <row r="40" spans="1:29" ht="15">
      <c r="A40" s="472"/>
      <c r="B40" s="422" t="s">
        <v>2665</v>
      </c>
      <c r="C40" s="617">
        <f>'数据-汇总表'!F20</f>
        <v>443.61</v>
      </c>
      <c r="D40" s="435">
        <v>100</v>
      </c>
      <c r="E40" s="618">
        <v>314</v>
      </c>
      <c r="F40" s="461">
        <f>SUMIF(118:118,E40,119:119)-SUMIF(118:118,C40,119:119)+100</f>
        <v>100</v>
      </c>
      <c r="G40" s="618">
        <v>162</v>
      </c>
      <c r="H40" s="435">
        <f>SUMIF(118:118,G40,119:119)-SUMIF(118:118,C40,119:119)+100</f>
        <v>100</v>
      </c>
      <c r="I40" s="618">
        <v>102</v>
      </c>
      <c r="J40" s="435">
        <f>SUMIF(118:118,I40,119:119)-SUMIF(118:118,C40,119:119)+100</f>
        <v>100</v>
      </c>
      <c r="K40" s="613"/>
      <c r="L40" s="1140"/>
      <c r="M40" s="1131"/>
      <c r="N40" s="1131"/>
      <c r="O40" s="1131"/>
      <c r="P40" s="3273"/>
      <c r="Q40" s="1810" t="str">
        <f t="shared" si="11"/>
        <v>单套建筑面积</v>
      </c>
      <c r="R40" s="774" t="s">
        <v>17</v>
      </c>
      <c r="S40" s="775">
        <f t="shared" si="12"/>
        <v>100</v>
      </c>
      <c r="T40" s="774" t="s">
        <v>17</v>
      </c>
      <c r="U40" s="775">
        <f t="shared" si="13"/>
        <v>100</v>
      </c>
      <c r="V40" s="774" t="s">
        <v>17</v>
      </c>
      <c r="W40" s="775">
        <f t="shared" si="14"/>
        <v>100</v>
      </c>
      <c r="X40" s="1813"/>
      <c r="Y40" s="3236"/>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3"/>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1">
        <f t="shared" si="3"/>
        <v>1</v>
      </c>
      <c r="AB41" s="1811">
        <f t="shared" si="4"/>
        <v>1</v>
      </c>
      <c r="AC41" s="1811">
        <f t="shared" si="5"/>
        <v>1</v>
      </c>
    </row>
    <row r="42" spans="1:29" ht="15">
      <c r="A42" s="472"/>
      <c r="B42" s="422" t="s">
        <v>2667</v>
      </c>
      <c r="C42" s="2615" t="s">
        <v>3136</v>
      </c>
      <c r="D42" s="435">
        <v>100</v>
      </c>
      <c r="E42" s="2615" t="s">
        <v>3134</v>
      </c>
      <c r="F42" s="461">
        <f>SUMIF(122:122,E42,123:123)-SUMIF(122:122,C42,123:123)+100</f>
        <v>105</v>
      </c>
      <c r="G42" s="2615" t="s">
        <v>3134</v>
      </c>
      <c r="H42" s="435">
        <f>SUMIF(122:122,G42,123:123)-SUMIF(122:122,C42,123:123)+100</f>
        <v>105</v>
      </c>
      <c r="I42" s="2615" t="s">
        <v>3134</v>
      </c>
      <c r="J42" s="435">
        <f>SUMIF(122:122,I42,123:123)-SUMIF(122:122,C42,123:123)+100</f>
        <v>105</v>
      </c>
      <c r="K42" s="612">
        <v>5</v>
      </c>
      <c r="L42" s="1140"/>
      <c r="M42" s="1131"/>
      <c r="N42" s="1131"/>
      <c r="O42" s="1131"/>
      <c r="P42" s="3273"/>
      <c r="Q42" s="1810" t="str">
        <f t="shared" si="11"/>
        <v>内部装修</v>
      </c>
      <c r="R42" s="774" t="s">
        <v>17</v>
      </c>
      <c r="S42" s="775">
        <f t="shared" si="12"/>
        <v>105</v>
      </c>
      <c r="T42" s="774" t="s">
        <v>17</v>
      </c>
      <c r="U42" s="775">
        <f t="shared" si="13"/>
        <v>105</v>
      </c>
      <c r="V42" s="774" t="s">
        <v>17</v>
      </c>
      <c r="W42" s="775">
        <f t="shared" si="14"/>
        <v>105</v>
      </c>
      <c r="X42" s="1813"/>
      <c r="Y42" s="3236"/>
      <c r="Z42" s="1814" t="str">
        <f t="shared" si="15"/>
        <v>内部装修</v>
      </c>
      <c r="AA42" s="1811">
        <f t="shared" si="3"/>
        <v>0.95238095238095233</v>
      </c>
      <c r="AB42" s="1811">
        <f t="shared" si="4"/>
        <v>0.95238095238095233</v>
      </c>
      <c r="AC42" s="1811">
        <f t="shared" si="5"/>
        <v>0.95238095238095233</v>
      </c>
    </row>
    <row r="43" spans="1:29" ht="15.75" thickBot="1">
      <c r="A43" s="472"/>
      <c r="B43" s="422" t="s">
        <v>2575</v>
      </c>
      <c r="C43" s="2615" t="s">
        <v>3126</v>
      </c>
      <c r="D43" s="435">
        <v>100</v>
      </c>
      <c r="E43" s="2615" t="s">
        <v>3126</v>
      </c>
      <c r="F43" s="461">
        <f>SUMIF(124:124,E43,125:125)-SUMIF(124:124,C43,125:125)+100</f>
        <v>100</v>
      </c>
      <c r="G43" s="2615" t="s">
        <v>3126</v>
      </c>
      <c r="H43" s="435">
        <f>SUMIF(124:124,G43,125:125)-SUMIF(124:124,C43,125:125)+100</f>
        <v>100</v>
      </c>
      <c r="I43" s="2615" t="s">
        <v>3126</v>
      </c>
      <c r="J43" s="435">
        <f>SUMIF(124:124,I43,125:125)-SUMIF(124:124,C43,125:125)+100</f>
        <v>100</v>
      </c>
      <c r="K43" s="612"/>
      <c r="L43" s="1140"/>
      <c r="M43" s="1131"/>
      <c r="N43" s="1131"/>
      <c r="O43" s="1131"/>
      <c r="P43" s="3273"/>
      <c r="Q43" s="1810" t="str">
        <f t="shared" si="11"/>
        <v>内部装修维护情况</v>
      </c>
      <c r="R43" s="774" t="s">
        <v>17</v>
      </c>
      <c r="S43" s="775">
        <f t="shared" si="12"/>
        <v>100</v>
      </c>
      <c r="T43" s="774" t="s">
        <v>17</v>
      </c>
      <c r="U43" s="775">
        <f t="shared" si="13"/>
        <v>100</v>
      </c>
      <c r="V43" s="774" t="s">
        <v>17</v>
      </c>
      <c r="W43" s="775">
        <f t="shared" si="14"/>
        <v>100</v>
      </c>
      <c r="X43" s="1813"/>
      <c r="Y43" s="3236"/>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3"/>
      <c r="Q44" s="1795">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3"/>
      <c r="Q45" s="1810">
        <f t="shared" si="11"/>
        <v>111</v>
      </c>
      <c r="R45" s="774" t="s">
        <v>17</v>
      </c>
      <c r="S45" s="775">
        <f t="shared" si="12"/>
        <v>100</v>
      </c>
      <c r="T45" s="774" t="s">
        <v>17</v>
      </c>
      <c r="U45" s="775">
        <f t="shared" si="13"/>
        <v>100</v>
      </c>
      <c r="V45" s="774" t="s">
        <v>17</v>
      </c>
      <c r="W45" s="775">
        <f t="shared" si="14"/>
        <v>100</v>
      </c>
      <c r="X45" s="1813"/>
      <c r="Y45" s="3236"/>
      <c r="Z45" s="1814">
        <f t="shared" si="15"/>
        <v>111</v>
      </c>
      <c r="AA45" s="1811">
        <f t="shared" si="3"/>
        <v>1</v>
      </c>
      <c r="AB45" s="1811">
        <f t="shared" si="4"/>
        <v>1</v>
      </c>
      <c r="AC45" s="1811">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4"/>
      <c r="Q46" s="1810">
        <f t="shared" si="11"/>
        <v>111</v>
      </c>
      <c r="R46" s="774" t="s">
        <v>17</v>
      </c>
      <c r="S46" s="775">
        <f t="shared" si="12"/>
        <v>100</v>
      </c>
      <c r="T46" s="774" t="s">
        <v>17</v>
      </c>
      <c r="U46" s="775">
        <f t="shared" si="13"/>
        <v>100</v>
      </c>
      <c r="V46" s="774" t="s">
        <v>17</v>
      </c>
      <c r="W46" s="775">
        <f t="shared" si="14"/>
        <v>100</v>
      </c>
      <c r="X46" s="1813"/>
      <c r="Y46" s="3275"/>
      <c r="Z46" s="1814">
        <f t="shared" si="15"/>
        <v>111</v>
      </c>
      <c r="AA46" s="1811">
        <f t="shared" si="3"/>
        <v>1</v>
      </c>
      <c r="AB46" s="1811">
        <f t="shared" si="4"/>
        <v>1</v>
      </c>
      <c r="AC46" s="1811">
        <f t="shared" si="5"/>
        <v>1</v>
      </c>
    </row>
    <row r="47" spans="1:29" ht="15">
      <c r="A47" s="479" t="s">
        <v>2576</v>
      </c>
      <c r="B47" s="480"/>
      <c r="C47" s="1407" t="s">
        <v>1</v>
      </c>
      <c r="D47" s="1408"/>
      <c r="E47" s="1409">
        <v>50000</v>
      </c>
      <c r="F47" s="1410"/>
      <c r="G47" s="1411">
        <v>60000</v>
      </c>
      <c r="H47" s="1412"/>
      <c r="I47" s="1409">
        <v>56000</v>
      </c>
      <c r="J47" s="1412"/>
      <c r="K47" s="783"/>
      <c r="L47" s="1143"/>
      <c r="M47" s="1144"/>
      <c r="N47" s="1131"/>
      <c r="O47" s="1144"/>
      <c r="P47" s="3218" t="str">
        <f>A47</f>
        <v>成交单价（元/平方米）</v>
      </c>
      <c r="Q47" s="3218"/>
      <c r="R47" s="3231">
        <f>E47</f>
        <v>50000</v>
      </c>
      <c r="S47" s="3231"/>
      <c r="T47" s="3231">
        <f>G47</f>
        <v>60000</v>
      </c>
      <c r="U47" s="3231"/>
      <c r="V47" s="3231">
        <f>I47</f>
        <v>56000</v>
      </c>
      <c r="W47" s="3231"/>
      <c r="X47" s="759"/>
      <c r="Y47" s="781"/>
      <c r="Z47" s="759"/>
      <c r="AA47" s="759"/>
      <c r="AB47" s="759"/>
      <c r="AC47" s="759"/>
    </row>
    <row r="48" spans="1:29" ht="15.75" thickBot="1">
      <c r="A48" s="486" t="s">
        <v>2668</v>
      </c>
      <c r="B48" s="487"/>
      <c r="C48" s="1413">
        <f>R49</f>
        <v>48795</v>
      </c>
      <c r="D48" s="1414"/>
      <c r="E48" s="1415">
        <f>R48</f>
        <v>44092</v>
      </c>
      <c r="F48" s="1415"/>
      <c r="G48" s="1413">
        <f>T48</f>
        <v>52910</v>
      </c>
      <c r="H48" s="1414"/>
      <c r="I48" s="1415">
        <f>V48</f>
        <v>49383</v>
      </c>
      <c r="J48" s="1414"/>
      <c r="K48" s="784"/>
      <c r="L48" s="1143"/>
      <c r="M48" s="1144"/>
      <c r="N48" s="1131"/>
      <c r="O48" s="1144"/>
      <c r="P48" s="3218" t="str">
        <f>A48</f>
        <v>比较价值（元/平方米）</v>
      </c>
      <c r="Q48" s="3218"/>
      <c r="R48" s="3271">
        <f>IF(F1="售价",ROUND(PRODUCT(R47,AA7:AA46),0),ROUND(PRODUCT(R47,AA7:AA46),1))</f>
        <v>44092</v>
      </c>
      <c r="S48" s="3271"/>
      <c r="T48" s="3271">
        <f>IF(F1="售价",ROUND(PRODUCT(T47,AB7:AB46),0),ROUND(PRODUCT(T47,AB7:AB46),1))</f>
        <v>52910</v>
      </c>
      <c r="U48" s="3271"/>
      <c r="V48" s="3271">
        <f>IF(F1="售价",ROUND(PRODUCT(V47,AC7:AC46),0),ROUND(PRODUCT(V47,AC7:AC46),1))</f>
        <v>49383</v>
      </c>
      <c r="W48" s="3271"/>
      <c r="X48" s="759"/>
      <c r="Y48" s="759"/>
      <c r="Z48" s="759"/>
      <c r="AA48" s="759"/>
      <c r="AB48" s="759"/>
      <c r="AC48" s="759"/>
    </row>
    <row r="49" spans="1:29" ht="15.75" thickBot="1">
      <c r="A49" s="492" t="s">
        <v>2669</v>
      </c>
      <c r="B49" s="493"/>
      <c r="C49" s="1417">
        <f>R49</f>
        <v>48795</v>
      </c>
      <c r="D49" s="1417"/>
      <c r="E49" s="1417"/>
      <c r="F49" s="1417"/>
      <c r="G49" s="1417"/>
      <c r="H49" s="1417"/>
      <c r="I49" s="1417"/>
      <c r="J49" s="1417"/>
      <c r="K49" s="785"/>
      <c r="L49" s="1143"/>
      <c r="M49" s="1144"/>
      <c r="N49" s="1131"/>
      <c r="O49" s="1144"/>
      <c r="P49" s="3238" t="str">
        <f>A49</f>
        <v>估价对象XX用房的比较价值（楼面单价，元/平方米）</v>
      </c>
      <c r="Q49" s="3239"/>
      <c r="R49" s="3270">
        <f>IF(F1="售价",ROUND(AVERAGE(R48:V48),0),ROUND(AVERAGE(R48:V48),1))</f>
        <v>48795</v>
      </c>
      <c r="S49" s="3270"/>
      <c r="T49" s="3270"/>
      <c r="U49" s="3270"/>
      <c r="V49" s="3270"/>
      <c r="W49" s="32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0.13399256100879975</v>
      </c>
      <c r="F52" s="500" t="str">
        <f>IF(OR(E52&gt;=0.3,E52&lt;=-0.3),"超过30%","")</f>
        <v/>
      </c>
      <c r="G52" s="499">
        <f>IF(G47&lt;G48,G48/G47-1,G47/G48-1)</f>
        <v>0.134001134001134</v>
      </c>
      <c r="H52" s="500" t="str">
        <f>IF(OR(G52&gt;=0.3,G52&lt;=-0.3),"超过30%","")</f>
        <v/>
      </c>
      <c r="I52" s="499">
        <f>IF(I47&lt;I48,I48/I47-1,I47/I48-1)</f>
        <v>0.13399347953749263</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0.19999092805951202</v>
      </c>
      <c r="F53" s="500" t="str">
        <f>IF(OR(E53&gt;=0.2,E53&lt;=-0.2),"超过20%","")</f>
        <v/>
      </c>
      <c r="G53" s="499">
        <f>IF(G48&lt;I48,I48/G48-1,G48/I48-1)</f>
        <v>7.1421339327298883E-2</v>
      </c>
      <c r="H53" s="500" t="str">
        <f>IF(OR(G53&gt;=0.2,G53&lt;=-0.2),"超过20%","")</f>
        <v/>
      </c>
      <c r="I53" s="499">
        <f>IF(I48&lt;E48,E48/I48-1,I48/E48-1)</f>
        <v>0.11999909280595111</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0.19999999999999996</v>
      </c>
      <c r="F54" s="500" t="str">
        <f>IF(OR(E54&gt;=0.3,E54&lt;=-0.3),"超过30%","")</f>
        <v/>
      </c>
      <c r="G54" s="499">
        <f>IF(G47&lt;I47,I47/G47-1,G47/I47-1)</f>
        <v>7.1428571428571397E-2</v>
      </c>
      <c r="H54" s="500" t="str">
        <f>IF(OR(G54&gt;=0.3,G54&lt;=-0.3),"超过30%","")</f>
        <v/>
      </c>
      <c r="I54" s="499">
        <f>IF(I47&lt;E47,E47/I47-1,I47/E47-1)</f>
        <v>0.12000000000000011</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3343" t="s">
        <v>3124</v>
      </c>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t="s">
        <v>3132</v>
      </c>
      <c r="D92" s="554" t="s">
        <v>3133</v>
      </c>
      <c r="E92" s="554"/>
      <c r="F92" s="554"/>
      <c r="G92" s="554"/>
      <c r="H92" s="554"/>
      <c r="I92" s="554"/>
      <c r="J92" s="554"/>
      <c r="K92" s="554"/>
      <c r="L92" s="580"/>
      <c r="M92" s="581"/>
      <c r="N92" s="1152"/>
      <c r="O92" s="1152"/>
      <c r="P92" s="2632"/>
      <c r="Q92" s="504"/>
    </row>
    <row r="93" spans="1:17" ht="15.75" thickBot="1">
      <c r="A93" s="534"/>
      <c r="B93" s="543"/>
      <c r="C93" s="536">
        <v>100</v>
      </c>
      <c r="D93" s="536">
        <v>80</v>
      </c>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3343" t="s">
        <v>3128</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3343" t="s">
        <v>3130</v>
      </c>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105</v>
      </c>
      <c r="E111" s="544">
        <f t="shared" ref="E111:M111" si="26">D111+$K36</f>
        <v>110</v>
      </c>
      <c r="F111" s="544">
        <f t="shared" si="26"/>
        <v>115</v>
      </c>
      <c r="G111" s="544">
        <f t="shared" si="26"/>
        <v>120</v>
      </c>
      <c r="H111" s="544">
        <f t="shared" si="26"/>
        <v>125</v>
      </c>
      <c r="I111" s="544">
        <f t="shared" si="26"/>
        <v>130</v>
      </c>
      <c r="J111" s="544">
        <f t="shared" si="26"/>
        <v>135</v>
      </c>
      <c r="K111" s="544">
        <f t="shared" si="26"/>
        <v>140</v>
      </c>
      <c r="L111" s="544">
        <f t="shared" si="26"/>
        <v>145</v>
      </c>
      <c r="M111" s="544">
        <f t="shared" si="26"/>
        <v>150</v>
      </c>
      <c r="N111" s="1153"/>
      <c r="O111" s="1153"/>
      <c r="P111" s="2632"/>
      <c r="Q111" s="504"/>
    </row>
    <row r="112" spans="1:17" s="471" customFormat="1" ht="15" thickTop="1">
      <c r="A112" s="593"/>
      <c r="B112" s="538" t="s">
        <v>2617</v>
      </c>
      <c r="C112" s="3343" t="s">
        <v>3131</v>
      </c>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t="s">
        <v>3138</v>
      </c>
      <c r="D118" s="627" t="s">
        <v>3139</v>
      </c>
      <c r="E118" s="627" t="s">
        <v>3140</v>
      </c>
      <c r="F118" s="627"/>
      <c r="G118" s="627"/>
      <c r="H118" s="555"/>
      <c r="I118" s="555"/>
      <c r="J118" s="555"/>
      <c r="K118" s="555"/>
      <c r="L118" s="556"/>
      <c r="M118" s="557"/>
      <c r="N118" s="1152"/>
      <c r="O118" s="1152"/>
      <c r="P118" s="2632"/>
      <c r="Q118" s="504"/>
    </row>
    <row r="119" spans="1:17" ht="15.75" thickBot="1">
      <c r="A119" s="534"/>
      <c r="B119" s="543"/>
      <c r="C119" s="560">
        <v>100</v>
      </c>
      <c r="D119" s="536">
        <v>95</v>
      </c>
      <c r="E119" s="536">
        <v>90</v>
      </c>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3343" t="s">
        <v>3130</v>
      </c>
      <c r="D122" s="3343" t="s">
        <v>3135</v>
      </c>
      <c r="E122" s="3343" t="s">
        <v>3137</v>
      </c>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95</v>
      </c>
      <c r="E123" s="544">
        <f t="shared" si="30"/>
        <v>90</v>
      </c>
      <c r="F123" s="544">
        <f t="shared" si="30"/>
        <v>85</v>
      </c>
      <c r="G123" s="544">
        <f t="shared" si="30"/>
        <v>80</v>
      </c>
      <c r="H123" s="544">
        <f t="shared" si="30"/>
        <v>75</v>
      </c>
      <c r="I123" s="544">
        <f t="shared" si="30"/>
        <v>70</v>
      </c>
      <c r="J123" s="544">
        <f t="shared" si="30"/>
        <v>65</v>
      </c>
      <c r="K123" s="544">
        <f t="shared" si="30"/>
        <v>60</v>
      </c>
      <c r="L123" s="544">
        <f t="shared" si="30"/>
        <v>55</v>
      </c>
      <c r="M123" s="545">
        <f t="shared" si="30"/>
        <v>50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6" sqref="I36:L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t="s">
        <v>70</v>
      </c>
      <c r="E1" s="1821" t="s">
        <v>1381</v>
      </c>
      <c r="F1" s="1283">
        <f ca="1">J53</f>
        <v>40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2606</v>
      </c>
      <c r="C2" s="1845" t="s">
        <v>1510</v>
      </c>
      <c r="D2" s="1845"/>
      <c r="E2" s="1846"/>
      <c r="F2" s="1847"/>
      <c r="G2" s="1848"/>
      <c r="H2" s="1840"/>
      <c r="I2" s="1840"/>
      <c r="J2" s="1840"/>
      <c r="K2" s="1841"/>
      <c r="L2" s="1840"/>
      <c r="M2" s="1840"/>
    </row>
    <row r="3" spans="1:37" ht="18" customHeight="1" thickBot="1">
      <c r="A3" s="1849" t="s">
        <v>1511</v>
      </c>
      <c r="B3" s="1850">
        <f ca="1">IF(ISERROR(B2*10000/F43),0,ROUND(B2*10000/F43,0))</f>
        <v>58745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146</v>
      </c>
      <c r="D5" s="1822" t="s">
        <v>1396</v>
      </c>
      <c r="E5" s="1293"/>
      <c r="F5" s="1294"/>
      <c r="G5" s="1851"/>
      <c r="H5" s="344">
        <v>1</v>
      </c>
      <c r="I5" s="345" t="s">
        <v>1395</v>
      </c>
      <c r="J5" s="1292">
        <f ca="1">J6+J10+J12</f>
        <v>0</v>
      </c>
      <c r="K5" s="1822" t="s">
        <v>1396</v>
      </c>
      <c r="L5" s="1293"/>
      <c r="M5" s="1294"/>
    </row>
    <row r="6" spans="1:37" ht="18" customHeight="1">
      <c r="A6" s="1291" t="s">
        <v>1031</v>
      </c>
      <c r="B6" s="3244" t="s">
        <v>1397</v>
      </c>
      <c r="C6" s="1296">
        <f ca="1">ROUND(F6*F8*F7*(1-F9)/10000,0)</f>
        <v>146</v>
      </c>
      <c r="D6" s="164" t="s">
        <v>3030</v>
      </c>
      <c r="E6" s="347" t="s">
        <v>1399</v>
      </c>
      <c r="F6" s="348">
        <f ca="1">INDIRECT("'数据-取费表'!u"&amp;$G$1)</f>
        <v>10</v>
      </c>
      <c r="G6" s="1851"/>
      <c r="H6" s="1291" t="s">
        <v>1031</v>
      </c>
      <c r="I6" s="3244" t="s">
        <v>1397</v>
      </c>
      <c r="J6" s="346">
        <f ca="1">ROUND(M6*M8*M7*(1-M9)/10000,0)</f>
        <v>0</v>
      </c>
      <c r="K6" s="164" t="s">
        <v>3029</v>
      </c>
      <c r="L6" s="347" t="s">
        <v>1399</v>
      </c>
      <c r="M6" s="348">
        <f ca="1">INDIRECT("'数据-取费表'!z"&amp;$G$1)</f>
        <v>0</v>
      </c>
    </row>
    <row r="7" spans="1:37" ht="18" customHeight="1">
      <c r="A7" s="1295"/>
      <c r="B7" s="3245"/>
      <c r="C7" s="1297"/>
      <c r="D7" s="352"/>
      <c r="E7" s="1298" t="s">
        <v>1400</v>
      </c>
      <c r="F7" s="348">
        <f ca="1">IF(INDIRECT("'数据-取费表'!ah"&amp;$G$1)="",INDIRECT("'数据-取费表'!k"&amp;$G$1),INDIRECT("'数据-取费表'!ah"&amp;$G$1))</f>
        <v>443.61</v>
      </c>
      <c r="G7" s="1851"/>
      <c r="H7" s="349"/>
      <c r="I7" s="3245"/>
      <c r="J7" s="351"/>
      <c r="K7" s="352"/>
      <c r="L7" s="347" t="s">
        <v>1400</v>
      </c>
      <c r="M7" s="348">
        <f ca="1">F7</f>
        <v>443.61</v>
      </c>
    </row>
    <row r="8" spans="1:37" ht="18" customHeight="1">
      <c r="A8" s="349"/>
      <c r="B8" s="3245"/>
      <c r="C8" s="351"/>
      <c r="D8" s="352"/>
      <c r="E8" s="347" t="s">
        <v>1401</v>
      </c>
      <c r="F8" s="348">
        <f ca="1">INDIRECT("'数据-取费表'!ai"&amp;$G$1)</f>
        <v>365</v>
      </c>
      <c r="G8" s="1851"/>
      <c r="H8" s="349"/>
      <c r="I8" s="3245"/>
      <c r="J8" s="351"/>
      <c r="K8" s="352"/>
      <c r="L8" s="347" t="s">
        <v>1401</v>
      </c>
      <c r="M8" s="348">
        <f ca="1">INDIRECT("'数据-取费表'!ai"&amp;$G$1)</f>
        <v>365</v>
      </c>
    </row>
    <row r="9" spans="1:37" ht="18" customHeight="1">
      <c r="A9" s="349"/>
      <c r="B9" s="3246"/>
      <c r="C9" s="351"/>
      <c r="D9" s="352"/>
      <c r="E9" s="347" t="s">
        <v>1402</v>
      </c>
      <c r="F9" s="357">
        <f ca="1">INDIRECT("'数据-取费表'!w"&amp;$G$1)</f>
        <v>0.1</v>
      </c>
      <c r="G9" s="1851"/>
      <c r="H9" s="349"/>
      <c r="I9" s="32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t="s">
        <v>3116</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163</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133</v>
      </c>
      <c r="D14" s="1800" t="s">
        <v>1412</v>
      </c>
      <c r="E14" s="1794"/>
      <c r="F14" s="364"/>
      <c r="G14" s="1851"/>
      <c r="H14" s="1201" t="s">
        <v>1031</v>
      </c>
      <c r="I14" s="347" t="s">
        <v>1413</v>
      </c>
      <c r="J14" s="24">
        <f ca="1">C29</f>
        <v>204</v>
      </c>
      <c r="K14" s="15"/>
      <c r="L14" s="979"/>
      <c r="M14" s="980"/>
    </row>
    <row r="15" spans="1:37" s="1858" customFormat="1" ht="18" customHeight="1" thickBot="1">
      <c r="A15" s="1201" t="s">
        <v>1032</v>
      </c>
      <c r="B15" s="347" t="s">
        <v>1414</v>
      </c>
      <c r="C15" s="24">
        <f ca="1">ROUND(C14*F15,0)</f>
        <v>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24</v>
      </c>
      <c r="K16" s="1337" t="s">
        <v>1419</v>
      </c>
      <c r="L16" s="1338"/>
      <c r="M16" s="1294"/>
    </row>
    <row r="17" spans="1:37" s="1858" customFormat="1" ht="18" customHeight="1">
      <c r="A17" s="1201" t="s">
        <v>1384</v>
      </c>
      <c r="B17" s="347" t="s">
        <v>1420</v>
      </c>
      <c r="C17" s="24">
        <f ca="1">ROUND(F17*(F43+INDIRECT("'数据-取费表'!S"&amp;$G$1))/10000,0)</f>
        <v>9</v>
      </c>
      <c r="D17" s="347" t="s">
        <v>1421</v>
      </c>
      <c r="E17" s="347" t="s">
        <v>1422</v>
      </c>
      <c r="F17" s="26">
        <f>'数据-取费表'!B35</f>
        <v>200</v>
      </c>
      <c r="G17" s="1854"/>
      <c r="H17" s="1201" t="s">
        <v>1031</v>
      </c>
      <c r="I17" s="347" t="s">
        <v>1423</v>
      </c>
      <c r="J17" s="24">
        <f ca="1">ROUND(IF(项目基本情况!B11="自然人",J6*M17/(1+'数据-取费表'!C42),J18+J19+J20),1)</f>
        <v>21.1</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148</v>
      </c>
      <c r="D19" s="140" t="s">
        <v>1430</v>
      </c>
      <c r="E19" s="1818"/>
      <c r="F19" s="26"/>
      <c r="G19" s="1851"/>
      <c r="H19" s="1201" t="s">
        <v>1032</v>
      </c>
      <c r="I19" s="347" t="s">
        <v>1431</v>
      </c>
      <c r="J19" s="24">
        <f ca="1">IF(K19="按租金收入计税",ROUND(J6*M19/(1+'数据-取费表'!C42),2),ROUND(C29*M19*0.7,2))</f>
        <v>1.71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v>
      </c>
      <c r="D20" s="369" t="s">
        <v>1434</v>
      </c>
      <c r="E20" s="347" t="s">
        <v>1416</v>
      </c>
      <c r="F20" s="367">
        <f>'数据-取费表'!B37</f>
        <v>0.02</v>
      </c>
      <c r="G20" s="1854"/>
      <c r="H20" s="1201" t="s">
        <v>1383</v>
      </c>
      <c r="I20" s="164" t="s">
        <v>1435</v>
      </c>
      <c r="J20" s="25">
        <f ca="1">ROUND(M20*M21/10000,2)</f>
        <v>19.39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12926.88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3.1</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-24</v>
      </c>
      <c r="K25" s="1345" t="s">
        <v>1458</v>
      </c>
      <c r="L25" s="1346"/>
      <c r="M25" s="1347"/>
    </row>
    <row r="26" spans="1:37">
      <c r="A26" s="1201" t="s">
        <v>1030</v>
      </c>
      <c r="B26" s="347" t="s">
        <v>1459</v>
      </c>
      <c r="C26" s="24">
        <f ca="1">ROUND((C19+C20)*F26,0)</f>
        <v>30</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204</v>
      </c>
      <c r="D29" s="1342"/>
      <c r="E29" s="1340"/>
      <c r="F29" s="1343"/>
      <c r="G29" s="1854"/>
      <c r="H29" s="380" t="s">
        <v>1029</v>
      </c>
      <c r="I29" s="381" t="s">
        <v>1473</v>
      </c>
      <c r="J29" s="382">
        <f ca="1">ROUND(J26/(1+F40)^F41,0)</f>
        <v>0</v>
      </c>
      <c r="K29" s="383" t="s">
        <v>1474</v>
      </c>
      <c r="L29" s="384"/>
      <c r="M29" s="385">
        <f ca="1">INDIRECT("'数据-取费表'!k"&amp;$G$1)</f>
        <v>443.61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49</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43.9</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7.79</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16.690000000000001</v>
      </c>
      <c r="D33" s="1828" t="s">
        <v>3115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19.39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12926.88</v>
      </c>
      <c r="G35" s="1851"/>
      <c r="H35" s="745"/>
      <c r="I35" s="1860"/>
      <c r="J35" s="1861"/>
      <c r="K35" s="1862"/>
      <c r="L35" s="1859"/>
      <c r="M35" s="1859"/>
    </row>
    <row r="36" spans="1:18" ht="18" customHeight="1">
      <c r="A36" s="1352" t="s">
        <v>1035</v>
      </c>
      <c r="B36" s="347" t="s">
        <v>1443</v>
      </c>
      <c r="C36" s="24">
        <f ca="1">ROUND(C29*F36,1)</f>
        <v>3.1</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0.2</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1.5</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97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2603</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58678</v>
      </c>
      <c r="D43" s="383" t="s">
        <v>1482</v>
      </c>
      <c r="E43" s="384" t="s">
        <v>1483</v>
      </c>
      <c r="F43" s="385">
        <f ca="1">INDIRECT("'数据-取费表'!k"&amp;$G$1)</f>
        <v>443.61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-3289</v>
      </c>
      <c r="D46" s="1872" t="str">
        <f>C2</f>
        <v>万元</v>
      </c>
      <c r="E46" s="1866"/>
      <c r="F46" s="1866"/>
      <c r="I46" s="1873" t="s">
        <v>1515</v>
      </c>
      <c r="J46" s="1874"/>
      <c r="K46" s="1875"/>
      <c r="L46" s="1876">
        <f ca="1">IF(M47="住宅",0,IF(L48&gt;J51,L60,J60))</f>
        <v>3</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3103</v>
      </c>
      <c r="K47" s="1882" t="s">
        <v>1521</v>
      </c>
      <c r="L47" s="1883">
        <f ca="1">INDIRECT("'数据-取费表'!d"&amp;$G$1)</f>
        <v>40</v>
      </c>
      <c r="M47" s="1838" t="str">
        <f>IF(ISNUMBER(FIND("住宅",C1)),"住宅","非住宅")</f>
        <v>非住宅</v>
      </c>
      <c r="O47" s="1884" t="s">
        <v>1036</v>
      </c>
      <c r="P47" s="1885" t="s">
        <v>1522</v>
      </c>
      <c r="Q47" s="1886">
        <f ca="1">C40+J29</f>
        <v>2603</v>
      </c>
      <c r="R47" s="1886" t="s">
        <v>1523</v>
      </c>
    </row>
    <row r="48" spans="1:18" s="1842" customFormat="1" ht="28.5" thickBot="1">
      <c r="A48" s="1360" t="s">
        <v>1131</v>
      </c>
      <c r="B48" s="345" t="s">
        <v>1395</v>
      </c>
      <c r="C48" s="1817">
        <f ca="1">C49+C53+C55</f>
        <v>0</v>
      </c>
      <c r="D48" s="1362"/>
      <c r="E48" s="1363"/>
      <c r="F48" s="1181"/>
      <c r="G48" s="792"/>
      <c r="H48" s="793"/>
      <c r="I48" s="1887" t="s">
        <v>1524</v>
      </c>
      <c r="J48" s="1888" t="s">
        <v>3104</v>
      </c>
      <c r="K48" s="1889" t="s">
        <v>1525</v>
      </c>
      <c r="L48" s="1890">
        <f ca="1">INDIRECT("'数据-取费表'!f"&amp;$G$1)</f>
        <v>40</v>
      </c>
      <c r="O48" s="1884" t="s">
        <v>1037</v>
      </c>
      <c r="P48" s="1885" t="s">
        <v>1526</v>
      </c>
      <c r="Q48" s="1886">
        <f ca="1">J60</f>
        <v>3</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v>2008</v>
      </c>
      <c r="K49" s="1889" t="s">
        <v>1529</v>
      </c>
      <c r="L49" s="1893"/>
      <c r="O49" s="1894" t="s">
        <v>1038</v>
      </c>
      <c r="P49" s="1885" t="s">
        <v>1530</v>
      </c>
      <c r="Q49" s="1886">
        <f ca="1">C29</f>
        <v>204</v>
      </c>
      <c r="R49" s="1886" t="s">
        <v>1523</v>
      </c>
    </row>
    <row r="50" spans="1:18" s="1842" customFormat="1" ht="13.5" thickBot="1">
      <c r="A50" s="1195"/>
      <c r="B50" s="1198"/>
      <c r="C50" s="1368"/>
      <c r="D50" s="1172"/>
      <c r="E50" s="1277" t="s">
        <v>1400</v>
      </c>
      <c r="F50" s="1278">
        <f ca="1">F7</f>
        <v>443.61</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1530</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40</v>
      </c>
      <c r="K53" s="3247" t="s">
        <v>1542</v>
      </c>
      <c r="L53" s="3248"/>
      <c r="O53" s="1884" t="s">
        <v>1042</v>
      </c>
      <c r="P53" s="1885" t="s">
        <v>1543</v>
      </c>
      <c r="Q53" s="1886">
        <f ca="1">Q47+Q48</f>
        <v>2606</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163</v>
      </c>
      <c r="D56" s="1913"/>
      <c r="E56" s="1914"/>
      <c r="F56" s="1906"/>
      <c r="I56" s="1915" t="s">
        <v>1548</v>
      </c>
      <c r="J56" s="1916" t="s">
        <v>3105</v>
      </c>
      <c r="K56" s="1887" t="s">
        <v>1549</v>
      </c>
      <c r="L56" s="1890" t="str">
        <f ca="1">IF(L48&lt;J51,"——",L48-J53)</f>
        <v>——</v>
      </c>
      <c r="O56" s="1884" t="s">
        <v>1036</v>
      </c>
      <c r="P56" s="1885" t="s">
        <v>1522</v>
      </c>
      <c r="Q56" s="1886">
        <f ca="1">C40+J29</f>
        <v>2603</v>
      </c>
      <c r="R56" s="1886" t="s">
        <v>1523</v>
      </c>
    </row>
    <row r="57" spans="1:18" s="1842" customFormat="1" ht="24.75" thickBot="1">
      <c r="A57" s="1917"/>
      <c r="B57" s="1169" t="s">
        <v>1472</v>
      </c>
      <c r="C57" s="282">
        <f ca="1">C29</f>
        <v>204</v>
      </c>
      <c r="D57" s="1918"/>
      <c r="E57" s="1919"/>
      <c r="F57" s="1920"/>
      <c r="I57" s="1921" t="s">
        <v>1550</v>
      </c>
      <c r="J57" s="1922">
        <f ca="1">IF(OR(M47="住宅",J51&lt;L48,J56="是"),"——",J51-L48)</f>
        <v>8</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40</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36.5</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82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3</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17.14</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19.39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2603</v>
      </c>
      <c r="R62" s="1886" t="s">
        <v>1043</v>
      </c>
    </row>
    <row r="63" spans="1:18" s="1842" customFormat="1" ht="13.5" thickBot="1">
      <c r="A63" s="372"/>
      <c r="B63" s="1175"/>
      <c r="C63" s="29"/>
      <c r="D63" s="1185"/>
      <c r="E63" s="1169" t="s">
        <v>1493</v>
      </c>
      <c r="F63" s="348">
        <f t="shared" ca="1" si="0"/>
        <v>12926.88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3.1</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0.2</v>
      </c>
      <c r="D65" s="1183" t="s">
        <v>1448</v>
      </c>
      <c r="E65" s="1169" t="s">
        <v>1449</v>
      </c>
      <c r="F65" s="376">
        <f t="shared" ca="1" si="0"/>
        <v>1.5E-3</v>
      </c>
      <c r="I65" s="1928" t="s">
        <v>1573</v>
      </c>
      <c r="J65" s="1929">
        <v>40</v>
      </c>
      <c r="K65" s="1929">
        <v>30</v>
      </c>
      <c r="L65" s="1929">
        <v>50</v>
      </c>
      <c r="M65" s="1931">
        <v>0.02</v>
      </c>
      <c r="O65" s="1884" t="s">
        <v>1036</v>
      </c>
      <c r="P65" s="1885" t="s">
        <v>1574</v>
      </c>
      <c r="Q65" s="1886">
        <f ca="1">C40+J29</f>
        <v>2603</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-40</v>
      </c>
      <c r="D67" s="1182" t="s">
        <v>1458</v>
      </c>
      <c r="E67" s="1187"/>
      <c r="F67" s="1188"/>
      <c r="O67" s="1894" t="s">
        <v>1038</v>
      </c>
      <c r="P67" s="1885" t="s">
        <v>1556</v>
      </c>
      <c r="Q67" s="1932">
        <f ca="1">L51</f>
        <v>1530</v>
      </c>
      <c r="R67" s="1886" t="s">
        <v>1576</v>
      </c>
    </row>
    <row r="68" spans="1:18" s="1842" customFormat="1" ht="16.5" thickBot="1">
      <c r="A68" s="1166" t="s">
        <v>1028</v>
      </c>
      <c r="B68" s="1167" t="s">
        <v>1479</v>
      </c>
      <c r="C68" s="346">
        <f ca="1">ROUND(C67*(1-((1+F70)/(1+F68))^F69)/(F68-F70),0)</f>
        <v>-686</v>
      </c>
      <c r="D68" s="1184" t="s">
        <v>1463</v>
      </c>
      <c r="E68" s="1169" t="s">
        <v>1464</v>
      </c>
      <c r="F68" s="357">
        <f ca="1">F40</f>
        <v>0.05</v>
      </c>
      <c r="O68" s="1894" t="s">
        <v>1039</v>
      </c>
      <c r="P68" s="1933" t="s">
        <v>1577</v>
      </c>
      <c r="Q68" s="1886">
        <f ca="1">ROUND(Q69-Q70*Q71,0)</f>
        <v>83</v>
      </c>
      <c r="R68" s="1886" t="s">
        <v>1047</v>
      </c>
    </row>
    <row r="69" spans="1:18" s="1842" customFormat="1" ht="13.5" thickBot="1">
      <c r="A69" s="1170"/>
      <c r="B69" s="1171"/>
      <c r="C69" s="351"/>
      <c r="D69" s="1189" t="s">
        <v>1467</v>
      </c>
      <c r="E69" s="1169" t="s">
        <v>1468</v>
      </c>
      <c r="F69" s="379">
        <f ca="1">F41</f>
        <v>40</v>
      </c>
      <c r="O69" s="1894" t="s">
        <v>1044</v>
      </c>
      <c r="P69" s="1933" t="s">
        <v>1578</v>
      </c>
      <c r="Q69" s="1886">
        <f ca="1">C39</f>
        <v>97</v>
      </c>
      <c r="R69" s="1886" t="s">
        <v>1523</v>
      </c>
    </row>
    <row r="70" spans="1:18" s="1842" customFormat="1" ht="13.5" thickBot="1">
      <c r="A70" s="1173"/>
      <c r="B70" s="1174"/>
      <c r="C70" s="355"/>
      <c r="D70" s="1185"/>
      <c r="E70" s="1169" t="s">
        <v>1471</v>
      </c>
      <c r="F70" s="1275"/>
      <c r="O70" s="1894" t="s">
        <v>1045</v>
      </c>
      <c r="P70" s="1933" t="s">
        <v>1579</v>
      </c>
      <c r="Q70" s="1886">
        <f ca="1">C13</f>
        <v>163</v>
      </c>
      <c r="R70" s="1886" t="s">
        <v>1523</v>
      </c>
    </row>
    <row r="71" spans="1:18" s="1842" customFormat="1" ht="13.5" thickBot="1">
      <c r="A71" s="1190" t="s">
        <v>1029</v>
      </c>
      <c r="B71" s="1191" t="s">
        <v>1481</v>
      </c>
      <c r="C71" s="382">
        <f ca="1">ROUND(C68*10000/F71,0)</f>
        <v>-15464</v>
      </c>
      <c r="D71" s="1192" t="s">
        <v>1482</v>
      </c>
      <c r="E71" s="1193" t="s">
        <v>1483</v>
      </c>
      <c r="F71" s="385">
        <f ca="1">F43</f>
        <v>443.61</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14</v>
      </c>
      <c r="D75" s="1842"/>
      <c r="E75" s="1842"/>
      <c r="F75" s="1842"/>
      <c r="K75" s="1868"/>
      <c r="L75" s="1842"/>
      <c r="O75" s="1884" t="s">
        <v>1042</v>
      </c>
      <c r="P75" s="1885" t="s">
        <v>1543</v>
      </c>
      <c r="Q75" s="1886">
        <f ca="1">Q65+Q66</f>
        <v>2603</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0.85599999999999998</v>
      </c>
    </row>
    <row r="80" spans="1:18">
      <c r="B80" s="386" t="s">
        <v>1505</v>
      </c>
      <c r="C80" s="318">
        <f ca="1">ROUND(C75/C39,3)</f>
        <v>0.14399999999999999</v>
      </c>
    </row>
    <row r="81" spans="2:3">
      <c r="B81" s="314" t="s">
        <v>1506</v>
      </c>
      <c r="C81" s="282"/>
    </row>
    <row r="82" spans="2:3">
      <c r="B82" s="317" t="s">
        <v>1507</v>
      </c>
      <c r="C82" s="319">
        <f ca="1">1-C83</f>
        <v>0.93700000000000006</v>
      </c>
    </row>
    <row r="83" spans="2:3">
      <c r="B83" s="317" t="s">
        <v>1508</v>
      </c>
      <c r="C83" s="318">
        <f ca="1">ROUND(C13/C40,3)</f>
        <v>6.3E-2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8" priority="56">
      <formula>$L$48&gt;$J$51</formula>
    </cfRule>
  </conditionalFormatting>
  <conditionalFormatting sqref="I55 I60">
    <cfRule type="expression" dxfId="97" priority="57">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估价对象为房地产，为所有。根据《国有土地使用证》[]，估价对象（分摊）出让国有建设用地使用权面积为14543平方米，建筑面积为499.07平方米。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估价对象为房地产,属开发建设的，该项目尚在开发建设中。根据《国有土地使用证》[]，估价对象（分摊）出让国有建设用地使用权面积为14543平方米，规划建筑面积为499.07平方米。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2020年1月15日（评估专业人员实地查勘之日）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本次估价的“房地产价值”是指在正常市场情况下，在价值时点2020年1月15日，估价对象规划用途为，土地取得方式为划拨，假定未设立法定优先受偿款下的房地产市场价值。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U22" sqref="U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8" t="s">
        <v>3005</v>
      </c>
      <c r="D1" s="3279"/>
      <c r="E1" s="3279"/>
      <c r="F1" s="3279"/>
      <c r="G1" s="3279"/>
      <c r="H1" s="3279"/>
      <c r="I1" s="3279"/>
      <c r="J1" s="3279"/>
      <c r="K1" s="3279"/>
      <c r="L1" s="3279"/>
      <c r="M1" s="3279"/>
      <c r="N1" s="3279"/>
      <c r="O1" s="3279"/>
      <c r="P1" s="3279"/>
      <c r="Q1" s="3279"/>
      <c r="R1" s="3279"/>
      <c r="S1" s="3280"/>
      <c r="T1" s="1204" t="s">
        <v>2877</v>
      </c>
    </row>
    <row r="2" spans="1:45" s="707" customFormat="1" ht="38.25">
      <c r="A2" s="1205"/>
      <c r="B2" s="703" t="s">
        <v>1868</v>
      </c>
      <c r="C2" s="704" t="str">
        <f t="shared" ref="C2:R2" si="0">C3&amp;"(含)"&amp;"-"&amp;D3</f>
        <v>0(含)-100</v>
      </c>
      <c r="D2" s="705" t="str">
        <f t="shared" si="0"/>
        <v>100(含)-200</v>
      </c>
      <c r="E2" s="705" t="str">
        <f t="shared" si="0"/>
        <v>200(含)-500</v>
      </c>
      <c r="F2" s="705" t="str">
        <f t="shared" si="0"/>
        <v>500(含)-1000</v>
      </c>
      <c r="G2" s="705" t="str">
        <f t="shared" si="0"/>
        <v>1000(含)-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500</v>
      </c>
      <c r="G3" s="1704">
        <v>1000</v>
      </c>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90</v>
      </c>
      <c r="E4" s="1211">
        <v>80</v>
      </c>
      <c r="F4" s="1708">
        <v>70</v>
      </c>
      <c r="G4" s="1708">
        <v>60</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88" t="s">
        <v>3106</v>
      </c>
      <c r="C5" s="2994" t="s">
        <v>3111</v>
      </c>
      <c r="D5" s="1217" t="s">
        <v>3108</v>
      </c>
      <c r="E5" s="1217"/>
      <c r="F5" s="1711"/>
      <c r="G5" s="1711"/>
      <c r="H5" s="1711"/>
      <c r="I5" s="1711"/>
      <c r="J5" s="1711"/>
      <c r="K5" s="1711"/>
      <c r="L5" s="1712"/>
      <c r="M5" s="1713"/>
      <c r="N5" s="1713"/>
      <c r="O5" s="1711"/>
      <c r="P5" s="1711"/>
      <c r="Q5" s="1711"/>
      <c r="R5" s="1711"/>
      <c r="S5" s="1714"/>
      <c r="T5" s="1219">
        <v>20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80</v>
      </c>
      <c r="E6" s="1119">
        <f t="shared" ref="E6:S6" si="1">D6-$T5</f>
        <v>60</v>
      </c>
      <c r="F6" s="1715">
        <f t="shared" si="1"/>
        <v>40</v>
      </c>
      <c r="G6" s="1715">
        <f t="shared" si="1"/>
        <v>20</v>
      </c>
      <c r="H6" s="1715">
        <f t="shared" si="1"/>
        <v>0</v>
      </c>
      <c r="I6" s="1715">
        <f t="shared" si="1"/>
        <v>-20</v>
      </c>
      <c r="J6" s="1715">
        <f t="shared" si="1"/>
        <v>-40</v>
      </c>
      <c r="K6" s="1715">
        <f t="shared" si="1"/>
        <v>-60</v>
      </c>
      <c r="L6" s="1715">
        <f t="shared" si="1"/>
        <v>-80</v>
      </c>
      <c r="M6" s="1715">
        <f t="shared" si="1"/>
        <v>-100</v>
      </c>
      <c r="N6" s="1715">
        <f t="shared" si="1"/>
        <v>-120</v>
      </c>
      <c r="O6" s="1715">
        <f t="shared" si="1"/>
        <v>-140</v>
      </c>
      <c r="P6" s="1715">
        <f t="shared" si="1"/>
        <v>-160</v>
      </c>
      <c r="Q6" s="1715">
        <f t="shared" si="1"/>
        <v>-180</v>
      </c>
      <c r="R6" s="1715">
        <f t="shared" si="1"/>
        <v>-200</v>
      </c>
      <c r="S6" s="1715">
        <f t="shared" si="1"/>
        <v>-220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2">D8-$T7</f>
        <v>100</v>
      </c>
      <c r="F8" s="1715">
        <f t="shared" si="2"/>
        <v>100</v>
      </c>
      <c r="G8" s="1715">
        <f t="shared" si="2"/>
        <v>100</v>
      </c>
      <c r="H8" s="1715">
        <f t="shared" si="2"/>
        <v>100</v>
      </c>
      <c r="I8" s="1715">
        <f t="shared" si="2"/>
        <v>100</v>
      </c>
      <c r="J8" s="1715">
        <f t="shared" si="2"/>
        <v>100</v>
      </c>
      <c r="K8" s="1715">
        <f t="shared" si="2"/>
        <v>100</v>
      </c>
      <c r="L8" s="1715">
        <f t="shared" si="2"/>
        <v>100</v>
      </c>
      <c r="M8" s="1715">
        <f t="shared" si="2"/>
        <v>100</v>
      </c>
      <c r="N8" s="1715">
        <f t="shared" si="2"/>
        <v>100</v>
      </c>
      <c r="O8" s="1715">
        <f t="shared" si="2"/>
        <v>100</v>
      </c>
      <c r="P8" s="1715">
        <f t="shared" si="2"/>
        <v>100</v>
      </c>
      <c r="Q8" s="1715">
        <f t="shared" si="2"/>
        <v>100</v>
      </c>
      <c r="R8" s="1715">
        <f t="shared" si="2"/>
        <v>100</v>
      </c>
      <c r="S8" s="1715">
        <f t="shared" si="2"/>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3">D10-$T9</f>
        <v>100</v>
      </c>
      <c r="F10" s="1725">
        <f t="shared" si="3"/>
        <v>100</v>
      </c>
      <c r="G10" s="1725">
        <f t="shared" si="3"/>
        <v>100</v>
      </c>
      <c r="H10" s="1725">
        <f t="shared" si="3"/>
        <v>100</v>
      </c>
      <c r="I10" s="1725">
        <f t="shared" si="3"/>
        <v>100</v>
      </c>
      <c r="J10" s="1725">
        <f t="shared" si="3"/>
        <v>100</v>
      </c>
      <c r="K10" s="1725">
        <f t="shared" si="3"/>
        <v>100</v>
      </c>
      <c r="L10" s="1725">
        <f t="shared" si="3"/>
        <v>100</v>
      </c>
      <c r="M10" s="1725">
        <f t="shared" si="3"/>
        <v>100</v>
      </c>
      <c r="N10" s="1725">
        <f t="shared" si="3"/>
        <v>100</v>
      </c>
      <c r="O10" s="1725">
        <f t="shared" si="3"/>
        <v>100</v>
      </c>
      <c r="P10" s="1725">
        <f t="shared" si="3"/>
        <v>100</v>
      </c>
      <c r="Q10" s="1725">
        <f t="shared" si="3"/>
        <v>100</v>
      </c>
      <c r="R10" s="1725">
        <f t="shared" si="3"/>
        <v>100</v>
      </c>
      <c r="S10" s="1725">
        <f t="shared" si="3"/>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4">D12-$T11</f>
        <v>100</v>
      </c>
      <c r="F12" s="1119">
        <f t="shared" si="4"/>
        <v>100</v>
      </c>
      <c r="G12" s="1119">
        <f t="shared" si="4"/>
        <v>100</v>
      </c>
      <c r="H12" s="1119">
        <f t="shared" si="4"/>
        <v>100</v>
      </c>
      <c r="I12" s="1119">
        <f t="shared" si="4"/>
        <v>100</v>
      </c>
      <c r="J12" s="1119">
        <f t="shared" si="4"/>
        <v>100</v>
      </c>
      <c r="K12" s="1119">
        <f t="shared" si="4"/>
        <v>100</v>
      </c>
      <c r="L12" s="1119">
        <f t="shared" si="4"/>
        <v>100</v>
      </c>
      <c r="M12" s="1119">
        <f t="shared" si="4"/>
        <v>100</v>
      </c>
      <c r="N12" s="1119">
        <f t="shared" si="4"/>
        <v>100</v>
      </c>
      <c r="O12" s="1119">
        <f t="shared" si="4"/>
        <v>100</v>
      </c>
      <c r="P12" s="1119">
        <f t="shared" si="4"/>
        <v>100</v>
      </c>
      <c r="Q12" s="1119">
        <f t="shared" si="4"/>
        <v>100</v>
      </c>
      <c r="R12" s="1119">
        <f>Q12-$T11</f>
        <v>100</v>
      </c>
      <c r="S12" s="1119">
        <f t="shared" si="4"/>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3014</v>
      </c>
      <c r="B17" s="2911" t="s">
        <v>3015</v>
      </c>
      <c r="C17" s="2993" t="s">
        <v>3107</v>
      </c>
      <c r="D17" s="1232" t="s">
        <v>3109</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80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3" t="s">
        <v>3018</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 ca="1">R22</f>
        <v>51415</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4764.72</v>
      </c>
      <c r="C22" s="3113" t="s">
        <v>33</v>
      </c>
      <c r="D22" s="3114"/>
      <c r="E22" s="3114"/>
      <c r="F22" s="3114"/>
      <c r="G22" s="3114"/>
      <c r="H22" s="3114"/>
      <c r="I22" s="3114"/>
      <c r="J22" s="3114"/>
      <c r="K22" s="3114"/>
      <c r="L22" s="3114"/>
      <c r="M22" s="3114"/>
      <c r="N22" s="3114"/>
      <c r="O22" s="3114"/>
      <c r="P22" s="3114"/>
      <c r="Q22" s="3281"/>
      <c r="R22" s="716">
        <f ca="1">ROUND(S22*10000/B22,0)</f>
        <v>51415</v>
      </c>
      <c r="S22" s="24">
        <f ca="1">SUM(S24:S10000)</f>
        <v>24498</v>
      </c>
    </row>
    <row r="23" spans="1:45" s="12" customFormat="1" ht="24">
      <c r="A23" s="11" t="s">
        <v>3022</v>
      </c>
      <c r="B23" s="11" t="s">
        <v>3023</v>
      </c>
      <c r="C23" s="11" t="s">
        <v>3024</v>
      </c>
      <c r="D23" s="11" t="str">
        <f>B5</f>
        <v>类型</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25">
      <c r="A24" s="2991" t="s">
        <v>3070</v>
      </c>
      <c r="B24" s="2989">
        <v>443.61</v>
      </c>
      <c r="C24" s="719">
        <v>1</v>
      </c>
      <c r="D24" s="720"/>
      <c r="E24" s="719">
        <v>1</v>
      </c>
      <c r="F24" s="720"/>
      <c r="G24" s="719">
        <v>1</v>
      </c>
      <c r="H24" s="720"/>
      <c r="I24" s="719">
        <v>1</v>
      </c>
      <c r="J24" s="720"/>
      <c r="K24" s="719">
        <v>1</v>
      </c>
      <c r="L24" s="720"/>
      <c r="M24" s="719">
        <v>1</v>
      </c>
      <c r="N24" s="720"/>
      <c r="O24" s="719">
        <v>1</v>
      </c>
      <c r="P24" s="720" t="s">
        <v>3110</v>
      </c>
      <c r="Q24" s="719">
        <v>1</v>
      </c>
      <c r="R24" s="721">
        <f ca="1">结果表!G20</f>
        <v>53770</v>
      </c>
      <c r="S24" s="719">
        <f t="shared" ref="S24:S87" ca="1" si="5">ROUND(R24*B24/10000,0)</f>
        <v>2385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4.25">
      <c r="A25" s="2991" t="s">
        <v>3073</v>
      </c>
      <c r="B25" s="2986">
        <v>299.77999999999997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3110</v>
      </c>
      <c r="Q25" s="24">
        <f>(SUMIF($17:$17,P25,$18:$18)-SUMIF($17:$17,$P$24,$18:$18)+100)/100</f>
        <v>1</v>
      </c>
      <c r="R25" s="716">
        <f ca="1">IF(B25="",0,ROUND($R$24*C25*E25*G25*I25*K25*M25*O25*Q25,0))</f>
        <v>53770</v>
      </c>
      <c r="S25" s="361">
        <f t="shared" ca="1" si="5"/>
        <v>1612</v>
      </c>
    </row>
    <row r="26" spans="1:45" ht="14.25">
      <c r="A26" s="2991" t="s">
        <v>3074</v>
      </c>
      <c r="B26" s="2986">
        <v>309.8</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3110</v>
      </c>
      <c r="Q26" s="24">
        <f t="shared" ref="Q26:Q89" si="13">(SUMIF($17:$17,P26,$18:$18)-SUMIF($17:$17,$P$24,$18:$18)+100)/100</f>
        <v>1</v>
      </c>
      <c r="R26" s="716">
        <f t="shared" ref="R26:R89" ca="1" si="14">IF(B26="",0,ROUND($R$24*C26*E26*G26*I26*K26*M26*O26*Q26,0))</f>
        <v>53770</v>
      </c>
      <c r="S26" s="361">
        <f t="shared" ca="1" si="5"/>
        <v>1666</v>
      </c>
    </row>
    <row r="27" spans="1:45" ht="14.25">
      <c r="A27" s="2991" t="s">
        <v>3075</v>
      </c>
      <c r="B27" s="2986">
        <v>454.19</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3110</v>
      </c>
      <c r="Q27" s="24">
        <f t="shared" si="13"/>
        <v>1</v>
      </c>
      <c r="R27" s="716">
        <f t="shared" ca="1" si="14"/>
        <v>53770</v>
      </c>
      <c r="S27" s="361">
        <f t="shared" ca="1" si="5"/>
        <v>2442</v>
      </c>
    </row>
    <row r="28" spans="1:45" ht="14.25">
      <c r="A28" s="2991" t="s">
        <v>3076</v>
      </c>
      <c r="B28" s="2986">
        <v>371.73</v>
      </c>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3110</v>
      </c>
      <c r="Q28" s="24">
        <f t="shared" si="13"/>
        <v>1</v>
      </c>
      <c r="R28" s="716">
        <f t="shared" ca="1" si="14"/>
        <v>53770</v>
      </c>
      <c r="S28" s="361">
        <f t="shared" ca="1" si="5"/>
        <v>1999</v>
      </c>
    </row>
    <row r="29" spans="1:45" ht="14.25">
      <c r="A29" s="2991" t="s">
        <v>3077</v>
      </c>
      <c r="B29" s="2986">
        <v>379.79</v>
      </c>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3110</v>
      </c>
      <c r="Q29" s="24">
        <f t="shared" si="13"/>
        <v>1</v>
      </c>
      <c r="R29" s="716">
        <f t="shared" ca="1" si="14"/>
        <v>53770</v>
      </c>
      <c r="S29" s="361">
        <f t="shared" ca="1" si="5"/>
        <v>2042</v>
      </c>
    </row>
    <row r="30" spans="1:45" ht="14.25">
      <c r="A30" s="2991" t="s">
        <v>3078</v>
      </c>
      <c r="B30" s="2986">
        <v>525.02</v>
      </c>
      <c r="C30" s="24">
        <f t="shared" si="6"/>
        <v>0.9</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3110</v>
      </c>
      <c r="Q30" s="24">
        <f t="shared" si="13"/>
        <v>1</v>
      </c>
      <c r="R30" s="716">
        <f t="shared" ca="1" si="14"/>
        <v>48393</v>
      </c>
      <c r="S30" s="361">
        <f t="shared" ca="1" si="5"/>
        <v>2541</v>
      </c>
    </row>
    <row r="31" spans="1:45" ht="14.25">
      <c r="A31" s="2991" t="s">
        <v>3079</v>
      </c>
      <c r="B31" s="2986">
        <v>419.8</v>
      </c>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t="s">
        <v>3110</v>
      </c>
      <c r="Q31" s="24">
        <f t="shared" si="13"/>
        <v>1</v>
      </c>
      <c r="R31" s="716">
        <f t="shared" ca="1" si="14"/>
        <v>53770</v>
      </c>
      <c r="S31" s="361">
        <f t="shared" ca="1" si="5"/>
        <v>2257</v>
      </c>
    </row>
    <row r="32" spans="1:45" ht="14.25">
      <c r="A32" s="2991" t="s">
        <v>3080</v>
      </c>
      <c r="B32" s="2986">
        <v>882.57</v>
      </c>
      <c r="C32" s="24">
        <f t="shared" si="6"/>
        <v>0.9</v>
      </c>
      <c r="D32" s="720"/>
      <c r="E32" s="24">
        <f t="shared" si="7"/>
        <v>1</v>
      </c>
      <c r="F32" s="720"/>
      <c r="G32" s="24">
        <f t="shared" si="8"/>
        <v>1</v>
      </c>
      <c r="H32" s="720"/>
      <c r="I32" s="24">
        <f t="shared" si="9"/>
        <v>1</v>
      </c>
      <c r="J32" s="720"/>
      <c r="K32" s="24">
        <f t="shared" si="10"/>
        <v>1</v>
      </c>
      <c r="L32" s="720"/>
      <c r="M32" s="24">
        <f t="shared" si="11"/>
        <v>1</v>
      </c>
      <c r="N32" s="720"/>
      <c r="O32" s="24">
        <f t="shared" si="12"/>
        <v>1</v>
      </c>
      <c r="P32" s="720" t="s">
        <v>3110</v>
      </c>
      <c r="Q32" s="24">
        <f t="shared" si="13"/>
        <v>1</v>
      </c>
      <c r="R32" s="716">
        <f t="shared" ca="1" si="14"/>
        <v>48393</v>
      </c>
      <c r="S32" s="361">
        <f t="shared" ca="1" si="5"/>
        <v>4271</v>
      </c>
    </row>
    <row r="33" spans="1:19" ht="14.25">
      <c r="A33" s="2991" t="s">
        <v>3081</v>
      </c>
      <c r="B33" s="2986">
        <v>678.43</v>
      </c>
      <c r="C33" s="24">
        <f t="shared" si="6"/>
        <v>0.9</v>
      </c>
      <c r="D33" s="720"/>
      <c r="E33" s="24">
        <f t="shared" si="7"/>
        <v>1</v>
      </c>
      <c r="F33" s="720"/>
      <c r="G33" s="24">
        <f t="shared" si="8"/>
        <v>1</v>
      </c>
      <c r="H33" s="720"/>
      <c r="I33" s="24">
        <f t="shared" si="9"/>
        <v>1</v>
      </c>
      <c r="J33" s="720"/>
      <c r="K33" s="24">
        <f t="shared" si="10"/>
        <v>1</v>
      </c>
      <c r="L33" s="720"/>
      <c r="M33" s="24">
        <f t="shared" si="11"/>
        <v>1</v>
      </c>
      <c r="N33" s="720"/>
      <c r="O33" s="24">
        <f t="shared" si="12"/>
        <v>1</v>
      </c>
      <c r="P33" s="720" t="s">
        <v>3110</v>
      </c>
      <c r="Q33" s="24">
        <f t="shared" si="13"/>
        <v>1</v>
      </c>
      <c r="R33" s="716">
        <f t="shared" ca="1" si="14"/>
        <v>48393</v>
      </c>
      <c r="S33" s="361">
        <f t="shared" ca="1" si="5"/>
        <v>3283</v>
      </c>
    </row>
    <row r="34" spans="1:19">
      <c r="A34" s="159">
        <v>505</v>
      </c>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0.2</v>
      </c>
      <c r="R34" s="716">
        <f t="shared" si="14"/>
        <v>0</v>
      </c>
      <c r="S34" s="361">
        <f t="shared" si="5"/>
        <v>0</v>
      </c>
    </row>
    <row r="35" spans="1:19">
      <c r="A35" s="159">
        <v>506</v>
      </c>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0.2</v>
      </c>
      <c r="R35" s="716">
        <f t="shared" si="14"/>
        <v>0</v>
      </c>
      <c r="S35" s="361">
        <f t="shared" si="5"/>
        <v>0</v>
      </c>
    </row>
    <row r="36" spans="1:19">
      <c r="A36" s="159">
        <v>507</v>
      </c>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0.2</v>
      </c>
      <c r="R36" s="716">
        <f t="shared" si="14"/>
        <v>0</v>
      </c>
      <c r="S36" s="361">
        <f t="shared" si="5"/>
        <v>0</v>
      </c>
    </row>
    <row r="37" spans="1:19">
      <c r="A37" s="159">
        <v>508</v>
      </c>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0.2</v>
      </c>
      <c r="R37" s="716">
        <f t="shared" si="14"/>
        <v>0</v>
      </c>
      <c r="S37" s="361">
        <f t="shared" si="5"/>
        <v>0</v>
      </c>
    </row>
    <row r="38" spans="1:19">
      <c r="A38" s="159">
        <v>601</v>
      </c>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0.2</v>
      </c>
      <c r="R38" s="716">
        <f t="shared" si="14"/>
        <v>0</v>
      </c>
      <c r="S38" s="361">
        <f t="shared" si="5"/>
        <v>0</v>
      </c>
    </row>
    <row r="39" spans="1:19">
      <c r="A39" s="159">
        <v>602</v>
      </c>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0.2</v>
      </c>
      <c r="R39" s="716">
        <f t="shared" si="14"/>
        <v>0</v>
      </c>
      <c r="S39" s="361">
        <f t="shared" si="5"/>
        <v>0</v>
      </c>
    </row>
    <row r="40" spans="1:19">
      <c r="A40" s="159">
        <v>603</v>
      </c>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0.2</v>
      </c>
      <c r="R40" s="716">
        <f t="shared" si="14"/>
        <v>0</v>
      </c>
      <c r="S40" s="361">
        <f t="shared" si="5"/>
        <v>0</v>
      </c>
    </row>
    <row r="41" spans="1:19">
      <c r="A41" s="159">
        <v>605</v>
      </c>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0.2</v>
      </c>
      <c r="R41" s="716">
        <f t="shared" si="14"/>
        <v>0</v>
      </c>
      <c r="S41" s="361">
        <f t="shared" si="5"/>
        <v>0</v>
      </c>
    </row>
    <row r="42" spans="1:19">
      <c r="A42" s="159">
        <v>606</v>
      </c>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0.2</v>
      </c>
      <c r="R42" s="716">
        <f t="shared" si="14"/>
        <v>0</v>
      </c>
      <c r="S42" s="361">
        <f t="shared" si="5"/>
        <v>0</v>
      </c>
    </row>
    <row r="43" spans="1:19">
      <c r="A43" s="159">
        <v>607</v>
      </c>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0.2</v>
      </c>
      <c r="R43" s="716">
        <f t="shared" si="14"/>
        <v>0</v>
      </c>
      <c r="S43" s="361">
        <f t="shared" si="5"/>
        <v>0</v>
      </c>
    </row>
    <row r="44" spans="1:19">
      <c r="A44" s="159">
        <v>608</v>
      </c>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0.2</v>
      </c>
      <c r="R44" s="716">
        <f t="shared" si="14"/>
        <v>0</v>
      </c>
      <c r="S44" s="361">
        <f t="shared" si="5"/>
        <v>0</v>
      </c>
    </row>
    <row r="45" spans="1:19">
      <c r="A45" s="159">
        <v>701</v>
      </c>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0.2</v>
      </c>
      <c r="R45" s="716">
        <f t="shared" si="14"/>
        <v>0</v>
      </c>
      <c r="S45" s="361">
        <f t="shared" si="5"/>
        <v>0</v>
      </c>
    </row>
    <row r="46" spans="1:19">
      <c r="A46" s="159">
        <v>702</v>
      </c>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0.2</v>
      </c>
      <c r="R46" s="716">
        <f t="shared" si="14"/>
        <v>0</v>
      </c>
      <c r="S46" s="361">
        <f t="shared" si="5"/>
        <v>0</v>
      </c>
    </row>
    <row r="47" spans="1:19">
      <c r="A47" s="159">
        <v>703</v>
      </c>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0.2</v>
      </c>
      <c r="R47" s="716">
        <f t="shared" si="14"/>
        <v>0</v>
      </c>
      <c r="S47" s="361">
        <f t="shared" si="5"/>
        <v>0</v>
      </c>
    </row>
    <row r="48" spans="1:19">
      <c r="A48" s="159">
        <v>705</v>
      </c>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0.2</v>
      </c>
      <c r="R48" s="716">
        <f t="shared" si="14"/>
        <v>0</v>
      </c>
      <c r="S48" s="361">
        <f t="shared" si="5"/>
        <v>0</v>
      </c>
    </row>
    <row r="49" spans="1:19">
      <c r="A49" s="159">
        <v>706</v>
      </c>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0.2</v>
      </c>
      <c r="R49" s="716">
        <f t="shared" si="14"/>
        <v>0</v>
      </c>
      <c r="S49" s="361">
        <f t="shared" si="5"/>
        <v>0</v>
      </c>
    </row>
    <row r="50" spans="1:19">
      <c r="A50" s="159">
        <v>707</v>
      </c>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0.2</v>
      </c>
      <c r="R50" s="716">
        <f t="shared" si="14"/>
        <v>0</v>
      </c>
      <c r="S50" s="361">
        <f t="shared" si="5"/>
        <v>0</v>
      </c>
    </row>
    <row r="51" spans="1:19">
      <c r="A51" s="159">
        <v>708</v>
      </c>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0.2</v>
      </c>
      <c r="R51" s="716">
        <f t="shared" si="14"/>
        <v>0</v>
      </c>
      <c r="S51" s="361">
        <f t="shared" si="5"/>
        <v>0</v>
      </c>
    </row>
    <row r="52" spans="1:19">
      <c r="A52" s="159">
        <v>801</v>
      </c>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0.2</v>
      </c>
      <c r="R52" s="716">
        <f t="shared" si="14"/>
        <v>0</v>
      </c>
      <c r="S52" s="361">
        <f t="shared" si="5"/>
        <v>0</v>
      </c>
    </row>
    <row r="53" spans="1:19">
      <c r="A53" s="159">
        <v>802</v>
      </c>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0.2</v>
      </c>
      <c r="R53" s="716">
        <f t="shared" si="14"/>
        <v>0</v>
      </c>
      <c r="S53" s="361">
        <f t="shared" si="5"/>
        <v>0</v>
      </c>
    </row>
    <row r="54" spans="1:19">
      <c r="A54" s="159">
        <v>803</v>
      </c>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0.2</v>
      </c>
      <c r="R54" s="716">
        <f t="shared" si="14"/>
        <v>0</v>
      </c>
      <c r="S54" s="361">
        <f t="shared" si="5"/>
        <v>0</v>
      </c>
    </row>
    <row r="55" spans="1:19">
      <c r="A55" s="159">
        <v>805</v>
      </c>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0.2</v>
      </c>
      <c r="R55" s="716">
        <f t="shared" si="14"/>
        <v>0</v>
      </c>
      <c r="S55" s="361">
        <f t="shared" si="5"/>
        <v>0</v>
      </c>
    </row>
    <row r="56" spans="1:19">
      <c r="A56" s="159">
        <v>806</v>
      </c>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0.2</v>
      </c>
      <c r="R56" s="716">
        <f t="shared" si="14"/>
        <v>0</v>
      </c>
      <c r="S56" s="361">
        <f t="shared" si="5"/>
        <v>0</v>
      </c>
    </row>
    <row r="57" spans="1:19">
      <c r="A57" s="159">
        <v>807</v>
      </c>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0.2</v>
      </c>
      <c r="R57" s="716">
        <f t="shared" si="14"/>
        <v>0</v>
      </c>
      <c r="S57" s="361">
        <f t="shared" si="5"/>
        <v>0</v>
      </c>
    </row>
    <row r="58" spans="1:19">
      <c r="A58" s="159">
        <v>808</v>
      </c>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0.2</v>
      </c>
      <c r="R58" s="716">
        <f t="shared" si="14"/>
        <v>0</v>
      </c>
      <c r="S58" s="361">
        <f t="shared" si="5"/>
        <v>0</v>
      </c>
    </row>
    <row r="59" spans="1:19">
      <c r="A59" s="159">
        <v>901</v>
      </c>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0.2</v>
      </c>
      <c r="R59" s="716">
        <f t="shared" si="14"/>
        <v>0</v>
      </c>
      <c r="S59" s="361">
        <f t="shared" si="5"/>
        <v>0</v>
      </c>
    </row>
    <row r="60" spans="1:19">
      <c r="A60" s="159">
        <v>902</v>
      </c>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0.2</v>
      </c>
      <c r="R60" s="716">
        <f t="shared" si="14"/>
        <v>0</v>
      </c>
      <c r="S60" s="361">
        <f t="shared" si="5"/>
        <v>0</v>
      </c>
    </row>
    <row r="61" spans="1:19">
      <c r="A61" s="159">
        <v>903</v>
      </c>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0.2</v>
      </c>
      <c r="R61" s="716">
        <f t="shared" si="14"/>
        <v>0</v>
      </c>
      <c r="S61" s="361">
        <f t="shared" si="5"/>
        <v>0</v>
      </c>
    </row>
    <row r="62" spans="1:19">
      <c r="A62" s="159">
        <v>905</v>
      </c>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0.2</v>
      </c>
      <c r="R62" s="716">
        <f t="shared" si="14"/>
        <v>0</v>
      </c>
      <c r="S62" s="361">
        <f t="shared" si="5"/>
        <v>0</v>
      </c>
    </row>
    <row r="63" spans="1:19">
      <c r="A63" s="159">
        <v>906</v>
      </c>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0.2</v>
      </c>
      <c r="R63" s="716">
        <f t="shared" si="14"/>
        <v>0</v>
      </c>
      <c r="S63" s="361">
        <f t="shared" si="5"/>
        <v>0</v>
      </c>
    </row>
    <row r="64" spans="1:19">
      <c r="A64" s="159">
        <v>907</v>
      </c>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0.2</v>
      </c>
      <c r="R64" s="716">
        <f t="shared" si="14"/>
        <v>0</v>
      </c>
      <c r="S64" s="361">
        <f t="shared" si="5"/>
        <v>0</v>
      </c>
    </row>
    <row r="65" spans="1:19">
      <c r="A65" s="159">
        <v>908</v>
      </c>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0.2</v>
      </c>
      <c r="R65" s="716">
        <f t="shared" si="14"/>
        <v>0</v>
      </c>
      <c r="S65" s="361">
        <f t="shared" si="5"/>
        <v>0</v>
      </c>
    </row>
    <row r="66" spans="1:19">
      <c r="A66" s="159">
        <v>1001</v>
      </c>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0.2</v>
      </c>
      <c r="R66" s="716">
        <f t="shared" si="14"/>
        <v>0</v>
      </c>
      <c r="S66" s="361">
        <f t="shared" si="5"/>
        <v>0</v>
      </c>
    </row>
    <row r="67" spans="1:19">
      <c r="A67" s="159">
        <v>1002</v>
      </c>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0.2</v>
      </c>
      <c r="R67" s="716">
        <f t="shared" si="14"/>
        <v>0</v>
      </c>
      <c r="S67" s="361">
        <f t="shared" si="5"/>
        <v>0</v>
      </c>
    </row>
    <row r="68" spans="1:19">
      <c r="A68" s="159">
        <v>1003</v>
      </c>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0.2</v>
      </c>
      <c r="R68" s="716">
        <f t="shared" si="14"/>
        <v>0</v>
      </c>
      <c r="S68" s="361">
        <f t="shared" si="5"/>
        <v>0</v>
      </c>
    </row>
    <row r="69" spans="1:19">
      <c r="A69" s="159">
        <v>1005</v>
      </c>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0.2</v>
      </c>
      <c r="R69" s="716">
        <f t="shared" si="14"/>
        <v>0</v>
      </c>
      <c r="S69" s="361">
        <f t="shared" si="5"/>
        <v>0</v>
      </c>
    </row>
    <row r="70" spans="1:19">
      <c r="A70" s="159">
        <v>1006</v>
      </c>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0.2</v>
      </c>
      <c r="R70" s="716">
        <f t="shared" si="14"/>
        <v>0</v>
      </c>
      <c r="S70" s="361">
        <f t="shared" si="5"/>
        <v>0</v>
      </c>
    </row>
    <row r="71" spans="1:19">
      <c r="A71" s="159">
        <v>1007</v>
      </c>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0.2</v>
      </c>
      <c r="R71" s="716">
        <f t="shared" si="14"/>
        <v>0</v>
      </c>
      <c r="S71" s="361">
        <f t="shared" si="5"/>
        <v>0</v>
      </c>
    </row>
    <row r="72" spans="1:19">
      <c r="A72" s="159">
        <v>1008</v>
      </c>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0.2</v>
      </c>
      <c r="R72" s="716">
        <f t="shared" si="14"/>
        <v>0</v>
      </c>
      <c r="S72" s="361">
        <f t="shared" si="5"/>
        <v>0</v>
      </c>
    </row>
    <row r="73" spans="1:19">
      <c r="A73" s="159">
        <v>1101</v>
      </c>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0.2</v>
      </c>
      <c r="R73" s="716">
        <f t="shared" si="14"/>
        <v>0</v>
      </c>
      <c r="S73" s="361">
        <f t="shared" si="5"/>
        <v>0</v>
      </c>
    </row>
    <row r="74" spans="1:19">
      <c r="A74" s="159">
        <v>1102</v>
      </c>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0.2</v>
      </c>
      <c r="R74" s="716">
        <f t="shared" si="14"/>
        <v>0</v>
      </c>
      <c r="S74" s="361">
        <f t="shared" si="5"/>
        <v>0</v>
      </c>
    </row>
    <row r="75" spans="1:19">
      <c r="A75" s="159">
        <v>1103</v>
      </c>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0.2</v>
      </c>
      <c r="R75" s="716">
        <f t="shared" si="14"/>
        <v>0</v>
      </c>
      <c r="S75" s="361">
        <f t="shared" si="5"/>
        <v>0</v>
      </c>
    </row>
    <row r="76" spans="1:19">
      <c r="A76" s="159">
        <v>1105</v>
      </c>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0.2</v>
      </c>
      <c r="R76" s="716">
        <f t="shared" si="14"/>
        <v>0</v>
      </c>
      <c r="S76" s="361">
        <f t="shared" si="5"/>
        <v>0</v>
      </c>
    </row>
    <row r="77" spans="1:19">
      <c r="A77" s="159">
        <v>1106</v>
      </c>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0.2</v>
      </c>
      <c r="R77" s="716">
        <f t="shared" si="14"/>
        <v>0</v>
      </c>
      <c r="S77" s="361">
        <f t="shared" si="5"/>
        <v>0</v>
      </c>
    </row>
    <row r="78" spans="1:19">
      <c r="A78" s="159">
        <v>1107</v>
      </c>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0.2</v>
      </c>
      <c r="R78" s="716">
        <f t="shared" si="14"/>
        <v>0</v>
      </c>
      <c r="S78" s="361">
        <f t="shared" si="5"/>
        <v>0</v>
      </c>
    </row>
    <row r="79" spans="1:19">
      <c r="A79" s="159">
        <v>1108</v>
      </c>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0.2</v>
      </c>
      <c r="R79" s="716">
        <f t="shared" si="14"/>
        <v>0</v>
      </c>
      <c r="S79" s="361">
        <f t="shared" si="5"/>
        <v>0</v>
      </c>
    </row>
    <row r="80" spans="1:19">
      <c r="A80" s="159">
        <v>1201</v>
      </c>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0.2</v>
      </c>
      <c r="R80" s="716">
        <f t="shared" si="14"/>
        <v>0</v>
      </c>
      <c r="S80" s="361">
        <f t="shared" si="5"/>
        <v>0</v>
      </c>
    </row>
    <row r="81" spans="1:19">
      <c r="A81" s="159">
        <v>1202</v>
      </c>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0.2</v>
      </c>
      <c r="R81" s="716">
        <f t="shared" si="14"/>
        <v>0</v>
      </c>
      <c r="S81" s="361">
        <f t="shared" si="5"/>
        <v>0</v>
      </c>
    </row>
    <row r="82" spans="1:19">
      <c r="A82" s="159">
        <v>1203</v>
      </c>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0.2</v>
      </c>
      <c r="R82" s="716">
        <f t="shared" si="14"/>
        <v>0</v>
      </c>
      <c r="S82" s="361">
        <f t="shared" si="5"/>
        <v>0</v>
      </c>
    </row>
    <row r="83" spans="1:19">
      <c r="A83" s="159">
        <v>1205</v>
      </c>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0.2</v>
      </c>
      <c r="R83" s="716">
        <f t="shared" si="14"/>
        <v>0</v>
      </c>
      <c r="S83" s="361">
        <f t="shared" si="5"/>
        <v>0</v>
      </c>
    </row>
    <row r="84" spans="1:19">
      <c r="A84" s="159">
        <v>1206</v>
      </c>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0.2</v>
      </c>
      <c r="R84" s="716">
        <f t="shared" si="14"/>
        <v>0</v>
      </c>
      <c r="S84" s="361">
        <f t="shared" si="5"/>
        <v>0</v>
      </c>
    </row>
    <row r="85" spans="1:19">
      <c r="A85" s="159">
        <v>1207</v>
      </c>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0.2</v>
      </c>
      <c r="R85" s="716">
        <f t="shared" si="14"/>
        <v>0</v>
      </c>
      <c r="S85" s="361">
        <f t="shared" si="5"/>
        <v>0</v>
      </c>
    </row>
    <row r="86" spans="1:19">
      <c r="A86" s="159">
        <v>1208</v>
      </c>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0.2</v>
      </c>
      <c r="R86" s="716">
        <f t="shared" si="14"/>
        <v>0</v>
      </c>
      <c r="S86" s="361">
        <f t="shared" si="5"/>
        <v>0</v>
      </c>
    </row>
    <row r="87" spans="1:19">
      <c r="A87" s="159">
        <v>1301</v>
      </c>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0.2</v>
      </c>
      <c r="R87" s="716">
        <f t="shared" si="14"/>
        <v>0</v>
      </c>
      <c r="S87" s="361">
        <f t="shared" si="5"/>
        <v>0</v>
      </c>
    </row>
    <row r="88" spans="1:19">
      <c r="A88" s="159">
        <v>1302</v>
      </c>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0.2</v>
      </c>
      <c r="R88" s="716">
        <f t="shared" si="14"/>
        <v>0</v>
      </c>
      <c r="S88" s="361">
        <f t="shared" ref="S88:S151" si="15">ROUND(R88*B88/10000,0)</f>
        <v>0</v>
      </c>
    </row>
    <row r="89" spans="1:19">
      <c r="A89" s="159">
        <v>1303</v>
      </c>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0.2</v>
      </c>
      <c r="R89" s="716">
        <f t="shared" si="14"/>
        <v>0</v>
      </c>
      <c r="S89" s="361">
        <f t="shared" si="15"/>
        <v>0</v>
      </c>
    </row>
    <row r="90" spans="1:19">
      <c r="A90" s="159">
        <v>1305</v>
      </c>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0.2</v>
      </c>
      <c r="R90" s="716">
        <f t="shared" ref="R90:R153" si="24">IF(B90="",0,ROUND($R$24*C90*E90*G90*I90*K90*M90*O90*Q90,0))</f>
        <v>0</v>
      </c>
      <c r="S90" s="361">
        <f t="shared" si="15"/>
        <v>0</v>
      </c>
    </row>
    <row r="91" spans="1:19">
      <c r="A91" s="159">
        <v>1306</v>
      </c>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0.2</v>
      </c>
      <c r="R91" s="716">
        <f t="shared" si="24"/>
        <v>0</v>
      </c>
      <c r="S91" s="361">
        <f t="shared" si="15"/>
        <v>0</v>
      </c>
    </row>
    <row r="92" spans="1:19">
      <c r="A92" s="159">
        <v>1307</v>
      </c>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0.2</v>
      </c>
      <c r="R92" s="716">
        <f t="shared" si="24"/>
        <v>0</v>
      </c>
      <c r="S92" s="361">
        <f t="shared" si="15"/>
        <v>0</v>
      </c>
    </row>
    <row r="93" spans="1:19">
      <c r="A93" s="159">
        <v>1308</v>
      </c>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0.2</v>
      </c>
      <c r="R93" s="716">
        <f t="shared" si="24"/>
        <v>0</v>
      </c>
      <c r="S93" s="361">
        <f t="shared" si="15"/>
        <v>0</v>
      </c>
    </row>
    <row r="94" spans="1:19">
      <c r="A94" s="159">
        <v>1501</v>
      </c>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0.2</v>
      </c>
      <c r="R94" s="716">
        <f t="shared" si="24"/>
        <v>0</v>
      </c>
      <c r="S94" s="361">
        <f t="shared" si="15"/>
        <v>0</v>
      </c>
    </row>
    <row r="95" spans="1:19">
      <c r="A95" s="159">
        <v>1502</v>
      </c>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0.2</v>
      </c>
      <c r="R95" s="716">
        <f t="shared" si="24"/>
        <v>0</v>
      </c>
      <c r="S95" s="361">
        <f t="shared" si="15"/>
        <v>0</v>
      </c>
    </row>
    <row r="96" spans="1:19">
      <c r="A96" s="159">
        <v>1503</v>
      </c>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0.2</v>
      </c>
      <c r="R96" s="716">
        <f t="shared" si="24"/>
        <v>0</v>
      </c>
      <c r="S96" s="361">
        <f t="shared" si="15"/>
        <v>0</v>
      </c>
    </row>
    <row r="97" spans="1:19">
      <c r="A97" s="159">
        <v>1505</v>
      </c>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0.2</v>
      </c>
      <c r="R97" s="716">
        <f t="shared" si="24"/>
        <v>0</v>
      </c>
      <c r="S97" s="361">
        <f t="shared" si="15"/>
        <v>0</v>
      </c>
    </row>
    <row r="98" spans="1:19">
      <c r="A98" s="159">
        <v>1506</v>
      </c>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0.2</v>
      </c>
      <c r="R98" s="716">
        <f t="shared" si="24"/>
        <v>0</v>
      </c>
      <c r="S98" s="361">
        <f t="shared" si="15"/>
        <v>0</v>
      </c>
    </row>
    <row r="99" spans="1:19">
      <c r="A99" s="159">
        <v>1507</v>
      </c>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0.2</v>
      </c>
      <c r="R99" s="716">
        <f t="shared" si="24"/>
        <v>0</v>
      </c>
      <c r="S99" s="361">
        <f t="shared" si="15"/>
        <v>0</v>
      </c>
    </row>
    <row r="100" spans="1:19">
      <c r="A100" s="159">
        <v>1508</v>
      </c>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0.2</v>
      </c>
      <c r="R100" s="716">
        <f t="shared" si="24"/>
        <v>0</v>
      </c>
      <c r="S100" s="361">
        <f t="shared" si="15"/>
        <v>0</v>
      </c>
    </row>
    <row r="101" spans="1:19">
      <c r="A101" s="159">
        <v>1601</v>
      </c>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0.2</v>
      </c>
      <c r="R101" s="716">
        <f t="shared" si="24"/>
        <v>0</v>
      </c>
      <c r="S101" s="361">
        <f t="shared" si="15"/>
        <v>0</v>
      </c>
    </row>
    <row r="102" spans="1:19">
      <c r="A102" s="159">
        <v>1602</v>
      </c>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0.2</v>
      </c>
      <c r="R102" s="716">
        <f t="shared" si="24"/>
        <v>0</v>
      </c>
      <c r="S102" s="361">
        <f t="shared" si="15"/>
        <v>0</v>
      </c>
    </row>
    <row r="103" spans="1:19">
      <c r="A103" s="159">
        <v>1603</v>
      </c>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0.2</v>
      </c>
      <c r="R103" s="716">
        <f t="shared" si="24"/>
        <v>0</v>
      </c>
      <c r="S103" s="361">
        <f t="shared" si="15"/>
        <v>0</v>
      </c>
    </row>
    <row r="104" spans="1:19">
      <c r="A104" s="159">
        <v>1605</v>
      </c>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0.2</v>
      </c>
      <c r="R104" s="716">
        <f t="shared" si="24"/>
        <v>0</v>
      </c>
      <c r="S104" s="361">
        <f t="shared" si="15"/>
        <v>0</v>
      </c>
    </row>
    <row r="105" spans="1:19">
      <c r="A105" s="159">
        <v>1606</v>
      </c>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0.2</v>
      </c>
      <c r="R105" s="716">
        <f t="shared" si="24"/>
        <v>0</v>
      </c>
      <c r="S105" s="361">
        <f t="shared" si="15"/>
        <v>0</v>
      </c>
    </row>
    <row r="106" spans="1:19">
      <c r="A106" s="159">
        <v>1607</v>
      </c>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0.2</v>
      </c>
      <c r="R106" s="716">
        <f t="shared" si="24"/>
        <v>0</v>
      </c>
      <c r="S106" s="361">
        <f t="shared" si="15"/>
        <v>0</v>
      </c>
    </row>
    <row r="107" spans="1:19">
      <c r="A107" s="159">
        <v>1608</v>
      </c>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0.2</v>
      </c>
      <c r="R107" s="716">
        <f t="shared" si="24"/>
        <v>0</v>
      </c>
      <c r="S107" s="361">
        <f t="shared" si="15"/>
        <v>0</v>
      </c>
    </row>
    <row r="108" spans="1:19">
      <c r="A108" s="159">
        <v>1701</v>
      </c>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0.2</v>
      </c>
      <c r="R108" s="716">
        <f t="shared" si="24"/>
        <v>0</v>
      </c>
      <c r="S108" s="361">
        <f t="shared" si="15"/>
        <v>0</v>
      </c>
    </row>
    <row r="109" spans="1:19">
      <c r="A109" s="159">
        <v>1702</v>
      </c>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0.2</v>
      </c>
      <c r="R109" s="716">
        <f t="shared" si="24"/>
        <v>0</v>
      </c>
      <c r="S109" s="361">
        <f t="shared" si="15"/>
        <v>0</v>
      </c>
    </row>
    <row r="110" spans="1:19">
      <c r="A110" s="159">
        <v>1703</v>
      </c>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0.2</v>
      </c>
      <c r="R110" s="716">
        <f t="shared" si="24"/>
        <v>0</v>
      </c>
      <c r="S110" s="361">
        <f t="shared" si="15"/>
        <v>0</v>
      </c>
    </row>
    <row r="111" spans="1:19">
      <c r="A111" s="159">
        <v>1705</v>
      </c>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0.2</v>
      </c>
      <c r="R111" s="716">
        <f t="shared" si="24"/>
        <v>0</v>
      </c>
      <c r="S111" s="361">
        <f t="shared" si="15"/>
        <v>0</v>
      </c>
    </row>
    <row r="112" spans="1:19">
      <c r="A112" s="159">
        <v>1706</v>
      </c>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0.2</v>
      </c>
      <c r="R112" s="716">
        <f t="shared" si="24"/>
        <v>0</v>
      </c>
      <c r="S112" s="361">
        <f t="shared" si="15"/>
        <v>0</v>
      </c>
    </row>
    <row r="113" spans="1:19">
      <c r="A113" s="159">
        <v>1707</v>
      </c>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0.2</v>
      </c>
      <c r="R113" s="716">
        <f t="shared" si="24"/>
        <v>0</v>
      </c>
      <c r="S113" s="361">
        <f t="shared" si="15"/>
        <v>0</v>
      </c>
    </row>
    <row r="114" spans="1:19">
      <c r="A114" s="159">
        <v>1708</v>
      </c>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0.2</v>
      </c>
      <c r="R114" s="716">
        <f t="shared" si="24"/>
        <v>0</v>
      </c>
      <c r="S114" s="361">
        <f t="shared" si="15"/>
        <v>0</v>
      </c>
    </row>
    <row r="115" spans="1:19">
      <c r="A115" s="159">
        <v>1801</v>
      </c>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0.2</v>
      </c>
      <c r="R115" s="716">
        <f t="shared" si="24"/>
        <v>0</v>
      </c>
      <c r="S115" s="361">
        <f t="shared" si="15"/>
        <v>0</v>
      </c>
    </row>
    <row r="116" spans="1:19">
      <c r="A116" s="159">
        <v>1802</v>
      </c>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0.2</v>
      </c>
      <c r="R116" s="716">
        <f t="shared" si="24"/>
        <v>0</v>
      </c>
      <c r="S116" s="361">
        <f t="shared" si="15"/>
        <v>0</v>
      </c>
    </row>
    <row r="117" spans="1:19">
      <c r="A117" s="159">
        <v>1803</v>
      </c>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0.2</v>
      </c>
      <c r="R117" s="716">
        <f t="shared" si="24"/>
        <v>0</v>
      </c>
      <c r="S117" s="361">
        <f t="shared" si="15"/>
        <v>0</v>
      </c>
    </row>
    <row r="118" spans="1:19">
      <c r="A118" s="159">
        <v>1805</v>
      </c>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0.2</v>
      </c>
      <c r="R118" s="716">
        <f t="shared" si="24"/>
        <v>0</v>
      </c>
      <c r="S118" s="361">
        <f t="shared" si="15"/>
        <v>0</v>
      </c>
    </row>
    <row r="119" spans="1:19">
      <c r="A119" s="159">
        <v>1806</v>
      </c>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0.2</v>
      </c>
      <c r="R119" s="716">
        <f t="shared" si="24"/>
        <v>0</v>
      </c>
      <c r="S119" s="361">
        <f t="shared" si="15"/>
        <v>0</v>
      </c>
    </row>
    <row r="120" spans="1:19">
      <c r="A120" s="159">
        <v>1807</v>
      </c>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0.2</v>
      </c>
      <c r="R120" s="716">
        <f t="shared" si="24"/>
        <v>0</v>
      </c>
      <c r="S120" s="361">
        <f t="shared" si="15"/>
        <v>0</v>
      </c>
    </row>
    <row r="121" spans="1:19">
      <c r="A121" s="159">
        <v>1808</v>
      </c>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0.2</v>
      </c>
      <c r="R121" s="716">
        <f t="shared" si="24"/>
        <v>0</v>
      </c>
      <c r="S121" s="361">
        <f t="shared" si="15"/>
        <v>0</v>
      </c>
    </row>
    <row r="122" spans="1:19">
      <c r="A122" s="159">
        <v>1901</v>
      </c>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0.2</v>
      </c>
      <c r="R122" s="716">
        <f t="shared" si="24"/>
        <v>0</v>
      </c>
      <c r="S122" s="361">
        <f t="shared" si="15"/>
        <v>0</v>
      </c>
    </row>
    <row r="123" spans="1:19">
      <c r="A123" s="159">
        <v>1902</v>
      </c>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0.2</v>
      </c>
      <c r="R123" s="716">
        <f t="shared" si="24"/>
        <v>0</v>
      </c>
      <c r="S123" s="361">
        <f t="shared" si="15"/>
        <v>0</v>
      </c>
    </row>
    <row r="124" spans="1:19">
      <c r="A124" s="159">
        <v>1903</v>
      </c>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0.2</v>
      </c>
      <c r="R124" s="716">
        <f t="shared" si="24"/>
        <v>0</v>
      </c>
      <c r="S124" s="361">
        <f t="shared" si="15"/>
        <v>0</v>
      </c>
    </row>
    <row r="125" spans="1:19">
      <c r="A125" s="159">
        <v>1905</v>
      </c>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0.2</v>
      </c>
      <c r="R125" s="716">
        <f t="shared" si="24"/>
        <v>0</v>
      </c>
      <c r="S125" s="361">
        <f t="shared" si="15"/>
        <v>0</v>
      </c>
    </row>
    <row r="126" spans="1:19">
      <c r="A126" s="159">
        <v>1906</v>
      </c>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0.2</v>
      </c>
      <c r="R126" s="716">
        <f t="shared" si="24"/>
        <v>0</v>
      </c>
      <c r="S126" s="361">
        <f t="shared" si="15"/>
        <v>0</v>
      </c>
    </row>
    <row r="127" spans="1:19">
      <c r="A127" s="159">
        <v>1907</v>
      </c>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0.2</v>
      </c>
      <c r="R127" s="716">
        <f t="shared" si="24"/>
        <v>0</v>
      </c>
      <c r="S127" s="361">
        <f t="shared" si="15"/>
        <v>0</v>
      </c>
    </row>
    <row r="128" spans="1:19">
      <c r="A128" s="159">
        <v>1908</v>
      </c>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0.2</v>
      </c>
      <c r="R128" s="716">
        <f t="shared" si="24"/>
        <v>0</v>
      </c>
      <c r="S128" s="361">
        <f t="shared" si="15"/>
        <v>0</v>
      </c>
    </row>
    <row r="129" spans="1:19">
      <c r="A129" s="159">
        <v>2001</v>
      </c>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0.2</v>
      </c>
      <c r="R129" s="716">
        <f t="shared" si="24"/>
        <v>0</v>
      </c>
      <c r="S129" s="361">
        <f t="shared" si="15"/>
        <v>0</v>
      </c>
    </row>
    <row r="130" spans="1:19">
      <c r="A130" s="159">
        <v>2002</v>
      </c>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0.2</v>
      </c>
      <c r="R130" s="716">
        <f t="shared" si="24"/>
        <v>0</v>
      </c>
      <c r="S130" s="361">
        <f t="shared" si="15"/>
        <v>0</v>
      </c>
    </row>
    <row r="131" spans="1:19">
      <c r="A131" s="159">
        <v>2003</v>
      </c>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0.2</v>
      </c>
      <c r="R131" s="716">
        <f t="shared" si="24"/>
        <v>0</v>
      </c>
      <c r="S131" s="361">
        <f t="shared" si="15"/>
        <v>0</v>
      </c>
    </row>
    <row r="132" spans="1:19">
      <c r="A132" s="159">
        <v>2005</v>
      </c>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0.2</v>
      </c>
      <c r="R132" s="716">
        <f t="shared" si="24"/>
        <v>0</v>
      </c>
      <c r="S132" s="361">
        <f t="shared" si="15"/>
        <v>0</v>
      </c>
    </row>
    <row r="133" spans="1:19">
      <c r="A133" s="159">
        <v>2006</v>
      </c>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0.2</v>
      </c>
      <c r="R133" s="716">
        <f t="shared" si="24"/>
        <v>0</v>
      </c>
      <c r="S133" s="361">
        <f t="shared" si="15"/>
        <v>0</v>
      </c>
    </row>
    <row r="134" spans="1:19">
      <c r="A134" s="159">
        <v>2007</v>
      </c>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0.2</v>
      </c>
      <c r="R134" s="716">
        <f t="shared" si="24"/>
        <v>0</v>
      </c>
      <c r="S134" s="361">
        <f t="shared" si="15"/>
        <v>0</v>
      </c>
    </row>
    <row r="135" spans="1:19">
      <c r="A135" s="159">
        <v>2008</v>
      </c>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0.2</v>
      </c>
      <c r="R135" s="716">
        <f t="shared" si="24"/>
        <v>0</v>
      </c>
      <c r="S135" s="361">
        <f t="shared" si="15"/>
        <v>0</v>
      </c>
    </row>
    <row r="136" spans="1:19">
      <c r="A136" s="159">
        <v>2101</v>
      </c>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0.2</v>
      </c>
      <c r="R136" s="716">
        <f t="shared" si="24"/>
        <v>0</v>
      </c>
      <c r="S136" s="361">
        <f t="shared" si="15"/>
        <v>0</v>
      </c>
    </row>
    <row r="137" spans="1:19">
      <c r="A137" s="159">
        <v>2102</v>
      </c>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0.2</v>
      </c>
      <c r="R137" s="716">
        <f t="shared" si="24"/>
        <v>0</v>
      </c>
      <c r="S137" s="361">
        <f t="shared" si="15"/>
        <v>0</v>
      </c>
    </row>
    <row r="138" spans="1:19">
      <c r="A138" s="159">
        <v>2103</v>
      </c>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0.2</v>
      </c>
      <c r="R138" s="716">
        <f t="shared" si="24"/>
        <v>0</v>
      </c>
      <c r="S138" s="361">
        <f t="shared" si="15"/>
        <v>0</v>
      </c>
    </row>
    <row r="139" spans="1:19">
      <c r="A139" s="159">
        <v>2105</v>
      </c>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0.2</v>
      </c>
      <c r="R139" s="716">
        <f t="shared" si="24"/>
        <v>0</v>
      </c>
      <c r="S139" s="361">
        <f t="shared" si="15"/>
        <v>0</v>
      </c>
    </row>
    <row r="140" spans="1:19">
      <c r="A140" s="159">
        <v>2106</v>
      </c>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0.2</v>
      </c>
      <c r="R140" s="716">
        <f t="shared" si="24"/>
        <v>0</v>
      </c>
      <c r="S140" s="361">
        <f t="shared" si="15"/>
        <v>0</v>
      </c>
    </row>
    <row r="141" spans="1:19">
      <c r="A141" s="159">
        <v>2107</v>
      </c>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0.2</v>
      </c>
      <c r="R141" s="716">
        <f t="shared" si="24"/>
        <v>0</v>
      </c>
      <c r="S141" s="361">
        <f t="shared" si="15"/>
        <v>0</v>
      </c>
    </row>
    <row r="142" spans="1:19">
      <c r="A142" s="159">
        <v>2108</v>
      </c>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0.2</v>
      </c>
      <c r="R142" s="716">
        <f t="shared" si="24"/>
        <v>0</v>
      </c>
      <c r="S142" s="361">
        <f t="shared" si="15"/>
        <v>0</v>
      </c>
    </row>
    <row r="143" spans="1:19">
      <c r="A143" s="159">
        <v>2201</v>
      </c>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0.2</v>
      </c>
      <c r="R143" s="716">
        <f t="shared" si="24"/>
        <v>0</v>
      </c>
      <c r="S143" s="361">
        <f t="shared" si="15"/>
        <v>0</v>
      </c>
    </row>
    <row r="144" spans="1:19">
      <c r="A144" s="159">
        <v>2202</v>
      </c>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0.2</v>
      </c>
      <c r="R144" s="716">
        <f t="shared" si="24"/>
        <v>0</v>
      </c>
      <c r="S144" s="361">
        <f t="shared" si="15"/>
        <v>0</v>
      </c>
    </row>
    <row r="145" spans="1:19">
      <c r="A145" s="159">
        <v>2203</v>
      </c>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0.2</v>
      </c>
      <c r="R145" s="716">
        <f t="shared" si="24"/>
        <v>0</v>
      </c>
      <c r="S145" s="361">
        <f t="shared" si="15"/>
        <v>0</v>
      </c>
    </row>
    <row r="146" spans="1:19">
      <c r="A146" s="159">
        <v>2205</v>
      </c>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0.2</v>
      </c>
      <c r="R146" s="716">
        <f t="shared" si="24"/>
        <v>0</v>
      </c>
      <c r="S146" s="361">
        <f t="shared" si="15"/>
        <v>0</v>
      </c>
    </row>
    <row r="147" spans="1:19">
      <c r="A147" s="159">
        <v>2206</v>
      </c>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0.2</v>
      </c>
      <c r="R147" s="716">
        <f t="shared" si="24"/>
        <v>0</v>
      </c>
      <c r="S147" s="361">
        <f t="shared" si="15"/>
        <v>0</v>
      </c>
    </row>
    <row r="148" spans="1:19">
      <c r="A148" s="159">
        <v>2207</v>
      </c>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0.2</v>
      </c>
      <c r="R148" s="716">
        <f t="shared" si="24"/>
        <v>0</v>
      </c>
      <c r="S148" s="361">
        <f t="shared" si="15"/>
        <v>0</v>
      </c>
    </row>
    <row r="149" spans="1:19">
      <c r="A149" s="159">
        <v>2208</v>
      </c>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0.2</v>
      </c>
      <c r="R149" s="716">
        <f t="shared" si="24"/>
        <v>0</v>
      </c>
      <c r="S149" s="361">
        <f t="shared" si="15"/>
        <v>0</v>
      </c>
    </row>
    <row r="150" spans="1:19">
      <c r="A150" s="159">
        <v>2301</v>
      </c>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0.2</v>
      </c>
      <c r="R150" s="716">
        <f t="shared" si="24"/>
        <v>0</v>
      </c>
      <c r="S150" s="361">
        <f t="shared" si="15"/>
        <v>0</v>
      </c>
    </row>
    <row r="151" spans="1:19">
      <c r="A151" s="159">
        <v>2302</v>
      </c>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0.2</v>
      </c>
      <c r="R151" s="716">
        <f t="shared" si="24"/>
        <v>0</v>
      </c>
      <c r="S151" s="361">
        <f t="shared" si="15"/>
        <v>0</v>
      </c>
    </row>
    <row r="152" spans="1:19">
      <c r="A152" s="159">
        <v>2303</v>
      </c>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0.2</v>
      </c>
      <c r="R152" s="716">
        <f t="shared" si="24"/>
        <v>0</v>
      </c>
      <c r="S152" s="361">
        <f t="shared" ref="S152:S215" si="25">ROUND(R152*B152/10000,0)</f>
        <v>0</v>
      </c>
    </row>
    <row r="153" spans="1:19">
      <c r="A153" s="159">
        <v>2305</v>
      </c>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0.2</v>
      </c>
      <c r="R153" s="716">
        <f t="shared" si="24"/>
        <v>0</v>
      </c>
      <c r="S153" s="361">
        <f t="shared" si="25"/>
        <v>0</v>
      </c>
    </row>
    <row r="154" spans="1:19">
      <c r="A154" s="159">
        <v>2306</v>
      </c>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0.2</v>
      </c>
      <c r="R154" s="716">
        <f t="shared" ref="R154:R217" si="34">IF(B154="",0,ROUND($R$24*C154*E154*G154*I154*K154*M154*O154*Q154,0))</f>
        <v>0</v>
      </c>
      <c r="S154" s="361">
        <f t="shared" si="25"/>
        <v>0</v>
      </c>
    </row>
    <row r="155" spans="1:19">
      <c r="A155" s="159">
        <v>2307</v>
      </c>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0.2</v>
      </c>
      <c r="R155" s="716">
        <f t="shared" si="34"/>
        <v>0</v>
      </c>
      <c r="S155" s="361">
        <f t="shared" si="25"/>
        <v>0</v>
      </c>
    </row>
    <row r="156" spans="1:19">
      <c r="A156" s="159">
        <v>2308</v>
      </c>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0.2</v>
      </c>
      <c r="R156" s="716">
        <f t="shared" si="34"/>
        <v>0</v>
      </c>
      <c r="S156" s="361">
        <f t="shared" si="25"/>
        <v>0</v>
      </c>
    </row>
    <row r="157" spans="1:19">
      <c r="A157" s="159">
        <v>2501</v>
      </c>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0.2</v>
      </c>
      <c r="R157" s="716">
        <f t="shared" si="34"/>
        <v>0</v>
      </c>
      <c r="S157" s="361">
        <f t="shared" si="25"/>
        <v>0</v>
      </c>
    </row>
    <row r="158" spans="1:19">
      <c r="A158" s="159">
        <v>2502</v>
      </c>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0.2</v>
      </c>
      <c r="R158" s="716">
        <f t="shared" si="34"/>
        <v>0</v>
      </c>
      <c r="S158" s="361">
        <f t="shared" si="25"/>
        <v>0</v>
      </c>
    </row>
    <row r="159" spans="1:19">
      <c r="A159" s="159">
        <v>2503</v>
      </c>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0.2</v>
      </c>
      <c r="R159" s="716">
        <f t="shared" si="34"/>
        <v>0</v>
      </c>
      <c r="S159" s="361">
        <f t="shared" si="25"/>
        <v>0</v>
      </c>
    </row>
    <row r="160" spans="1:19">
      <c r="A160" s="159">
        <v>2505</v>
      </c>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0.2</v>
      </c>
      <c r="R160" s="716">
        <f t="shared" si="34"/>
        <v>0</v>
      </c>
      <c r="S160" s="361">
        <f t="shared" si="25"/>
        <v>0</v>
      </c>
    </row>
    <row r="161" spans="1:19">
      <c r="A161" s="159">
        <v>2506</v>
      </c>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0.2</v>
      </c>
      <c r="R161" s="716">
        <f t="shared" si="34"/>
        <v>0</v>
      </c>
      <c r="S161" s="361">
        <f t="shared" si="25"/>
        <v>0</v>
      </c>
    </row>
    <row r="162" spans="1:19">
      <c r="A162" s="159">
        <v>2507</v>
      </c>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0.2</v>
      </c>
      <c r="R162" s="716">
        <f t="shared" si="34"/>
        <v>0</v>
      </c>
      <c r="S162" s="361">
        <f t="shared" si="25"/>
        <v>0</v>
      </c>
    </row>
    <row r="163" spans="1:19">
      <c r="A163" s="159">
        <v>2508</v>
      </c>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0.2</v>
      </c>
      <c r="R163" s="716">
        <f t="shared" si="34"/>
        <v>0</v>
      </c>
      <c r="S163" s="361">
        <f t="shared" si="25"/>
        <v>0</v>
      </c>
    </row>
    <row r="164" spans="1:19">
      <c r="A164" s="159">
        <v>2601</v>
      </c>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0.2</v>
      </c>
      <c r="R164" s="716">
        <f t="shared" si="34"/>
        <v>0</v>
      </c>
      <c r="S164" s="361">
        <f t="shared" si="25"/>
        <v>0</v>
      </c>
    </row>
    <row r="165" spans="1:19">
      <c r="A165" s="159">
        <v>2602</v>
      </c>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0.2</v>
      </c>
      <c r="R165" s="716">
        <f t="shared" si="34"/>
        <v>0</v>
      </c>
      <c r="S165" s="361">
        <f t="shared" si="25"/>
        <v>0</v>
      </c>
    </row>
    <row r="166" spans="1:19">
      <c r="A166" s="159">
        <v>2603</v>
      </c>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0.2</v>
      </c>
      <c r="R166" s="716">
        <f t="shared" si="34"/>
        <v>0</v>
      </c>
      <c r="S166" s="361">
        <f t="shared" si="25"/>
        <v>0</v>
      </c>
    </row>
    <row r="167" spans="1:19">
      <c r="A167" s="159">
        <v>2605</v>
      </c>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0.2</v>
      </c>
      <c r="R167" s="716">
        <f t="shared" si="34"/>
        <v>0</v>
      </c>
      <c r="S167" s="361">
        <f t="shared" si="25"/>
        <v>0</v>
      </c>
    </row>
    <row r="168" spans="1:19">
      <c r="A168" s="159">
        <v>2606</v>
      </c>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0.2</v>
      </c>
      <c r="R168" s="716">
        <f t="shared" si="34"/>
        <v>0</v>
      </c>
      <c r="S168" s="361">
        <f t="shared" si="25"/>
        <v>0</v>
      </c>
    </row>
    <row r="169" spans="1:19">
      <c r="A169" s="159">
        <v>2607</v>
      </c>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0.2</v>
      </c>
      <c r="R169" s="716">
        <f t="shared" si="34"/>
        <v>0</v>
      </c>
      <c r="S169" s="361">
        <f t="shared" si="25"/>
        <v>0</v>
      </c>
    </row>
    <row r="170" spans="1:19">
      <c r="A170" s="159">
        <v>2608</v>
      </c>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0.2</v>
      </c>
      <c r="R170" s="716">
        <f t="shared" si="34"/>
        <v>0</v>
      </c>
      <c r="S170" s="361">
        <f t="shared" si="25"/>
        <v>0</v>
      </c>
    </row>
    <row r="171" spans="1:19">
      <c r="A171" s="159">
        <v>2701</v>
      </c>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0.2</v>
      </c>
      <c r="R171" s="716">
        <f t="shared" si="34"/>
        <v>0</v>
      </c>
      <c r="S171" s="361">
        <f t="shared" si="25"/>
        <v>0</v>
      </c>
    </row>
    <row r="172" spans="1:19">
      <c r="A172" s="159">
        <v>2702</v>
      </c>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0.2</v>
      </c>
      <c r="R172" s="716">
        <f t="shared" si="34"/>
        <v>0</v>
      </c>
      <c r="S172" s="361">
        <f t="shared" si="25"/>
        <v>0</v>
      </c>
    </row>
    <row r="173" spans="1:19">
      <c r="A173" s="159">
        <v>2703</v>
      </c>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0.2</v>
      </c>
      <c r="R173" s="716">
        <f t="shared" si="34"/>
        <v>0</v>
      </c>
      <c r="S173" s="361">
        <f t="shared" si="25"/>
        <v>0</v>
      </c>
    </row>
    <row r="174" spans="1:19">
      <c r="A174" s="159">
        <v>2705</v>
      </c>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0.2</v>
      </c>
      <c r="R174" s="716">
        <f t="shared" si="34"/>
        <v>0</v>
      </c>
      <c r="S174" s="361">
        <f t="shared" si="25"/>
        <v>0</v>
      </c>
    </row>
    <row r="175" spans="1:19">
      <c r="A175" s="159">
        <v>2706</v>
      </c>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0.2</v>
      </c>
      <c r="R175" s="716">
        <f t="shared" si="34"/>
        <v>0</v>
      </c>
      <c r="S175" s="361">
        <f t="shared" si="25"/>
        <v>0</v>
      </c>
    </row>
    <row r="176" spans="1:19">
      <c r="A176" s="159">
        <v>2707</v>
      </c>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0.2</v>
      </c>
      <c r="R176" s="716">
        <f t="shared" si="34"/>
        <v>0</v>
      </c>
      <c r="S176" s="361">
        <f t="shared" si="25"/>
        <v>0</v>
      </c>
    </row>
    <row r="177" spans="1:19">
      <c r="A177" s="159">
        <v>2708</v>
      </c>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0.2</v>
      </c>
      <c r="R177" s="716">
        <f t="shared" si="34"/>
        <v>0</v>
      </c>
      <c r="S177" s="361">
        <f t="shared" si="25"/>
        <v>0</v>
      </c>
    </row>
    <row r="178" spans="1:19">
      <c r="A178" s="159">
        <v>2801</v>
      </c>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0.2</v>
      </c>
      <c r="R178" s="716">
        <f t="shared" si="34"/>
        <v>0</v>
      </c>
      <c r="S178" s="361">
        <f t="shared" si="25"/>
        <v>0</v>
      </c>
    </row>
    <row r="179" spans="1:19">
      <c r="A179" s="159">
        <v>2802</v>
      </c>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0.2</v>
      </c>
      <c r="R179" s="716">
        <f t="shared" si="34"/>
        <v>0</v>
      </c>
      <c r="S179" s="361">
        <f t="shared" si="25"/>
        <v>0</v>
      </c>
    </row>
    <row r="180" spans="1:19">
      <c r="A180" s="159">
        <v>2803</v>
      </c>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0.2</v>
      </c>
      <c r="R180" s="716">
        <f t="shared" si="34"/>
        <v>0</v>
      </c>
      <c r="S180" s="361">
        <f t="shared" si="25"/>
        <v>0</v>
      </c>
    </row>
    <row r="181" spans="1:19">
      <c r="A181" s="159">
        <v>2805</v>
      </c>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0.2</v>
      </c>
      <c r="R181" s="716">
        <f t="shared" si="34"/>
        <v>0</v>
      </c>
      <c r="S181" s="361">
        <f t="shared" si="25"/>
        <v>0</v>
      </c>
    </row>
    <row r="182" spans="1:19">
      <c r="A182" s="159">
        <v>2806</v>
      </c>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0.2</v>
      </c>
      <c r="R182" s="716">
        <f t="shared" si="34"/>
        <v>0</v>
      </c>
      <c r="S182" s="361">
        <f t="shared" si="25"/>
        <v>0</v>
      </c>
    </row>
    <row r="183" spans="1:19">
      <c r="A183" s="159">
        <v>2807</v>
      </c>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0.2</v>
      </c>
      <c r="R183" s="716">
        <f t="shared" si="34"/>
        <v>0</v>
      </c>
      <c r="S183" s="361">
        <f t="shared" si="25"/>
        <v>0</v>
      </c>
    </row>
    <row r="184" spans="1:19">
      <c r="A184" s="159">
        <v>2808</v>
      </c>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0.2</v>
      </c>
      <c r="R184" s="716">
        <f t="shared" si="34"/>
        <v>0</v>
      </c>
      <c r="S184" s="361">
        <f t="shared" si="25"/>
        <v>0</v>
      </c>
    </row>
    <row r="185" spans="1:19">
      <c r="A185" s="159">
        <v>2901</v>
      </c>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0.2</v>
      </c>
      <c r="R185" s="716">
        <f t="shared" si="34"/>
        <v>0</v>
      </c>
      <c r="S185" s="361">
        <f t="shared" si="25"/>
        <v>0</v>
      </c>
    </row>
    <row r="186" spans="1:19">
      <c r="A186" s="159">
        <v>2902</v>
      </c>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0.2</v>
      </c>
      <c r="R186" s="716">
        <f t="shared" si="34"/>
        <v>0</v>
      </c>
      <c r="S186" s="361">
        <f t="shared" si="25"/>
        <v>0</v>
      </c>
    </row>
    <row r="187" spans="1:19">
      <c r="A187" s="159">
        <v>2903</v>
      </c>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0.2</v>
      </c>
      <c r="R187" s="716">
        <f t="shared" si="34"/>
        <v>0</v>
      </c>
      <c r="S187" s="361">
        <f t="shared" si="25"/>
        <v>0</v>
      </c>
    </row>
    <row r="188" spans="1:19">
      <c r="A188" s="159">
        <v>2905</v>
      </c>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0.2</v>
      </c>
      <c r="R188" s="716">
        <f t="shared" si="34"/>
        <v>0</v>
      </c>
      <c r="S188" s="361">
        <f t="shared" si="25"/>
        <v>0</v>
      </c>
    </row>
    <row r="189" spans="1:19">
      <c r="A189" s="159">
        <v>2906</v>
      </c>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0.2</v>
      </c>
      <c r="R189" s="716">
        <f t="shared" si="34"/>
        <v>0</v>
      </c>
      <c r="S189" s="361">
        <f t="shared" si="25"/>
        <v>0</v>
      </c>
    </row>
    <row r="190" spans="1:19">
      <c r="A190" s="159">
        <v>2907</v>
      </c>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0.2</v>
      </c>
      <c r="R190" s="716">
        <f t="shared" si="34"/>
        <v>0</v>
      </c>
      <c r="S190" s="361">
        <f t="shared" si="25"/>
        <v>0</v>
      </c>
    </row>
    <row r="191" spans="1:19">
      <c r="A191" s="159">
        <v>2908</v>
      </c>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0.2</v>
      </c>
      <c r="R191" s="716">
        <f t="shared" si="34"/>
        <v>0</v>
      </c>
      <c r="S191" s="361">
        <f t="shared" si="25"/>
        <v>0</v>
      </c>
    </row>
    <row r="192" spans="1:19">
      <c r="A192" s="159">
        <v>3001</v>
      </c>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0.2</v>
      </c>
      <c r="R192" s="716">
        <f t="shared" si="34"/>
        <v>0</v>
      </c>
      <c r="S192" s="361">
        <f t="shared" si="25"/>
        <v>0</v>
      </c>
    </row>
    <row r="193" spans="1:19">
      <c r="A193" s="159">
        <v>3002</v>
      </c>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0.2</v>
      </c>
      <c r="R193" s="716">
        <f t="shared" si="34"/>
        <v>0</v>
      </c>
      <c r="S193" s="361">
        <f t="shared" si="25"/>
        <v>0</v>
      </c>
    </row>
    <row r="194" spans="1:19">
      <c r="A194" s="159">
        <v>3003</v>
      </c>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0.2</v>
      </c>
      <c r="R194" s="716">
        <f t="shared" si="34"/>
        <v>0</v>
      </c>
      <c r="S194" s="361">
        <f t="shared" si="25"/>
        <v>0</v>
      </c>
    </row>
    <row r="195" spans="1:19">
      <c r="A195" s="159">
        <v>3005</v>
      </c>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0.2</v>
      </c>
      <c r="R195" s="716">
        <f t="shared" si="34"/>
        <v>0</v>
      </c>
      <c r="S195" s="361">
        <f t="shared" si="25"/>
        <v>0</v>
      </c>
    </row>
    <row r="196" spans="1:19">
      <c r="A196" s="159">
        <v>3006</v>
      </c>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0.2</v>
      </c>
      <c r="R196" s="716">
        <f t="shared" si="34"/>
        <v>0</v>
      </c>
      <c r="S196" s="361">
        <f t="shared" si="25"/>
        <v>0</v>
      </c>
    </row>
    <row r="197" spans="1:19">
      <c r="A197" s="159">
        <v>3007</v>
      </c>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0.2</v>
      </c>
      <c r="R197" s="716">
        <f t="shared" si="34"/>
        <v>0</v>
      </c>
      <c r="S197" s="361">
        <f t="shared" si="25"/>
        <v>0</v>
      </c>
    </row>
    <row r="198" spans="1:19">
      <c r="A198" s="159">
        <v>3008</v>
      </c>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0.2</v>
      </c>
      <c r="R198" s="716">
        <f t="shared" si="34"/>
        <v>0</v>
      </c>
      <c r="S198" s="361">
        <f t="shared" si="25"/>
        <v>0</v>
      </c>
    </row>
    <row r="199" spans="1:19">
      <c r="A199" s="159">
        <v>3101</v>
      </c>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0.2</v>
      </c>
      <c r="R199" s="716">
        <f t="shared" si="34"/>
        <v>0</v>
      </c>
      <c r="S199" s="361">
        <f t="shared" si="25"/>
        <v>0</v>
      </c>
    </row>
    <row r="200" spans="1:19">
      <c r="A200" s="159">
        <v>3102</v>
      </c>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0.2</v>
      </c>
      <c r="R200" s="716">
        <f t="shared" si="34"/>
        <v>0</v>
      </c>
      <c r="S200" s="361">
        <f t="shared" si="25"/>
        <v>0</v>
      </c>
    </row>
    <row r="201" spans="1:19">
      <c r="A201" s="159">
        <v>3103</v>
      </c>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0.2</v>
      </c>
      <c r="R201" s="716">
        <f t="shared" si="34"/>
        <v>0</v>
      </c>
      <c r="S201" s="361">
        <f t="shared" si="25"/>
        <v>0</v>
      </c>
    </row>
    <row r="202" spans="1:19">
      <c r="A202" s="159">
        <v>3105</v>
      </c>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0.2</v>
      </c>
      <c r="R202" s="716">
        <f t="shared" si="34"/>
        <v>0</v>
      </c>
      <c r="S202" s="361">
        <f t="shared" si="25"/>
        <v>0</v>
      </c>
    </row>
    <row r="203" spans="1:19">
      <c r="A203" s="159">
        <v>3106</v>
      </c>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0.2</v>
      </c>
      <c r="R203" s="716">
        <f t="shared" si="34"/>
        <v>0</v>
      </c>
      <c r="S203" s="361">
        <f t="shared" si="25"/>
        <v>0</v>
      </c>
    </row>
    <row r="204" spans="1:19">
      <c r="A204" s="159">
        <v>3107</v>
      </c>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0.2</v>
      </c>
      <c r="R204" s="716">
        <f t="shared" si="34"/>
        <v>0</v>
      </c>
      <c r="S204" s="361">
        <f t="shared" si="25"/>
        <v>0</v>
      </c>
    </row>
    <row r="205" spans="1:19">
      <c r="A205" s="159">
        <v>3108</v>
      </c>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0.2</v>
      </c>
      <c r="R205" s="716">
        <f t="shared" si="34"/>
        <v>0</v>
      </c>
      <c r="S205" s="361">
        <f t="shared" si="25"/>
        <v>0</v>
      </c>
    </row>
    <row r="206" spans="1:19">
      <c r="A206" s="159">
        <v>3201</v>
      </c>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0.2</v>
      </c>
      <c r="R206" s="716">
        <f t="shared" si="34"/>
        <v>0</v>
      </c>
      <c r="S206" s="361">
        <f t="shared" si="25"/>
        <v>0</v>
      </c>
    </row>
    <row r="207" spans="1:19">
      <c r="A207" s="159">
        <v>3202</v>
      </c>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0.2</v>
      </c>
      <c r="R207" s="716">
        <f t="shared" si="34"/>
        <v>0</v>
      </c>
      <c r="S207" s="361">
        <f t="shared" si="25"/>
        <v>0</v>
      </c>
    </row>
    <row r="208" spans="1:19">
      <c r="A208" s="159">
        <v>3203</v>
      </c>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0.2</v>
      </c>
      <c r="R208" s="716">
        <f t="shared" si="34"/>
        <v>0</v>
      </c>
      <c r="S208" s="361">
        <f t="shared" si="25"/>
        <v>0</v>
      </c>
    </row>
    <row r="209" spans="1:19">
      <c r="A209" s="159">
        <v>3205</v>
      </c>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0.2</v>
      </c>
      <c r="R209" s="716">
        <f t="shared" si="34"/>
        <v>0</v>
      </c>
      <c r="S209" s="361">
        <f t="shared" si="25"/>
        <v>0</v>
      </c>
    </row>
    <row r="210" spans="1:19">
      <c r="A210" s="159">
        <v>3206</v>
      </c>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0.2</v>
      </c>
      <c r="R210" s="716">
        <f t="shared" si="34"/>
        <v>0</v>
      </c>
      <c r="S210" s="361">
        <f t="shared" si="25"/>
        <v>0</v>
      </c>
    </row>
    <row r="211" spans="1:19">
      <c r="A211" s="159">
        <v>3207</v>
      </c>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0.2</v>
      </c>
      <c r="R211" s="716">
        <f t="shared" si="34"/>
        <v>0</v>
      </c>
      <c r="S211" s="361">
        <f t="shared" si="25"/>
        <v>0</v>
      </c>
    </row>
    <row r="212" spans="1:19">
      <c r="A212" s="159">
        <v>3208</v>
      </c>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0.2</v>
      </c>
      <c r="R212" s="716">
        <f t="shared" si="34"/>
        <v>0</v>
      </c>
      <c r="S212" s="361">
        <f t="shared" si="25"/>
        <v>0</v>
      </c>
    </row>
    <row r="213" spans="1:19">
      <c r="A213" s="159">
        <v>3301</v>
      </c>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0.2</v>
      </c>
      <c r="R213" s="716">
        <f t="shared" si="34"/>
        <v>0</v>
      </c>
      <c r="S213" s="361">
        <f t="shared" si="25"/>
        <v>0</v>
      </c>
    </row>
    <row r="214" spans="1:19">
      <c r="A214" s="159">
        <v>3302</v>
      </c>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0.2</v>
      </c>
      <c r="R214" s="716">
        <f t="shared" si="34"/>
        <v>0</v>
      </c>
      <c r="S214" s="361">
        <f t="shared" si="25"/>
        <v>0</v>
      </c>
    </row>
    <row r="215" spans="1:19">
      <c r="A215" s="159">
        <v>3303</v>
      </c>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0.2</v>
      </c>
      <c r="R215" s="716">
        <f t="shared" si="34"/>
        <v>0</v>
      </c>
      <c r="S215" s="361">
        <f t="shared" si="25"/>
        <v>0</v>
      </c>
    </row>
    <row r="216" spans="1:19">
      <c r="A216" s="159">
        <v>3305</v>
      </c>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0.2</v>
      </c>
      <c r="R216" s="716">
        <f t="shared" si="34"/>
        <v>0</v>
      </c>
      <c r="S216" s="361">
        <f t="shared" ref="S216:S279" si="35">ROUND(R216*B216/10000,0)</f>
        <v>0</v>
      </c>
    </row>
    <row r="217" spans="1:19">
      <c r="A217" s="159">
        <v>3306</v>
      </c>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0.2</v>
      </c>
      <c r="R217" s="716">
        <f t="shared" si="34"/>
        <v>0</v>
      </c>
      <c r="S217" s="361">
        <f t="shared" si="35"/>
        <v>0</v>
      </c>
    </row>
    <row r="218" spans="1:19">
      <c r="A218" s="159">
        <v>3307</v>
      </c>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0.2</v>
      </c>
      <c r="R218" s="716">
        <f t="shared" ref="R218:R281" si="44">IF(B218="",0,ROUND($R$24*C218*E218*G218*I218*K218*M218*O218*Q218,0))</f>
        <v>0</v>
      </c>
      <c r="S218" s="361">
        <f t="shared" si="35"/>
        <v>0</v>
      </c>
    </row>
    <row r="219" spans="1:19">
      <c r="A219" s="159">
        <v>3308</v>
      </c>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0.2</v>
      </c>
      <c r="R219" s="716">
        <f t="shared" si="44"/>
        <v>0</v>
      </c>
      <c r="S219" s="361">
        <f t="shared" si="35"/>
        <v>0</v>
      </c>
    </row>
    <row r="220" spans="1:19">
      <c r="A220" s="159">
        <v>3501</v>
      </c>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0.2</v>
      </c>
      <c r="R220" s="716">
        <f t="shared" si="44"/>
        <v>0</v>
      </c>
      <c r="S220" s="361">
        <f t="shared" si="35"/>
        <v>0</v>
      </c>
    </row>
    <row r="221" spans="1:19">
      <c r="A221" s="159">
        <v>3502</v>
      </c>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0.2</v>
      </c>
      <c r="R221" s="716">
        <f t="shared" si="44"/>
        <v>0</v>
      </c>
      <c r="S221" s="361">
        <f t="shared" si="35"/>
        <v>0</v>
      </c>
    </row>
    <row r="222" spans="1:19">
      <c r="A222" s="159">
        <v>3503</v>
      </c>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0.2</v>
      </c>
      <c r="R222" s="716">
        <f t="shared" si="44"/>
        <v>0</v>
      </c>
      <c r="S222" s="361">
        <f t="shared" si="35"/>
        <v>0</v>
      </c>
    </row>
    <row r="223" spans="1:19">
      <c r="A223" s="159">
        <v>3505</v>
      </c>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0.2</v>
      </c>
      <c r="R223" s="716">
        <f t="shared" si="44"/>
        <v>0</v>
      </c>
      <c r="S223" s="361">
        <f t="shared" si="35"/>
        <v>0</v>
      </c>
    </row>
    <row r="224" spans="1:19">
      <c r="A224" s="159">
        <v>3506</v>
      </c>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0.2</v>
      </c>
      <c r="R224" s="716">
        <f t="shared" si="44"/>
        <v>0</v>
      </c>
      <c r="S224" s="361">
        <f t="shared" si="35"/>
        <v>0</v>
      </c>
    </row>
    <row r="225" spans="1:19">
      <c r="A225" s="159">
        <v>3507</v>
      </c>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0.2</v>
      </c>
      <c r="R225" s="716">
        <f t="shared" si="44"/>
        <v>0</v>
      </c>
      <c r="S225" s="361">
        <f t="shared" si="35"/>
        <v>0</v>
      </c>
    </row>
    <row r="226" spans="1:19">
      <c r="A226" s="159">
        <v>3508</v>
      </c>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0.2</v>
      </c>
      <c r="R226" s="716">
        <f t="shared" si="44"/>
        <v>0</v>
      </c>
      <c r="S226" s="361">
        <f t="shared" si="35"/>
        <v>0</v>
      </c>
    </row>
    <row r="227" spans="1:19">
      <c r="A227" s="159">
        <v>3601</v>
      </c>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0.2</v>
      </c>
      <c r="R227" s="716">
        <f t="shared" si="44"/>
        <v>0</v>
      </c>
      <c r="S227" s="361">
        <f t="shared" si="35"/>
        <v>0</v>
      </c>
    </row>
    <row r="228" spans="1:19">
      <c r="A228" s="159">
        <v>3602</v>
      </c>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0.2</v>
      </c>
      <c r="R228" s="716">
        <f t="shared" si="44"/>
        <v>0</v>
      </c>
      <c r="S228" s="361">
        <f t="shared" si="35"/>
        <v>0</v>
      </c>
    </row>
    <row r="229" spans="1:19">
      <c r="A229" s="159">
        <v>3603</v>
      </c>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0.2</v>
      </c>
      <c r="R229" s="716">
        <f t="shared" si="44"/>
        <v>0</v>
      </c>
      <c r="S229" s="361">
        <f t="shared" si="35"/>
        <v>0</v>
      </c>
    </row>
    <row r="230" spans="1:19">
      <c r="A230" s="159">
        <v>3605</v>
      </c>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0.2</v>
      </c>
      <c r="R230" s="716">
        <f t="shared" si="44"/>
        <v>0</v>
      </c>
      <c r="S230" s="361">
        <f t="shared" si="35"/>
        <v>0</v>
      </c>
    </row>
    <row r="231" spans="1:19">
      <c r="A231" s="159">
        <v>3606</v>
      </c>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0.2</v>
      </c>
      <c r="R231" s="716">
        <f t="shared" si="44"/>
        <v>0</v>
      </c>
      <c r="S231" s="361">
        <f t="shared" si="35"/>
        <v>0</v>
      </c>
    </row>
    <row r="232" spans="1:19">
      <c r="A232" s="159">
        <v>3607</v>
      </c>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0.2</v>
      </c>
      <c r="R232" s="716">
        <f t="shared" si="44"/>
        <v>0</v>
      </c>
      <c r="S232" s="361">
        <f t="shared" si="35"/>
        <v>0</v>
      </c>
    </row>
    <row r="233" spans="1:19">
      <c r="A233" s="159">
        <v>3608</v>
      </c>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0.2</v>
      </c>
      <c r="R233" s="716">
        <f t="shared" si="44"/>
        <v>0</v>
      </c>
      <c r="S233" s="361">
        <f t="shared" si="35"/>
        <v>0</v>
      </c>
    </row>
    <row r="234" spans="1:19">
      <c r="A234" s="159">
        <v>3701</v>
      </c>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0.2</v>
      </c>
      <c r="R234" s="716">
        <f t="shared" si="44"/>
        <v>0</v>
      </c>
      <c r="S234" s="361">
        <f t="shared" si="35"/>
        <v>0</v>
      </c>
    </row>
    <row r="235" spans="1:19">
      <c r="A235" s="159">
        <v>3702</v>
      </c>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0.2</v>
      </c>
      <c r="R235" s="716">
        <f t="shared" si="44"/>
        <v>0</v>
      </c>
      <c r="S235" s="361">
        <f t="shared" si="35"/>
        <v>0</v>
      </c>
    </row>
    <row r="236" spans="1:19">
      <c r="A236" s="159">
        <v>3703</v>
      </c>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0.2</v>
      </c>
      <c r="R236" s="716">
        <f t="shared" si="44"/>
        <v>0</v>
      </c>
      <c r="S236" s="361">
        <f t="shared" si="35"/>
        <v>0</v>
      </c>
    </row>
    <row r="237" spans="1:19">
      <c r="A237" s="159">
        <v>3705</v>
      </c>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0.2</v>
      </c>
      <c r="R237" s="716">
        <f t="shared" si="44"/>
        <v>0</v>
      </c>
      <c r="S237" s="361">
        <f t="shared" si="35"/>
        <v>0</v>
      </c>
    </row>
    <row r="238" spans="1:19">
      <c r="A238" s="159">
        <v>3706</v>
      </c>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0.2</v>
      </c>
      <c r="R238" s="716">
        <f t="shared" si="44"/>
        <v>0</v>
      </c>
      <c r="S238" s="361">
        <f t="shared" si="35"/>
        <v>0</v>
      </c>
    </row>
    <row r="239" spans="1:19">
      <c r="A239" s="159">
        <v>3707</v>
      </c>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0.2</v>
      </c>
      <c r="R239" s="716">
        <f t="shared" si="44"/>
        <v>0</v>
      </c>
      <c r="S239" s="361">
        <f t="shared" si="35"/>
        <v>0</v>
      </c>
    </row>
    <row r="240" spans="1:19">
      <c r="A240" s="159">
        <v>3708</v>
      </c>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0.2</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0.2</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0.2</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0.2</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0.2</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0.2</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0.2</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0.2</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0.2</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0.2</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0.2</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0.2</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0.2</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0.2</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0.2</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0.2</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0.2</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0.2</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0.2</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0.2</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0.2</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0.2</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0.2</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0.2</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0.2</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0.2</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0.2</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0.2</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0.2</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0.2</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0.2</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0.2</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0.2</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0.2</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0.2</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0.2</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0.2</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0.2</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0.2</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0.2</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0.2</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0.2</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0.2</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0.2</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0.2</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0.2</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0.2</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0.2</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0.2</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0.2</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0.2</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0.2</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0.2</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0.2</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0.2</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0.2</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0.2</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0.2</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0.2</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0.2</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0.2</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0.2</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0.2</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0.2</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0.2</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0.2</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0.2</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0.2</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0.2</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0.2</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0.2</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0.2</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0.2</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0.2</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0.2</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0.2</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0.2</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0.2</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0.2</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0.2</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0.2</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0.2</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0.2</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0.2</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0.2</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0.2</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0.2</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0.2</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0.2</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0.2</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0.2</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0.2</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0.2</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0.2</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0.2</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0.2</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0.2</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0.2</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0.2</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0.2</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0.2</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0.2</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0.2</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0.2</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0.2</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0.2</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0.2</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0.2</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0.2</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0.2</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0.2</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0.2</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0.2</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0.2</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0.2</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0.2</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0.2</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0.2</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0.2</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0.2</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0.2</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0.2</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0.2</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0.2</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0.2</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0.2</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0.2</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0.2</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0.2</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0.2</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0.2</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0.2</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0.2</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0.2</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0.2</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0.2</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0.2</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0.2</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0.2</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0.2</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0.2</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0.2</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0.2</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0.2</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0.2</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0.2</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0.2</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0.2</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0.2</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0.2</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0.2</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0.2</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0.2</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0.2</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0.2</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0.2</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0.2</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0.2</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0.2</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0.2</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0.2</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0.2</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0.2</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0.2</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0.2</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0.2</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0.2</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0.2</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0.2</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0.2</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0.2</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0.2</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0.2</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0.2</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0.2</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0.2</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0.2</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0.2</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0.2</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0.2</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0.2</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0.2</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0.2</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0.2</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0.2</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0.2</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0.2</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0.2</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0.2</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0.2</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0.2</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0.2</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0.2</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0.2</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0.2</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0.2</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0.2</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0.2</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0.2</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0.2</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0.2</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0.2</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0.2</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0.2</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0.2</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0.2</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0.2</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0.2</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0.2</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0.2</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0.2</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0.2</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0.2</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0.2</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0.2</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0.2</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0.2</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0.2</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0.2</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0.2</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0.2</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0.2</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0.2</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0.2</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0.2</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0.2</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0.2</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0.2</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0.2</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0.2</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0.2</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0.2</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0.2</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0.2</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0.2</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0.2</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0.2</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0.2</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0.2</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0.2</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0.2</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0.2</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0.2</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0.2</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0.2</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0.2</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0.2</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0.2</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0.2</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0.2</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0.2</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0.2</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0.2</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0.2</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0.2</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0.2</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0.2</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0.2</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0.2</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0.2</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0.2</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0.2</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0.2</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0.2</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0.2</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0.2</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0.2</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0.2</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0.2</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0.2</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0.2</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0.2</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0.2</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0.2</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0.2</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0.2</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0.2</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0.2</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0.2</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0.2</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0.2</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0.2</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0.2</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0.2</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0.2</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3120</v>
      </c>
      <c r="H1" s="2421" t="str">
        <f>IF(G1="现房","——","估价对象范围")</f>
        <v>——</v>
      </c>
      <c r="I1" s="2422"/>
    </row>
    <row r="2" spans="1:12" ht="21.75" customHeight="1" thickBot="1">
      <c r="A2" s="3177" t="str">
        <f>项目基本情况!S2</f>
        <v>房地产</v>
      </c>
      <c r="B2" s="3178"/>
      <c r="C2" s="3178"/>
      <c r="D2" s="3178"/>
      <c r="E2" s="3178"/>
      <c r="F2" s="3178"/>
      <c r="G2" s="3178"/>
      <c r="H2" s="3178"/>
      <c r="I2" s="3179"/>
    </row>
    <row r="3" spans="1:12" ht="12.75">
      <c r="A3" s="3180" t="s">
        <v>2118</v>
      </c>
      <c r="B3" s="3181"/>
      <c r="C3" s="3181"/>
      <c r="D3" s="3181"/>
      <c r="E3" s="3181"/>
      <c r="F3" s="3181"/>
      <c r="G3" s="3181"/>
      <c r="H3" s="3181"/>
      <c r="I3" s="3181"/>
    </row>
    <row r="4" spans="1:12" ht="14.25">
      <c r="A4" s="2425" t="s">
        <v>2119</v>
      </c>
      <c r="B4" s="2426" t="s">
        <v>2120</v>
      </c>
      <c r="C4" s="2427" t="s">
        <v>3166</v>
      </c>
      <c r="D4" s="2427" t="s">
        <v>3092</v>
      </c>
      <c r="E4" s="3161" t="s">
        <v>2121</v>
      </c>
      <c r="F4" s="3174"/>
      <c r="G4" s="3174"/>
      <c r="H4" s="3174"/>
      <c r="I4" s="3162"/>
      <c r="K4" s="2428" t="str">
        <f>IF(ISNUMBER(FIND("比较法",'结果表 (办公)'!C4)),"比较法",IF(ISNUMBER(FIND("成本法",'结果表 (办公)'!C4)),"成本法",IF(ISNUMBER(FIND("假设开发法",'结果表 (办公)'!C4)),"假设开发法",IF(ISNUMBER(FIND("收益法",'结果表 (办公)'!C4)),"收益法","基准地价系数修正法"))))</f>
        <v>比较法</v>
      </c>
      <c r="L4" s="2428" t="str">
        <f>IF(ISNUMBER(FIND("比较法",'结果表 (办公)'!D4)),"比较法",IF(ISNUMBER(FIND("成本法",'结果表 (办公)'!D4)),"成本法",IF(ISNUMBER(FIND("假设开发法",'结果表 (办公)'!D4)),"假设开发法",IF(ISNUMBER(FIND("收益法",'结果表 (办公)'!D4)),"收益法","基准地价系数修正法"))))</f>
        <v>收益法</v>
      </c>
    </row>
    <row r="5" spans="1:12" ht="12.75">
      <c r="A5" s="3152" t="s">
        <v>2122</v>
      </c>
      <c r="B5" s="3074">
        <v>25</v>
      </c>
      <c r="C5" s="3182"/>
      <c r="D5" s="3170"/>
      <c r="E5" s="140" t="s">
        <v>2123</v>
      </c>
      <c r="F5" s="2429"/>
      <c r="G5" s="2429"/>
      <c r="H5" s="2429"/>
      <c r="I5" s="1831"/>
    </row>
    <row r="6" spans="1:12" ht="12.75">
      <c r="A6" s="3152"/>
      <c r="B6" s="3074"/>
      <c r="C6" s="3184"/>
      <c r="D6" s="3170"/>
      <c r="E6" s="140" t="s">
        <v>2124</v>
      </c>
      <c r="F6" s="2429"/>
      <c r="G6" s="2429"/>
      <c r="H6" s="2429"/>
      <c r="I6" s="1831"/>
    </row>
    <row r="7" spans="1:12" ht="12.75">
      <c r="A7" s="3152"/>
      <c r="B7" s="3074"/>
      <c r="C7" s="3183"/>
      <c r="D7" s="3170"/>
      <c r="E7" s="140" t="s">
        <v>2125</v>
      </c>
      <c r="F7" s="2429"/>
      <c r="G7" s="2429"/>
      <c r="H7" s="2429"/>
      <c r="I7" s="1831"/>
    </row>
    <row r="8" spans="1:12" ht="12.75">
      <c r="A8" s="3152" t="s">
        <v>2126</v>
      </c>
      <c r="B8" s="3074">
        <v>15</v>
      </c>
      <c r="C8" s="3182"/>
      <c r="D8" s="3170"/>
      <c r="E8" s="140" t="s">
        <v>2127</v>
      </c>
      <c r="F8" s="2429"/>
      <c r="G8" s="2429"/>
      <c r="H8" s="2429"/>
      <c r="I8" s="1831"/>
    </row>
    <row r="9" spans="1:12" ht="12.75">
      <c r="A9" s="3152"/>
      <c r="B9" s="3074"/>
      <c r="C9" s="3183"/>
      <c r="D9" s="3170"/>
      <c r="E9" s="140" t="s">
        <v>2128</v>
      </c>
      <c r="F9" s="2429"/>
      <c r="G9" s="2429"/>
      <c r="H9" s="2429"/>
      <c r="I9" s="1831"/>
    </row>
    <row r="10" spans="1:12" ht="12.75">
      <c r="A10" s="3152" t="s">
        <v>2129</v>
      </c>
      <c r="B10" s="3074">
        <v>15</v>
      </c>
      <c r="C10" s="3182"/>
      <c r="D10" s="3170"/>
      <c r="E10" s="140" t="s">
        <v>2130</v>
      </c>
      <c r="F10" s="2429"/>
      <c r="G10" s="2429"/>
      <c r="H10" s="2429"/>
      <c r="I10" s="1831"/>
    </row>
    <row r="11" spans="1:12" ht="12.75">
      <c r="A11" s="3152"/>
      <c r="B11" s="3074"/>
      <c r="C11" s="3183"/>
      <c r="D11" s="3170"/>
      <c r="E11" s="140" t="s">
        <v>2131</v>
      </c>
      <c r="F11" s="2429"/>
      <c r="G11" s="2429"/>
      <c r="H11" s="2429"/>
      <c r="I11" s="1831"/>
    </row>
    <row r="12" spans="1:12" ht="12.75">
      <c r="A12" s="3152" t="s">
        <v>2132</v>
      </c>
      <c r="B12" s="3074">
        <v>15</v>
      </c>
      <c r="C12" s="3182"/>
      <c r="D12" s="3170"/>
      <c r="E12" s="140" t="s">
        <v>2133</v>
      </c>
      <c r="F12" s="2429"/>
      <c r="G12" s="2429"/>
      <c r="H12" s="2429"/>
      <c r="I12" s="1831"/>
    </row>
    <row r="13" spans="1:12" ht="12.75">
      <c r="A13" s="3152"/>
      <c r="B13" s="3074"/>
      <c r="C13" s="3183"/>
      <c r="D13" s="3170"/>
      <c r="E13" s="140" t="s">
        <v>2134</v>
      </c>
      <c r="F13" s="2429"/>
      <c r="G13" s="2429"/>
      <c r="H13" s="2429"/>
      <c r="I13" s="1831"/>
    </row>
    <row r="14" spans="1:12" ht="12.75">
      <c r="A14" s="3152" t="s">
        <v>2135</v>
      </c>
      <c r="B14" s="3074">
        <v>30</v>
      </c>
      <c r="C14" s="3182">
        <v>6</v>
      </c>
      <c r="D14" s="3170">
        <v>4</v>
      </c>
      <c r="E14" s="140" t="s">
        <v>2136</v>
      </c>
      <c r="F14" s="2429"/>
      <c r="G14" s="2429"/>
      <c r="H14" s="2429"/>
      <c r="I14" s="1831"/>
    </row>
    <row r="15" spans="1:12" ht="12.75">
      <c r="A15" s="3152"/>
      <c r="B15" s="3074"/>
      <c r="C15" s="3184"/>
      <c r="D15" s="3170"/>
      <c r="E15" s="140" t="s">
        <v>2137</v>
      </c>
      <c r="F15" s="2429"/>
      <c r="G15" s="2429"/>
      <c r="H15" s="2429"/>
      <c r="I15" s="1831"/>
    </row>
    <row r="16" spans="1:12" ht="12.75">
      <c r="A16" s="3152"/>
      <c r="B16" s="3074"/>
      <c r="C16" s="3183"/>
      <c r="D16" s="3170"/>
      <c r="E16" s="140" t="s">
        <v>2138</v>
      </c>
      <c r="F16" s="2429"/>
      <c r="G16" s="2429"/>
      <c r="H16" s="2429"/>
      <c r="I16" s="1831"/>
    </row>
    <row r="17" spans="1:35" ht="15">
      <c r="A17" s="2430" t="s">
        <v>2139</v>
      </c>
      <c r="B17" s="64"/>
      <c r="C17" s="141">
        <f>SUM(C5:C16)</f>
        <v>6</v>
      </c>
      <c r="D17" s="141">
        <f>SUM(D5:D16)</f>
        <v>4</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499.07</v>
      </c>
      <c r="M18" s="2428">
        <f>IF(C1="",'数据-汇总表'!E3,SUMIF(项目类型,C1,'数据-汇总表'!E17:E26))</f>
        <v>499.07</v>
      </c>
    </row>
    <row r="19" spans="1:35" ht="15">
      <c r="A19" s="2434" t="s">
        <v>2144</v>
      </c>
      <c r="B19" s="2435" t="s">
        <v>2145</v>
      </c>
      <c r="C19" s="143">
        <f ca="1">SUMIF(INDIRECT("'"&amp;C4&amp;"'"&amp;"!A:A"),'结果表 (办公)'!B19,INDIRECT("'"&amp;C4&amp;"'"&amp;"!B:B"))</f>
        <v>491</v>
      </c>
      <c r="D19" s="144">
        <f ca="1">SUMIF(INDIRECT("'"&amp;D4&amp;"'"&amp;"!A:A"),'结果表 (办公)'!B19,INDIRECT("'"&amp;D4&amp;"'"&amp;"!B:B"))</f>
        <v>309</v>
      </c>
      <c r="E19" s="2434" t="s">
        <v>2146</v>
      </c>
      <c r="F19" s="2435" t="s">
        <v>2145</v>
      </c>
      <c r="G19" s="145">
        <f ca="1">ROUND(C19*$C$18+D19*$D$18,0)</f>
        <v>418</v>
      </c>
      <c r="H19" s="2436" t="s">
        <v>2147</v>
      </c>
      <c r="I19" s="138"/>
      <c r="K19" s="2428" t="s">
        <v>2148</v>
      </c>
      <c r="L19" s="2428">
        <f>IF(C1="",'数据-汇总表'!D3,SUMIF(项目类型,C1,'数据-汇总表'!D17:D26)+SUMIF(项目类型,C1,'数据-汇总表'!H17:H27))</f>
        <v>14543</v>
      </c>
      <c r="M19" s="2428">
        <f>IF(C1="",'数据-汇总表'!D3,SUMIF(项目类型,C1,'数据-汇总表'!D17:D26))</f>
        <v>14543</v>
      </c>
    </row>
    <row r="20" spans="1:35" ht="15">
      <c r="A20" s="2437"/>
      <c r="B20" s="1247" t="s">
        <v>2149</v>
      </c>
      <c r="C20" s="146">
        <f ca="1">SUMIF(INDIRECT("'"&amp;C4&amp;"'"&amp;"!A:A"),'结果表 (办公)'!B20,INDIRECT("'"&amp;C4&amp;"'"&amp;"!B:B"))</f>
        <v>88449</v>
      </c>
      <c r="D20" s="147">
        <f ca="1">SUMIF(INDIRECT("'"&amp;D4&amp;"'"&amp;"!A:A"),'结果表 (办公)'!B20,INDIRECT("'"&amp;D4&amp;"'"&amp;"!B:B"))</f>
        <v>55716</v>
      </c>
      <c r="E20" s="2437"/>
      <c r="F20" s="1247" t="s">
        <v>2149</v>
      </c>
      <c r="G20" s="148">
        <f ca="1">ROUND(C20*$C$18+D20*$D$18,0)</f>
        <v>75356</v>
      </c>
      <c r="H20" s="980" t="s">
        <v>2150</v>
      </c>
      <c r="I20" s="138"/>
    </row>
    <row r="21" spans="1:35" ht="15" customHeight="1" thickBot="1">
      <c r="A21" s="1000"/>
      <c r="B21" s="2438" t="s">
        <v>2151</v>
      </c>
      <c r="C21" s="789">
        <f ca="1">ROUND(C19*10000/L19,0)</f>
        <v>338</v>
      </c>
      <c r="D21" s="790">
        <f ca="1">ROUND(D19*10000/L19,0)</f>
        <v>212</v>
      </c>
      <c r="E21" s="1000"/>
      <c r="F21" s="2438" t="s">
        <v>2151</v>
      </c>
      <c r="G21" s="149">
        <f ca="1">ROUND(G19*10000/L19,0)</f>
        <v>287</v>
      </c>
      <c r="H21" s="2439" t="s">
        <v>2150</v>
      </c>
      <c r="I21" s="138"/>
    </row>
    <row r="22" spans="1:35" ht="15" thickBot="1">
      <c r="A22" s="2281" t="s">
        <v>2152</v>
      </c>
      <c r="B22" s="2440"/>
      <c r="C22" s="2441"/>
      <c r="D22" s="791">
        <f ca="1">IF(C19&lt;D19,D19/C19-1,C19/D19-1)</f>
        <v>0.58899676375404542</v>
      </c>
      <c r="E22" s="138"/>
      <c r="F22" s="138"/>
      <c r="G22" s="138"/>
      <c r="H22" s="138"/>
      <c r="I22" s="138"/>
    </row>
    <row r="23" spans="1:35" ht="13.5" thickBot="1">
      <c r="A23" s="2418"/>
      <c r="B23" s="2418"/>
      <c r="C23" s="2418"/>
      <c r="D23" s="2418"/>
      <c r="E23" s="138"/>
      <c r="F23" s="138"/>
      <c r="G23" s="138"/>
      <c r="H23" s="138"/>
      <c r="I23" s="138"/>
    </row>
    <row r="24" spans="1:35" ht="14.25">
      <c r="A24" s="3191" t="s">
        <v>2153</v>
      </c>
      <c r="B24" s="2435" t="s">
        <v>2145</v>
      </c>
      <c r="C24" s="145">
        <f>IF(B30=0,0,D30)</f>
        <v>0</v>
      </c>
      <c r="D24" s="2442"/>
      <c r="E24" s="138"/>
      <c r="F24" s="138"/>
      <c r="G24" s="138"/>
      <c r="H24" s="138"/>
      <c r="I24" s="138"/>
    </row>
    <row r="25" spans="1:35" ht="14.25">
      <c r="A25" s="3192"/>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418</v>
      </c>
      <c r="D32" s="2449" t="s">
        <v>2160</v>
      </c>
      <c r="E32" s="138"/>
      <c r="F32" s="138"/>
      <c r="G32" s="138"/>
      <c r="H32" s="138"/>
      <c r="I32" s="138"/>
    </row>
    <row r="33" spans="1:15" ht="15">
      <c r="A33" s="957" t="s">
        <v>2161</v>
      </c>
      <c r="B33" s="2450"/>
      <c r="C33" s="2451"/>
      <c r="D33" s="2452"/>
      <c r="E33" s="2453" t="s">
        <v>2162</v>
      </c>
      <c r="F33" s="2955"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71" t="s">
        <v>2167</v>
      </c>
      <c r="B36" s="2461" t="s">
        <v>2168</v>
      </c>
      <c r="C36" s="154"/>
      <c r="D36" s="2462"/>
      <c r="E36" s="2463"/>
      <c r="F36" s="2464"/>
      <c r="G36" s="138"/>
      <c r="H36" s="138"/>
      <c r="I36" s="138"/>
    </row>
    <row r="37" spans="1:15" ht="15.75" thickBot="1">
      <c r="A37" s="3172"/>
      <c r="B37" s="2267" t="s">
        <v>2169</v>
      </c>
      <c r="C37" s="156"/>
      <c r="D37" s="1392"/>
      <c r="E37" s="1392"/>
      <c r="F37" s="2464"/>
      <c r="G37" s="138"/>
      <c r="H37" s="138"/>
      <c r="I37" s="138"/>
    </row>
    <row r="38" spans="1:15" ht="15.75" thickBot="1">
      <c r="A38" s="3173"/>
      <c r="B38" s="2465" t="s">
        <v>2170</v>
      </c>
      <c r="C38" s="727"/>
      <c r="D38" s="2466" t="s">
        <v>2171</v>
      </c>
      <c r="E38" s="1392"/>
      <c r="F38" s="2464"/>
      <c r="G38" s="138"/>
      <c r="H38" s="138"/>
      <c r="I38" s="138"/>
    </row>
    <row r="39" spans="1:15" ht="15">
      <c r="A39" s="2437" t="s">
        <v>2172</v>
      </c>
      <c r="B39" s="2467" t="s">
        <v>2155</v>
      </c>
      <c r="C39" s="2468" t="s">
        <v>2156</v>
      </c>
      <c r="D39" s="2468" t="s">
        <v>2175</v>
      </c>
      <c r="E39" s="2469" t="s">
        <v>2157</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88" t="s">
        <v>2181</v>
      </c>
      <c r="B45" s="3189"/>
      <c r="C45" s="3190"/>
      <c r="D45" s="164">
        <f ca="1">ROUND(H101*F45,0)</f>
        <v>418</v>
      </c>
      <c r="E45" s="165" t="s">
        <v>2182</v>
      </c>
      <c r="F45" s="166">
        <v>1</v>
      </c>
      <c r="G45" s="167" t="s">
        <v>2183</v>
      </c>
      <c r="H45" s="138"/>
      <c r="I45" s="138"/>
      <c r="J45" s="3107" t="s">
        <v>2184</v>
      </c>
      <c r="K45" s="3107"/>
      <c r="L45" s="3107"/>
      <c r="M45" s="3107"/>
      <c r="N45" s="3107"/>
      <c r="O45" s="3107"/>
    </row>
    <row r="46" spans="1:15" ht="14.25" customHeight="1">
      <c r="A46" s="3185" t="s">
        <v>2185</v>
      </c>
      <c r="B46" s="3186"/>
      <c r="C46" s="3186"/>
      <c r="D46" s="3186"/>
      <c r="E46" s="3186"/>
      <c r="F46" s="3186"/>
      <c r="G46" s="3187"/>
      <c r="H46" s="2480"/>
      <c r="I46" s="168"/>
      <c r="J46" s="2964">
        <v>1</v>
      </c>
      <c r="K46" s="3107" t="s">
        <v>2186</v>
      </c>
      <c r="L46" s="3107"/>
      <c r="M46" s="3108"/>
      <c r="N46" s="3108"/>
      <c r="O46" s="3108"/>
    </row>
    <row r="47" spans="1:15" ht="12" customHeight="1">
      <c r="A47" s="169" t="s">
        <v>2187</v>
      </c>
      <c r="B47" s="170"/>
      <c r="C47" s="171"/>
      <c r="D47" s="172" t="s">
        <v>2188</v>
      </c>
      <c r="E47" s="24" t="s">
        <v>2189</v>
      </c>
      <c r="F47" s="173" t="s">
        <v>2190</v>
      </c>
      <c r="G47" s="174" t="s">
        <v>2191</v>
      </c>
      <c r="H47" s="2480"/>
      <c r="I47" s="168"/>
      <c r="J47" s="2964">
        <v>2</v>
      </c>
      <c r="K47" s="3107" t="s">
        <v>2192</v>
      </c>
      <c r="L47" s="3107"/>
      <c r="M47" s="3109">
        <f>'数据-取费表'!B2</f>
        <v>43845</v>
      </c>
      <c r="N47" s="3109"/>
      <c r="O47" s="3109"/>
    </row>
    <row r="48" spans="1:15" ht="25.5">
      <c r="A48" s="3175" t="s">
        <v>2193</v>
      </c>
      <c r="B48" s="3176"/>
      <c r="C48" s="3176"/>
      <c r="D48" s="140">
        <f>IF(H48="情况1",0,IF(H48="情况2",D52,IF(H48="情况3",D53,IF(H48="情况4",D54))))</f>
        <v>0</v>
      </c>
      <c r="E48" s="2973" t="str">
        <f>IF(H48="情况4","(销售额-原购置价)×税（费）率","销售额×税（费）率")</f>
        <v>销售额×税（费）率</v>
      </c>
      <c r="F48" s="175" t="str">
        <f>IF(H48="情况1","免征",'数据-取费表'!B41)</f>
        <v>免征</v>
      </c>
      <c r="G48" s="2481" t="s">
        <v>2194</v>
      </c>
      <c r="H48" s="2482" t="s">
        <v>2195</v>
      </c>
      <c r="I48" s="2480"/>
      <c r="J48" s="2964">
        <v>3</v>
      </c>
      <c r="K48" s="3107" t="s">
        <v>2196</v>
      </c>
      <c r="L48" s="3107"/>
      <c r="M48" s="3110">
        <f ca="1">H101</f>
        <v>418</v>
      </c>
      <c r="N48" s="3110"/>
      <c r="O48" s="3110"/>
    </row>
    <row r="49" spans="1:35" ht="25.5" customHeight="1">
      <c r="A49" s="176" t="s">
        <v>2197</v>
      </c>
      <c r="B49" s="3155" t="s">
        <v>2198</v>
      </c>
      <c r="C49" s="3155"/>
      <c r="D49" s="177">
        <v>0</v>
      </c>
      <c r="E49" s="23" t="s">
        <v>2199</v>
      </c>
      <c r="F49" s="28" t="s">
        <v>34</v>
      </c>
      <c r="G49" s="3136"/>
      <c r="H49" s="138"/>
      <c r="I49" s="2483"/>
      <c r="J49" s="2964">
        <v>4</v>
      </c>
      <c r="K49" s="3107" t="str">
        <f>IF(项目基本情况!E8="房地产抵押价值","房地产抵押价值","抵押担保权已注销时的房地产抵押价值")</f>
        <v>房地产抵押价值</v>
      </c>
      <c r="L49" s="3107"/>
      <c r="M49" s="3110">
        <f ca="1">IF(项目基本情况!E8="房地产抵押价值",H107,H109)</f>
        <v>418</v>
      </c>
      <c r="N49" s="3110"/>
      <c r="O49" s="3110"/>
    </row>
    <row r="50" spans="1:35" ht="25.5" customHeight="1">
      <c r="A50" s="178"/>
      <c r="B50" s="3155" t="s">
        <v>2200</v>
      </c>
      <c r="C50" s="3155"/>
      <c r="D50" s="179"/>
      <c r="E50" s="31"/>
      <c r="F50" s="180"/>
      <c r="G50" s="3137"/>
      <c r="H50" s="138"/>
      <c r="I50" s="2483"/>
      <c r="J50" s="3107" t="s">
        <v>2201</v>
      </c>
      <c r="K50" s="3107"/>
      <c r="L50" s="3107"/>
      <c r="M50" s="3107"/>
      <c r="N50" s="3107"/>
      <c r="O50" s="3107"/>
    </row>
    <row r="51" spans="1:35" ht="12" customHeight="1">
      <c r="A51" s="181"/>
      <c r="B51" s="3155" t="s">
        <v>2202</v>
      </c>
      <c r="C51" s="3155"/>
      <c r="D51" s="182"/>
      <c r="E51" s="30"/>
      <c r="F51" s="180"/>
      <c r="G51" s="3138"/>
      <c r="H51" s="138"/>
      <c r="I51" s="2483"/>
      <c r="J51" s="2957" t="s">
        <v>2203</v>
      </c>
      <c r="K51" s="3107" t="s">
        <v>2204</v>
      </c>
      <c r="L51" s="3107"/>
      <c r="M51" s="2957" t="s">
        <v>2205</v>
      </c>
      <c r="N51" s="2957" t="s">
        <v>2206</v>
      </c>
      <c r="O51" s="2957" t="s">
        <v>2207</v>
      </c>
    </row>
    <row r="52" spans="1:35" ht="24" customHeight="1">
      <c r="A52" s="183" t="s">
        <v>2208</v>
      </c>
      <c r="B52" s="3155" t="s">
        <v>2209</v>
      </c>
      <c r="C52" s="3155"/>
      <c r="D52" s="182">
        <f ca="1">ROUND(D45*'数据-取费表'!B41/(1+'数据-取费表'!C42),0)</f>
        <v>22</v>
      </c>
      <c r="E52" s="11" t="s">
        <v>2210</v>
      </c>
      <c r="F52" s="184">
        <f>'数据-取费表'!B41</f>
        <v>5.6000000000000001E-2</v>
      </c>
      <c r="G52" s="2485"/>
      <c r="H52" s="138"/>
      <c r="I52" s="2483"/>
      <c r="J52" s="2964">
        <v>1</v>
      </c>
      <c r="K52" s="3130" t="s">
        <v>2211</v>
      </c>
      <c r="L52" s="3130"/>
      <c r="M52" s="1751">
        <f>D48</f>
        <v>0</v>
      </c>
      <c r="N52" s="2964" t="str">
        <f>E48</f>
        <v>销售额×税（费）率</v>
      </c>
      <c r="O52" s="1752" t="str">
        <f>F48</f>
        <v>免征</v>
      </c>
    </row>
    <row r="53" spans="1:35" ht="12" customHeight="1">
      <c r="A53" s="183" t="s">
        <v>2212</v>
      </c>
      <c r="B53" s="3156" t="s">
        <v>2213</v>
      </c>
      <c r="C53" s="3157"/>
      <c r="D53" s="182">
        <f ca="1">ROUND(D45*'数据-取费表'!B41/(1+'数据-取费表'!C42),0)</f>
        <v>22</v>
      </c>
      <c r="E53" s="11" t="s">
        <v>2210</v>
      </c>
      <c r="F53" s="184">
        <f>'数据-取费表'!B41</f>
        <v>5.6000000000000001E-2</v>
      </c>
      <c r="G53" s="2485"/>
      <c r="H53" s="138"/>
      <c r="I53" s="2483"/>
      <c r="J53" s="2964">
        <v>2</v>
      </c>
      <c r="K53" s="3130" t="s">
        <v>2214</v>
      </c>
      <c r="L53" s="3130"/>
      <c r="M53" s="1751">
        <f t="shared" ref="M53:O54" ca="1" si="0">D55</f>
        <v>0</v>
      </c>
      <c r="N53" s="2964" t="str">
        <f t="shared" si="0"/>
        <v>销售额×税（费）率</v>
      </c>
      <c r="O53" s="1752">
        <f t="shared" si="0"/>
        <v>5.0000000000000001E-4</v>
      </c>
    </row>
    <row r="54" spans="1:35" ht="12" customHeight="1">
      <c r="A54" s="183" t="s">
        <v>2215</v>
      </c>
      <c r="B54" s="3156" t="s">
        <v>2216</v>
      </c>
      <c r="C54" s="3157"/>
      <c r="D54" s="182">
        <f ca="1">C68</f>
        <v>22</v>
      </c>
      <c r="E54" s="30" t="s">
        <v>2217</v>
      </c>
      <c r="F54" s="184">
        <f>'数据-取费表'!B41</f>
        <v>5.6000000000000001E-2</v>
      </c>
      <c r="G54" s="2485"/>
      <c r="H54" s="2486"/>
      <c r="I54" s="2483"/>
      <c r="J54" s="2964">
        <v>3</v>
      </c>
      <c r="K54" s="3130" t="s">
        <v>2218</v>
      </c>
      <c r="L54" s="3130"/>
      <c r="M54" s="1751">
        <f t="shared" ca="1" si="0"/>
        <v>237</v>
      </c>
      <c r="N54" s="2964" t="str">
        <f t="shared" si="0"/>
        <v>增值额×税（费）率</v>
      </c>
      <c r="O54" s="1753" t="str">
        <f t="shared" si="0"/>
        <v>——</v>
      </c>
    </row>
    <row r="55" spans="1:35" ht="24" customHeight="1">
      <c r="A55" s="3194" t="s">
        <v>2219</v>
      </c>
      <c r="B55" s="3176"/>
      <c r="C55" s="3176"/>
      <c r="D55" s="185">
        <f ca="1">IF(H55="个人住宅",0,ROUND(D45*I55,0))</f>
        <v>0</v>
      </c>
      <c r="E55" s="11" t="s">
        <v>2220</v>
      </c>
      <c r="F55" s="184">
        <f>IF(H55="正常",I55,"免征")</f>
        <v>5.0000000000000001E-4</v>
      </c>
      <c r="G55" s="2485"/>
      <c r="H55" s="2482" t="s">
        <v>2221</v>
      </c>
      <c r="I55" s="186">
        <f>'数据-取费表'!B49</f>
        <v>5.0000000000000001E-4</v>
      </c>
      <c r="J55" s="2964" t="str">
        <f>IF(H59="非个人房产","",4)</f>
        <v/>
      </c>
      <c r="K55" s="3130" t="str">
        <f>IF(H59="非个人房产","——","个人所得税")</f>
        <v>——</v>
      </c>
      <c r="L55" s="3130"/>
      <c r="M55" s="1754" t="str">
        <f>D59</f>
        <v>——</v>
      </c>
      <c r="N55" s="2965" t="str">
        <f>E59</f>
        <v>——</v>
      </c>
      <c r="O55" s="1755" t="str">
        <f>F59</f>
        <v>——</v>
      </c>
    </row>
    <row r="56" spans="1:35" ht="24.75">
      <c r="A56" s="3194" t="s">
        <v>2222</v>
      </c>
      <c r="B56" s="3176"/>
      <c r="C56" s="3176"/>
      <c r="D56" s="185">
        <f ca="1">IF(H56="个人住宅",D57,D58)</f>
        <v>237</v>
      </c>
      <c r="E56" s="11" t="s">
        <v>2223</v>
      </c>
      <c r="F56" s="184" t="str">
        <f>IF(H56="正常",F58,"免征")</f>
        <v>——</v>
      </c>
      <c r="G56" s="2487" t="s">
        <v>2224</v>
      </c>
      <c r="H56" s="2488" t="s">
        <v>2221</v>
      </c>
      <c r="I56" s="2489"/>
      <c r="J56" s="2964" t="str">
        <f>IF(项目基本情况!K6="上海银行",IF(J55="",4,J55+1),"")</f>
        <v/>
      </c>
      <c r="K56" s="3113" t="str">
        <f>IF(项目基本情况!K6="上海银行","其他处置费用","")</f>
        <v/>
      </c>
      <c r="L56" s="3114"/>
      <c r="M56" s="1751" t="str">
        <f>IF(项目基本情况!K6="上海银行",M69,"")</f>
        <v/>
      </c>
      <c r="N56" s="3116" t="str">
        <f>IF(项目基本情况!K6="上海银行","包含处置中涉及的律师、诉讼、拍卖、评估等费用","")</f>
        <v/>
      </c>
      <c r="O56" s="3117"/>
    </row>
    <row r="57" spans="1:35" ht="12.75">
      <c r="A57" s="183" t="s">
        <v>2197</v>
      </c>
      <c r="B57" s="3161" t="s">
        <v>2225</v>
      </c>
      <c r="C57" s="3162"/>
      <c r="D57" s="187">
        <v>0</v>
      </c>
      <c r="E57" s="23" t="s">
        <v>2199</v>
      </c>
      <c r="F57" s="155"/>
      <c r="G57" s="2485"/>
      <c r="H57" s="2489"/>
      <c r="I57" s="2489"/>
      <c r="J57" s="3130">
        <f>IF(AND(J55="",J56=""),4,IF(项目基本情况!K6="上海银行",'结果表 (办公)'!J56+1,'结果表 (办公)'!J55+1))</f>
        <v>4</v>
      </c>
      <c r="K57" s="3130" t="s">
        <v>2226</v>
      </c>
      <c r="L57" s="2490" t="s">
        <v>2227</v>
      </c>
      <c r="M57" s="1756"/>
      <c r="N57" s="1757">
        <f ca="1">SUMIF(M52:M56,"&lt;9e307")</f>
        <v>237</v>
      </c>
      <c r="O57" s="2491"/>
      <c r="P57" s="1750">
        <f ca="1">N57/M49</f>
        <v>0.56698564593301437</v>
      </c>
    </row>
    <row r="58" spans="1:35" ht="24.75">
      <c r="A58" s="183" t="s">
        <v>2208</v>
      </c>
      <c r="B58" s="3161" t="s">
        <v>2228</v>
      </c>
      <c r="C58" s="3174"/>
      <c r="D58" s="185">
        <f ca="1">IF(H58="转让取得",C81,C97)</f>
        <v>237</v>
      </c>
      <c r="E58" s="11" t="s">
        <v>2223</v>
      </c>
      <c r="F58" s="24" t="s">
        <v>34</v>
      </c>
      <c r="G58" s="2485"/>
      <c r="H58" s="2488" t="s">
        <v>2229</v>
      </c>
      <c r="I58" s="2489"/>
      <c r="J58" s="3130"/>
      <c r="K58" s="3130"/>
      <c r="L58" s="2490" t="s">
        <v>2230</v>
      </c>
      <c r="M58" s="1758"/>
      <c r="N58" s="2492" t="str">
        <f ca="1">NUMBERSTRING(INT(N57*10000),2)&amp;"元整"</f>
        <v>贰佰叁拾柒万元整</v>
      </c>
      <c r="O58" s="2493"/>
    </row>
    <row r="59" spans="1:35" ht="24.75"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32">
        <f>J57+1</f>
        <v>5</v>
      </c>
      <c r="K59" s="3130" t="s">
        <v>2233</v>
      </c>
      <c r="L59" s="2964" t="s">
        <v>2227</v>
      </c>
      <c r="M59" s="1759"/>
      <c r="N59" s="1760">
        <f ca="1">M49-N57</f>
        <v>181</v>
      </c>
      <c r="O59" s="2495"/>
    </row>
    <row r="60" spans="1:35" ht="12" customHeight="1">
      <c r="A60" s="2496"/>
      <c r="B60" s="2418"/>
      <c r="C60" s="2418"/>
      <c r="D60" s="2418"/>
      <c r="E60" s="2166"/>
      <c r="F60" s="2489"/>
      <c r="G60" s="2489"/>
      <c r="H60" s="2497"/>
      <c r="I60" s="138"/>
      <c r="J60" s="3133"/>
      <c r="K60" s="3130"/>
      <c r="L60" s="2490" t="s">
        <v>2230</v>
      </c>
      <c r="M60" s="1758"/>
      <c r="N60" s="2492" t="str">
        <f ca="1">NUMBERSTRING(INT(N59*10000),2)&amp;"元整"</f>
        <v>壹佰捌拾壹万元整</v>
      </c>
      <c r="O60" s="2493"/>
    </row>
    <row r="61" spans="1:35" ht="13.5" thickBot="1">
      <c r="A61" s="3193" t="s">
        <v>2234</v>
      </c>
      <c r="B61" s="3193"/>
      <c r="C61" s="3193"/>
      <c r="D61" s="3193"/>
      <c r="E61" s="3193"/>
      <c r="F61" s="2489"/>
      <c r="G61" s="2489"/>
      <c r="H61" s="2497"/>
      <c r="I61" s="138"/>
      <c r="J61" s="2964">
        <f>J59+1</f>
        <v>6</v>
      </c>
      <c r="K61" s="3130" t="s">
        <v>2235</v>
      </c>
      <c r="L61" s="3130"/>
      <c r="M61" s="1761"/>
      <c r="N61" s="1762">
        <f ca="1">ROUND(N59*10000/'数据-汇总表'!E3,0)</f>
        <v>3627</v>
      </c>
      <c r="O61" s="2498"/>
    </row>
    <row r="62" spans="1:35" ht="12.75">
      <c r="A62" s="3150" t="s">
        <v>2236</v>
      </c>
      <c r="B62" s="3151"/>
      <c r="C62" s="2969"/>
      <c r="D62" s="2969" t="s">
        <v>2237</v>
      </c>
      <c r="E62" s="192" t="s">
        <v>2238</v>
      </c>
      <c r="F62" s="2489"/>
      <c r="G62" s="2489"/>
      <c r="H62" s="2497"/>
      <c r="I62" s="138"/>
    </row>
    <row r="63" spans="1:35" ht="12.75">
      <c r="A63" s="203" t="s">
        <v>775</v>
      </c>
      <c r="B63" s="193" t="s">
        <v>2239</v>
      </c>
      <c r="C63" s="194">
        <f ca="1">ROUND((C64+C65)/(1+'数据-取费表'!C42),0)</f>
        <v>398</v>
      </c>
      <c r="D63" s="195"/>
      <c r="E63" s="196"/>
      <c r="F63" s="2489"/>
      <c r="G63" s="2489"/>
      <c r="H63" s="2497"/>
      <c r="I63" s="138"/>
      <c r="J63" s="3115" t="s">
        <v>2240</v>
      </c>
      <c r="K63" s="2960" t="s">
        <v>2241</v>
      </c>
      <c r="L63" s="1749">
        <f ca="1">IF(M49&gt;10000,M49*0.5%,IF(AND(M49&gt;1000,M49&lt;=10000),M49*1%,IF(AND(M49&gt;100,M49&lt;=1000),M49*3%,IF(AND(M49&gt;10,M49&lt;=100),M49*5%,M49*8%))))</f>
        <v>12.54</v>
      </c>
      <c r="M63" s="24">
        <f ca="1">ROUND(L63,1)</f>
        <v>12.5</v>
      </c>
      <c r="Z63" s="2423"/>
      <c r="AI63" s="2424"/>
    </row>
    <row r="64" spans="1:35" ht="14.25" customHeight="1">
      <c r="A64" s="197" t="s">
        <v>770</v>
      </c>
      <c r="B64" s="198" t="s">
        <v>2242</v>
      </c>
      <c r="C64" s="199">
        <f ca="1">D45</f>
        <v>418</v>
      </c>
      <c r="D64" s="200" t="s">
        <v>32</v>
      </c>
      <c r="E64" s="201"/>
      <c r="F64" s="2489"/>
      <c r="G64" s="2489"/>
      <c r="H64" s="2497"/>
      <c r="I64" s="138"/>
      <c r="J64" s="3115"/>
      <c r="K64" s="2960" t="s">
        <v>2243</v>
      </c>
      <c r="L64" s="1749">
        <f ca="1">IF(M49&gt;2000,M49*0.5%,IF(AND(M49&gt;1000,M49&lt;=2000),M49*0.6%,IF(AND(M49&gt;500,M49&lt;=1000),M49*0.7%,IF(AND(M49&gt;200,M49&lt;=500),M49*0.8%,IF(AND(M49&gt;100,M49&lt;=200),M49*0.9%,IF(AND(M49&gt;50,M49&lt;=100),M49*1%,IF(AND(M49&gt;20,M49&lt;=50),M49*1.5%,IF(AND(M49&gt;10,M49&lt;=20),M49*2%,IF(AND(M49&gt;1,M49&lt;=10),M49*2.5%)))))))))</f>
        <v>3.3439999999999999</v>
      </c>
      <c r="M64" s="24">
        <f t="shared" ref="M64:M65" ca="1" si="1">ROUND(L64,1)</f>
        <v>3.3</v>
      </c>
      <c r="N64" s="138" t="s">
        <v>2244</v>
      </c>
      <c r="Z64" s="2423"/>
      <c r="AI64" s="2424"/>
    </row>
    <row r="65" spans="1:35" ht="14.25" customHeight="1">
      <c r="A65" s="197" t="s">
        <v>771</v>
      </c>
      <c r="B65" s="198" t="s">
        <v>2245</v>
      </c>
      <c r="C65" s="202"/>
      <c r="D65" s="200"/>
      <c r="E65" s="201"/>
      <c r="F65" s="2489"/>
      <c r="G65" s="2489"/>
      <c r="H65" s="2497"/>
      <c r="I65" s="138"/>
      <c r="J65" s="3115"/>
      <c r="K65" s="2960" t="s">
        <v>2246</v>
      </c>
      <c r="L65" s="1749">
        <f ca="1">IF(M49&gt;1000,M49*0.1%,IF(AND(M49&gt;500,M49&lt;=1000),M49*0.5%,IF(AND(M49&gt;50,M49&lt;=500),M49*1%,IF(AND(M49&gt;1,M49&lt;=50),M49*1.5%))))</f>
        <v>4.18</v>
      </c>
      <c r="M65" s="24">
        <f t="shared" ca="1" si="1"/>
        <v>4.2</v>
      </c>
      <c r="N65" s="138" t="s">
        <v>2244</v>
      </c>
      <c r="Z65" s="2423"/>
      <c r="AI65" s="2424"/>
    </row>
    <row r="66" spans="1:35" ht="14.25" customHeight="1">
      <c r="A66" s="203" t="s">
        <v>772</v>
      </c>
      <c r="B66" s="204" t="s">
        <v>2247</v>
      </c>
      <c r="C66" s="205"/>
      <c r="D66" s="206" t="s">
        <v>32</v>
      </c>
      <c r="E66" s="1773" t="s">
        <v>1366</v>
      </c>
      <c r="F66" s="2489"/>
      <c r="G66" s="2489"/>
      <c r="H66" s="2497"/>
      <c r="I66" s="138"/>
      <c r="J66" s="3115"/>
      <c r="K66" s="2960" t="s">
        <v>2248</v>
      </c>
      <c r="L66" s="1749">
        <f ca="1">M49*0.5%</f>
        <v>2.09</v>
      </c>
      <c r="M66" s="24">
        <f ca="1">IF(L66&gt;0.5,0.5,ROUND(L66,0))</f>
        <v>0.5</v>
      </c>
      <c r="N66" s="138" t="s">
        <v>2249</v>
      </c>
      <c r="Z66" s="2423"/>
      <c r="AI66" s="2424"/>
    </row>
    <row r="67" spans="1:35" ht="14.25" customHeight="1">
      <c r="A67" s="203" t="s">
        <v>773</v>
      </c>
      <c r="B67" s="204" t="s">
        <v>2250</v>
      </c>
      <c r="C67" s="207">
        <f ca="1">C63-C66</f>
        <v>398</v>
      </c>
      <c r="D67" s="200" t="s">
        <v>32</v>
      </c>
      <c r="E67" s="201"/>
      <c r="F67" s="2489"/>
      <c r="G67" s="2489"/>
      <c r="H67" s="2497"/>
      <c r="I67" s="138"/>
      <c r="J67" s="3115"/>
      <c r="K67" s="2960" t="s">
        <v>2251</v>
      </c>
      <c r="L67" s="1749">
        <f ca="1">IF(M49&gt;=10000,(8.25+(M49-10000)*0.01%),IF(AND(M49&gt;=8000,M49&lt;10000),(7.85+(M49-8000)*0.02%),IF(AND(M49&gt;=5000,M49&lt;8000),(6.65+(M49-5000)*0.04%),IF(AND(M49&gt;=2000,M49&lt;5000),(4.25+(PM49-2000)*0.08%),IF(AND(M49&gt;=1000,M49&lt;2000),(2.75+(M49-1000)*0.15%),IF(AND(M49&gt;=100,M49&lt;1000),(0.5+(M49-100)*0.25%),IF(AND(M49&gt;0,M49&lt;100),M49*0.5%)))))))</f>
        <v>1.2949999999999999</v>
      </c>
      <c r="M67" s="24">
        <f ca="1">ROUND(L67*0.9,1)</f>
        <v>1.2</v>
      </c>
      <c r="Z67" s="2423"/>
      <c r="AI67" s="2424"/>
    </row>
    <row r="68" spans="1:35" ht="14.25" customHeight="1" thickBot="1">
      <c r="A68" s="208" t="s">
        <v>774</v>
      </c>
      <c r="B68" s="209" t="s">
        <v>2252</v>
      </c>
      <c r="C68" s="210">
        <f ca="1">IF(C67&lt;=0,0,ROUND(C67*D68,0))</f>
        <v>22</v>
      </c>
      <c r="D68" s="211">
        <f>'数据-取费表'!B41</f>
        <v>5.6000000000000001E-2</v>
      </c>
      <c r="E68" s="212"/>
      <c r="F68" s="2489"/>
      <c r="G68" s="2489"/>
      <c r="H68" s="2497"/>
      <c r="I68" s="138"/>
      <c r="J68" s="3115"/>
      <c r="K68" s="2960" t="s">
        <v>2253</v>
      </c>
      <c r="L68" s="1749">
        <f ca="1">IF(M49&gt;10000,M49*0.5%,IF(AND(M49&gt;5000,M49&lt;=10000),M49*1%,IF(AND(M49&gt;1000,M49&lt;=5000),M49*2%,IF(AND(M49&gt;200,M49&lt;=1000),M49*3%,M49*5%))))</f>
        <v>12.54</v>
      </c>
      <c r="M68" s="24">
        <f ca="1">ROUND(L68,1)</f>
        <v>12.5</v>
      </c>
      <c r="Z68" s="2423"/>
      <c r="AI68" s="2424"/>
    </row>
    <row r="69" spans="1:35" s="2446" customFormat="1" ht="16.5" customHeight="1">
      <c r="A69" s="2500"/>
      <c r="B69" s="2501"/>
      <c r="C69" s="2502"/>
      <c r="D69" s="2503"/>
      <c r="E69" s="2504"/>
      <c r="F69" s="2166"/>
      <c r="G69" s="2166"/>
      <c r="H69" s="2165"/>
      <c r="I69" s="2418"/>
      <c r="J69" s="3115"/>
      <c r="K69" s="2960" t="s">
        <v>2254</v>
      </c>
      <c r="L69" s="2505"/>
      <c r="M69" s="24">
        <f ca="1">ROUND(SUM(M63:M68),0)</f>
        <v>34</v>
      </c>
      <c r="N69" s="1750">
        <f ca="1">M69/M49</f>
        <v>8.1339712918660281E-2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9" t="s">
        <v>2255</v>
      </c>
      <c r="B70" s="3160"/>
      <c r="C70" s="3160"/>
      <c r="D70" s="3160"/>
      <c r="E70" s="3160"/>
      <c r="F70" s="3160"/>
      <c r="G70" s="3160"/>
      <c r="H70" s="3160"/>
      <c r="I70" s="3004"/>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0" t="s">
        <v>2236</v>
      </c>
      <c r="B71" s="3151"/>
      <c r="C71" s="2969"/>
      <c r="D71" s="2969" t="s">
        <v>2237</v>
      </c>
      <c r="E71" s="213" t="s">
        <v>2238</v>
      </c>
      <c r="F71" s="214"/>
      <c r="G71" s="214"/>
      <c r="H71" s="2996"/>
      <c r="I71" s="3006"/>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398</v>
      </c>
      <c r="D72" s="200" t="s">
        <v>32</v>
      </c>
      <c r="E72" s="2971"/>
      <c r="F72" s="2970"/>
      <c r="G72" s="2970"/>
      <c r="H72" s="2997"/>
      <c r="I72" s="3006"/>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2</v>
      </c>
      <c r="D73" s="200" t="s">
        <v>32</v>
      </c>
      <c r="E73" s="2971"/>
      <c r="F73" s="2970"/>
      <c r="G73" s="2970"/>
      <c r="H73" s="2997"/>
      <c r="I73" s="3006"/>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2971"/>
      <c r="F74" s="2970"/>
      <c r="G74" s="2970"/>
      <c r="H74" s="2997"/>
      <c r="I74" s="3006"/>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998" t="s">
        <v>2260</v>
      </c>
      <c r="F75" s="2999" t="s">
        <v>2261</v>
      </c>
      <c r="G75" s="2998"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56" t="s">
        <v>2264</v>
      </c>
      <c r="F76" s="3155"/>
      <c r="G76" s="3155"/>
      <c r="H76" s="3158"/>
      <c r="I76" s="3006"/>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2961" t="s">
        <v>2266</v>
      </c>
      <c r="F77" s="224"/>
      <c r="G77" s="2513" t="s">
        <v>2267</v>
      </c>
      <c r="H77" s="2972" t="str">
        <f>IF(G77="个人买卖住房","免征印花税"," ")</f>
        <v xml:space="preserve"> </v>
      </c>
      <c r="I77" s="3006"/>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2</v>
      </c>
      <c r="D78" s="226">
        <f>'数据-取费表'!B43</f>
        <v>6.000000000000001E-3</v>
      </c>
      <c r="E78" s="3147" t="s">
        <v>2269</v>
      </c>
      <c r="F78" s="3148"/>
      <c r="G78" s="3148"/>
      <c r="H78" s="3149"/>
      <c r="I78" s="3007"/>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2270</v>
      </c>
      <c r="C79" s="207">
        <f ca="1">C72-C73</f>
        <v>396</v>
      </c>
      <c r="D79" s="200" t="s">
        <v>32</v>
      </c>
      <c r="E79" s="2971"/>
      <c r="F79" s="2970"/>
      <c r="G79" s="2970"/>
      <c r="H79" s="2997"/>
      <c r="I79" s="3006"/>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198</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70"/>
      <c r="G80" s="2970"/>
      <c r="H80" s="2997"/>
      <c r="I80" s="3006"/>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3000"/>
      <c r="I81" s="3006"/>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3005"/>
      <c r="I82" s="3007"/>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9" t="s">
        <v>2273</v>
      </c>
      <c r="B83" s="3160"/>
      <c r="C83" s="3160"/>
      <c r="D83" s="3160"/>
      <c r="E83" s="3160"/>
      <c r="F83" s="3160"/>
      <c r="G83" s="3160"/>
      <c r="H83" s="316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0" t="s">
        <v>2236</v>
      </c>
      <c r="B84" s="3151"/>
      <c r="C84" s="2969"/>
      <c r="D84" s="2969" t="s">
        <v>2237</v>
      </c>
      <c r="E84" s="213" t="s">
        <v>2238</v>
      </c>
      <c r="F84" s="214"/>
      <c r="G84" s="214"/>
      <c r="H84" s="3001"/>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398</v>
      </c>
      <c r="D85" s="200" t="s">
        <v>32</v>
      </c>
      <c r="E85" s="2971"/>
      <c r="F85" s="2970"/>
      <c r="G85" s="2970"/>
      <c r="H85" s="3002"/>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2</v>
      </c>
      <c r="D86" s="235"/>
      <c r="E86" s="2971"/>
      <c r="F86" s="2970"/>
      <c r="G86" s="2970"/>
      <c r="H86" s="3002"/>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2966"/>
      <c r="F87" s="2967"/>
      <c r="G87" s="2967"/>
      <c r="H87" s="296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296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2967"/>
      <c r="G89" s="2967"/>
      <c r="H89" s="296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2967"/>
      <c r="G90" s="2967"/>
      <c r="H90" s="296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47" t="s">
        <v>2282</v>
      </c>
      <c r="F91" s="3148"/>
      <c r="G91" s="3148"/>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47" t="s">
        <v>2286</v>
      </c>
      <c r="F92" s="3148"/>
      <c r="G92" s="3148"/>
      <c r="H92" s="314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2</v>
      </c>
      <c r="D93" s="226">
        <f>'数据-取费表'!B43</f>
        <v>6.000000000000001E-3</v>
      </c>
      <c r="E93" s="3147" t="s">
        <v>2269</v>
      </c>
      <c r="F93" s="3148"/>
      <c r="G93" s="3148"/>
      <c r="H93" s="314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95" t="s">
        <v>2290</v>
      </c>
      <c r="F94" s="3196"/>
      <c r="G94" s="3196"/>
      <c r="H94" s="31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2270</v>
      </c>
      <c r="C95" s="207">
        <f ca="1">ROUND(C85-C86,0)</f>
        <v>396</v>
      </c>
      <c r="D95" s="200" t="s">
        <v>32</v>
      </c>
      <c r="E95" s="2971"/>
      <c r="F95" s="2970"/>
      <c r="G95" s="2970"/>
      <c r="H95" s="3002"/>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198</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70"/>
      <c r="G96" s="2970"/>
      <c r="H96" s="3002"/>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237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3003"/>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99" t="s">
        <v>2292</v>
      </c>
      <c r="B100" s="3100"/>
      <c r="C100" s="3100"/>
      <c r="D100" s="3131"/>
      <c r="E100" s="3100" t="s">
        <v>2293</v>
      </c>
      <c r="F100" s="3100"/>
      <c r="G100" s="3100"/>
      <c r="H100" s="3131"/>
      <c r="I100" s="138"/>
    </row>
    <row r="101" spans="1:35" ht="18.75" customHeight="1">
      <c r="A101" s="3139" t="s">
        <v>2294</v>
      </c>
      <c r="B101" s="3140"/>
      <c r="C101" s="736" t="str">
        <f>C4</f>
        <v>比较法-住宅</v>
      </c>
      <c r="D101" s="737" t="str">
        <f>D4</f>
        <v>收益法 (办公)</v>
      </c>
      <c r="E101" s="3111" t="s">
        <v>2295</v>
      </c>
      <c r="F101" s="3112"/>
      <c r="G101" s="2520" t="s">
        <v>2296</v>
      </c>
      <c r="H101" s="1045">
        <f ca="1">H118</f>
        <v>418</v>
      </c>
      <c r="I101" s="138"/>
    </row>
    <row r="102" spans="1:35" ht="18.75" customHeight="1">
      <c r="A102" s="3141" t="s">
        <v>2297</v>
      </c>
      <c r="B102" s="2520" t="s">
        <v>2296</v>
      </c>
      <c r="C102" s="736">
        <f ca="1">C19</f>
        <v>491</v>
      </c>
      <c r="D102" s="737">
        <f ca="1">D19</f>
        <v>309</v>
      </c>
      <c r="E102" s="3111"/>
      <c r="F102" s="3112"/>
      <c r="G102" s="2520" t="s">
        <v>2298</v>
      </c>
      <c r="H102" s="371">
        <f ca="1">I118</f>
        <v>8376</v>
      </c>
      <c r="I102" s="138"/>
    </row>
    <row r="103" spans="1:35" ht="42.75" customHeight="1">
      <c r="A103" s="3141"/>
      <c r="B103" s="2520" t="s">
        <v>2298</v>
      </c>
      <c r="C103" s="738">
        <f ca="1">C20</f>
        <v>88449</v>
      </c>
      <c r="D103" s="739">
        <f ca="1">D20</f>
        <v>55716</v>
      </c>
      <c r="E103" s="3105" t="s">
        <v>2299</v>
      </c>
      <c r="F103" s="3106"/>
      <c r="G103" s="2521" t="s">
        <v>2300</v>
      </c>
      <c r="H103" s="1045">
        <f>IF(D36="正常操作",H104+H105+H106,H105+H106)</f>
        <v>0</v>
      </c>
      <c r="I103" s="138"/>
    </row>
    <row r="104" spans="1:35" ht="18.75" customHeight="1">
      <c r="A104" s="3141" t="s">
        <v>2301</v>
      </c>
      <c r="B104" s="2522" t="s">
        <v>2296</v>
      </c>
      <c r="C104" s="740">
        <f ca="1">H118</f>
        <v>418</v>
      </c>
      <c r="D104" s="741"/>
      <c r="E104" s="2267" t="s">
        <v>2302</v>
      </c>
      <c r="F104" s="2258"/>
      <c r="G104" s="2521" t="s">
        <v>2300</v>
      </c>
      <c r="H104" s="1046">
        <f>IF(D36="同一抵押权人同一抵押物续贷",C36&amp;"（未扣减，详见特别提示）",C36)</f>
        <v>0</v>
      </c>
      <c r="I104" s="138"/>
    </row>
    <row r="105" spans="1:35" ht="18.75" customHeight="1" thickBot="1">
      <c r="A105" s="3153"/>
      <c r="B105" s="2523" t="s">
        <v>2298</v>
      </c>
      <c r="C105" s="742">
        <f ca="1">I118</f>
        <v>8376</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42" t="str">
        <f>IF(项目基本情况!E8="已注销","——","3.房地产抵押价值")</f>
        <v>3.房地产抵押价值</v>
      </c>
      <c r="F107" s="3112"/>
      <c r="G107" s="2520" t="s">
        <v>2296</v>
      </c>
      <c r="H107" s="1045">
        <f ca="1">IF(E107="——","——",H101-H103)</f>
        <v>418</v>
      </c>
      <c r="I107" s="138"/>
    </row>
    <row r="108" spans="1:35" ht="18.75" customHeight="1">
      <c r="A108" s="138"/>
      <c r="B108" s="138"/>
      <c r="C108" s="138"/>
      <c r="D108" s="138"/>
      <c r="E108" s="3142"/>
      <c r="F108" s="3112"/>
      <c r="G108" s="2520" t="s">
        <v>2298</v>
      </c>
      <c r="H108" s="371">
        <f ca="1">ROUND(H107*10000/'数据-汇总表'!E3,0)</f>
        <v>8376</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20" t="s">
        <v>2296</v>
      </c>
      <c r="H109" s="348" t="str">
        <f>IF(E109="——","——",H101-H105-H106)</f>
        <v>——</v>
      </c>
      <c r="I109" s="138"/>
    </row>
    <row r="110" spans="1:35" ht="18.75" customHeight="1">
      <c r="A110" s="138"/>
      <c r="B110" s="138"/>
      <c r="C110" s="138"/>
      <c r="D110" s="138"/>
      <c r="E110" s="3142"/>
      <c r="F110" s="3112"/>
      <c r="G110" s="2520"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0" t="s">
        <v>2296</v>
      </c>
      <c r="H111" s="1045" t="str">
        <f>IF(E111="——","——",N59)</f>
        <v>——</v>
      </c>
      <c r="I111" s="138"/>
    </row>
    <row r="112" spans="1:35" ht="18.75" customHeight="1" thickBot="1">
      <c r="A112" s="138"/>
      <c r="B112" s="138"/>
      <c r="C112" s="138"/>
      <c r="D112" s="138"/>
      <c r="E112" s="3145"/>
      <c r="F112" s="3146"/>
      <c r="G112" s="2525" t="s">
        <v>2298</v>
      </c>
      <c r="H112" s="790" t="str">
        <f>IF(E111="——","——",N61)</f>
        <v>——</v>
      </c>
      <c r="I112" s="138"/>
    </row>
    <row r="113" spans="1:11" ht="18.75" customHeight="1">
      <c r="A113" s="138"/>
      <c r="B113" s="138"/>
      <c r="C113" s="138"/>
      <c r="D113" s="138"/>
      <c r="E113" s="3154" t="s">
        <v>2304</v>
      </c>
      <c r="F113" s="3154"/>
      <c r="G113" s="3154"/>
      <c r="H113" s="3154"/>
      <c r="I113" s="138"/>
    </row>
    <row r="114" spans="1:11" ht="3.75" customHeight="1">
      <c r="A114" s="2418"/>
      <c r="B114" s="2418"/>
      <c r="C114" s="2418"/>
      <c r="D114" s="2418"/>
      <c r="E114" s="2496"/>
      <c r="F114" s="2496"/>
      <c r="G114" s="2496"/>
      <c r="H114" s="2496"/>
      <c r="I114" s="2418"/>
    </row>
    <row r="115" spans="1:11" ht="18.75" customHeight="1">
      <c r="A115" s="3167" t="s">
        <v>2306</v>
      </c>
      <c r="B115" s="3168"/>
      <c r="C115" s="3168"/>
      <c r="D115" s="3168"/>
      <c r="E115" s="3168"/>
      <c r="F115" s="3168"/>
      <c r="G115" s="3168"/>
      <c r="H115" s="3168"/>
      <c r="I115" s="3169"/>
    </row>
    <row r="116" spans="1:11" ht="27" customHeight="1">
      <c r="A116" s="3074" t="s">
        <v>2307</v>
      </c>
      <c r="B116" s="3121" t="s">
        <v>2308</v>
      </c>
      <c r="C116" s="3121" t="s">
        <v>2309</v>
      </c>
      <c r="D116" s="3127" t="s">
        <v>2310</v>
      </c>
      <c r="E116" s="3128"/>
      <c r="F116" s="3163" t="s">
        <v>2311</v>
      </c>
      <c r="G116" s="3163"/>
      <c r="H116" s="3074" t="s">
        <v>2312</v>
      </c>
      <c r="I116" s="3074"/>
    </row>
    <row r="117" spans="1:11" ht="18.75" customHeight="1">
      <c r="A117" s="3074"/>
      <c r="B117" s="3122"/>
      <c r="C117" s="3122"/>
      <c r="D117" s="2956" t="s">
        <v>2313</v>
      </c>
      <c r="E117" s="2956" t="s">
        <v>2314</v>
      </c>
      <c r="F117" s="2956" t="s">
        <v>2313</v>
      </c>
      <c r="G117" s="2956" t="s">
        <v>2315</v>
      </c>
      <c r="H117" s="2956" t="s">
        <v>2313</v>
      </c>
      <c r="I117" s="2956" t="s">
        <v>2315</v>
      </c>
    </row>
    <row r="118" spans="1:11" ht="24.75" customHeight="1">
      <c r="A118" s="2526" t="str">
        <f>项目基本情况!S2</f>
        <v>房地产</v>
      </c>
      <c r="B118" s="2956">
        <f>M18</f>
        <v>499.07</v>
      </c>
      <c r="C118" s="2956">
        <f>M19</f>
        <v>14543</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f ca="1">ROUND(IF(D32="总价",C32,I118*B118/10000),0)</f>
        <v>418</v>
      </c>
      <c r="I118" s="2956">
        <f ca="1">ROUND(IF(D32="楼面单价",C32,H118*10000/B118),0)</f>
        <v>8376</v>
      </c>
    </row>
    <row r="119" spans="1:11" ht="18.75" customHeight="1">
      <c r="A119" s="3074" t="s">
        <v>2316</v>
      </c>
      <c r="B119" s="3074"/>
      <c r="C119" s="3074"/>
      <c r="D119" s="3123" t="e">
        <f ca="1">NUMBERSTRING(INT(D118*10000),2)&amp;"元整"</f>
        <v>#REF!</v>
      </c>
      <c r="E119" s="3124"/>
      <c r="F119" s="3123" t="e">
        <f ca="1">NUMBERSTRING(INT(F118*10000),2)&amp;"元整"</f>
        <v>#REF!</v>
      </c>
      <c r="G119" s="3124"/>
      <c r="H119" s="3123" t="str">
        <f ca="1">NUMBERSTRING(INT(H118*10000),2)&amp;"元整"</f>
        <v>肆佰壹拾捌万元整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3" t="str">
        <f>IF(D120=0,"故，本次评估不存在"&amp;A120,"故，本次评估"&amp;A120&amp;"为人民币"&amp;D120&amp;"万元整。")</f>
        <v>故，本次评估不存在估价师知悉的法定优先受偿款</v>
      </c>
    </row>
    <row r="121" spans="1:11" ht="18.75" customHeight="1">
      <c r="A121" s="3164" t="s">
        <v>2316</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418</v>
      </c>
      <c r="E122" s="3119"/>
      <c r="F122" s="3119"/>
      <c r="G122" s="3119"/>
      <c r="H122" s="3119"/>
      <c r="I122" s="3120"/>
    </row>
    <row r="123" spans="1:11" ht="18.75" customHeight="1">
      <c r="A123" s="3074" t="s">
        <v>2316</v>
      </c>
      <c r="B123" s="3074"/>
      <c r="C123" s="3074"/>
      <c r="D123" s="3123" t="str">
        <f ca="1">NUMBERSTRING(INT(D122*10000),2)&amp;"元整"</f>
        <v>肆佰壹拾捌万元整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4" t="s">
        <v>2316</v>
      </c>
      <c r="B125" s="3074"/>
      <c r="C125" s="3074"/>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4" t="s">
        <v>2316</v>
      </c>
      <c r="B127" s="3074"/>
      <c r="C127" s="3074"/>
      <c r="D127" s="3123" t="e">
        <f>NUMBERSTRING(INT(D126*10000),2)&amp;"元整"</f>
        <v>#VALUE!</v>
      </c>
      <c r="E127" s="3125"/>
      <c r="F127" s="3125"/>
      <c r="G127" s="3125"/>
      <c r="H127" s="3125"/>
      <c r="I127" s="3124"/>
    </row>
    <row r="128" spans="1:11" ht="21.75" customHeight="1">
      <c r="A128" s="3126" t="s">
        <v>2317</v>
      </c>
      <c r="B128" s="3126"/>
      <c r="C128" s="3126"/>
      <c r="D128" s="3126"/>
      <c r="E128" s="3126"/>
      <c r="F128" s="3126"/>
      <c r="G128" s="3126"/>
      <c r="H128" s="3126"/>
      <c r="I128" s="3126"/>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5" zoomScale="90" zoomScaleNormal="90" workbookViewId="0">
      <selection activeCell="E39" sqref="E3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t="s">
        <v>27</v>
      </c>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491</v>
      </c>
      <c r="C2" s="2588" t="s">
        <v>70</v>
      </c>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f>IF(C2="——",C49,ROUND(B2*10000/D3,0))</f>
        <v>88449</v>
      </c>
      <c r="C3" s="400" t="s">
        <v>2533</v>
      </c>
      <c r="D3" s="399">
        <f>IF(D1="",'数据-汇总表'!E3,SUMIF('数据-汇总表'!$C19:$C33,D1,'数据-汇总表'!$E19:$E33))</f>
        <v>55.46</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9" t="s">
        <v>2535</v>
      </c>
      <c r="D4" s="3220"/>
      <c r="E4" s="3221" t="s">
        <v>2536</v>
      </c>
      <c r="F4" s="3222"/>
      <c r="G4" s="3219" t="s">
        <v>2537</v>
      </c>
      <c r="H4" s="3220"/>
      <c r="I4" s="3219" t="s">
        <v>2538</v>
      </c>
      <c r="J4" s="3220"/>
      <c r="K4" s="2598" t="s">
        <v>2539</v>
      </c>
      <c r="L4" s="1130"/>
      <c r="M4" s="1131"/>
      <c r="N4" s="1131"/>
      <c r="O4" s="1131"/>
      <c r="P4" s="3223" t="s">
        <v>2540</v>
      </c>
      <c r="Q4" s="3224"/>
      <c r="R4" s="3206" t="s">
        <v>2536</v>
      </c>
      <c r="S4" s="3207"/>
      <c r="T4" s="3206" t="s">
        <v>2537</v>
      </c>
      <c r="U4" s="3207"/>
      <c r="V4" s="3231" t="s">
        <v>2538</v>
      </c>
      <c r="W4" s="3231"/>
      <c r="X4" s="1813"/>
      <c r="Y4" s="3206" t="s">
        <v>2540</v>
      </c>
      <c r="Z4" s="3207"/>
      <c r="AA4" s="3201" t="s">
        <v>2536</v>
      </c>
      <c r="AB4" s="3201" t="s">
        <v>2537</v>
      </c>
      <c r="AC4" s="3201" t="s">
        <v>2538</v>
      </c>
    </row>
    <row r="5" spans="1:29" ht="15">
      <c r="A5" s="404"/>
      <c r="B5" s="405"/>
      <c r="C5" s="3212" t="s">
        <v>2541</v>
      </c>
      <c r="D5" s="3213"/>
      <c r="E5" s="3285" t="s">
        <v>3145</v>
      </c>
      <c r="F5" s="3211"/>
      <c r="G5" s="3286" t="s">
        <v>3147</v>
      </c>
      <c r="H5" s="3213"/>
      <c r="I5" s="3286" t="s">
        <v>3148</v>
      </c>
      <c r="J5" s="3213"/>
      <c r="K5" s="2599"/>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2545</v>
      </c>
      <c r="D6" s="3215"/>
      <c r="E6" s="3216" t="s">
        <v>2545</v>
      </c>
      <c r="F6" s="3217"/>
      <c r="G6" s="3214" t="s">
        <v>2545</v>
      </c>
      <c r="H6" s="3215"/>
      <c r="I6" s="3214" t="s">
        <v>2545</v>
      </c>
      <c r="J6" s="3215"/>
      <c r="K6" s="2599" t="s">
        <v>2546</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2547</v>
      </c>
      <c r="B7" s="409"/>
      <c r="C7" s="410">
        <f>'数据-取费表'!B2</f>
        <v>43845</v>
      </c>
      <c r="D7" s="411">
        <v>100</v>
      </c>
      <c r="E7" s="412">
        <f>C7</f>
        <v>43845</v>
      </c>
      <c r="F7" s="413">
        <f>SUMIF(58:58,YEAR(E7)&amp;"-"&amp;MONTH(E7),59:59)</f>
        <v>100</v>
      </c>
      <c r="G7" s="412">
        <f>C7</f>
        <v>43845</v>
      </c>
      <c r="H7" s="411">
        <f>SUMIF(58:58,YEAR(G7)&amp;"-"&amp;MONTH(G7),59:59)</f>
        <v>100</v>
      </c>
      <c r="I7" s="412">
        <f>C7</f>
        <v>43845</v>
      </c>
      <c r="J7" s="411">
        <f>SUMIF(58:58,YEAR(I7)&amp;"-"&amp;MONTH(I7),59:59)</f>
        <v>100</v>
      </c>
      <c r="K7" s="2600"/>
      <c r="L7" s="1132"/>
      <c r="M7" s="1133"/>
      <c r="N7" s="1133"/>
      <c r="O7" s="1133"/>
      <c r="P7" s="3204" t="s">
        <v>2548</v>
      </c>
      <c r="Q7" s="3232"/>
      <c r="R7" s="770" t="s">
        <v>23</v>
      </c>
      <c r="S7" s="771">
        <f t="shared" ref="S7:S15" si="0">F7</f>
        <v>100</v>
      </c>
      <c r="T7" s="770" t="s">
        <v>23</v>
      </c>
      <c r="U7" s="771">
        <f t="shared" ref="U7:U15" si="1">H7</f>
        <v>100</v>
      </c>
      <c r="V7" s="770" t="s">
        <v>23</v>
      </c>
      <c r="W7" s="771">
        <f t="shared" ref="W7:W15" si="2">J7</f>
        <v>100</v>
      </c>
      <c r="X7" s="772"/>
      <c r="Y7" s="3204" t="s">
        <v>2548</v>
      </c>
      <c r="Z7" s="3205"/>
      <c r="AA7" s="773">
        <f>D7/F7</f>
        <v>1</v>
      </c>
      <c r="AB7" s="773">
        <f>D7/H7</f>
        <v>1</v>
      </c>
      <c r="AC7" s="773">
        <f>D7/J7</f>
        <v>1</v>
      </c>
    </row>
    <row r="8" spans="1:29" s="117" customFormat="1" ht="15.75" thickBot="1">
      <c r="A8" s="408" t="s">
        <v>2549</v>
      </c>
      <c r="B8" s="409"/>
      <c r="C8" s="414" t="s">
        <v>2550</v>
      </c>
      <c r="D8" s="411">
        <v>100</v>
      </c>
      <c r="E8" s="2601" t="s">
        <v>3100</v>
      </c>
      <c r="F8" s="413">
        <f>SUMIF(61:61,E8,62:62)-SUMIF(61:61,C8,62:62)+100</f>
        <v>100</v>
      </c>
      <c r="G8" s="414" t="s">
        <v>3100</v>
      </c>
      <c r="H8" s="411">
        <f>SUMIF(61:61,G8,62:62)-SUMIF(61:61,C8,62:62)+100</f>
        <v>100</v>
      </c>
      <c r="I8" s="2601" t="s">
        <v>3100</v>
      </c>
      <c r="J8" s="411">
        <f>SUMIF(61:61,I8,62:62)-SUMIF(61:61,C8,62:62)+100</f>
        <v>100</v>
      </c>
      <c r="K8" s="2600"/>
      <c r="L8" s="1132"/>
      <c r="M8" s="1133"/>
      <c r="N8" s="1133"/>
      <c r="O8" s="1133"/>
      <c r="P8" s="3204" t="s">
        <v>2551</v>
      </c>
      <c r="Q8" s="3205"/>
      <c r="R8" s="770" t="s">
        <v>23</v>
      </c>
      <c r="S8" s="771">
        <f t="shared" si="0"/>
        <v>100</v>
      </c>
      <c r="T8" s="770" t="s">
        <v>23</v>
      </c>
      <c r="U8" s="771">
        <f t="shared" si="1"/>
        <v>100</v>
      </c>
      <c r="V8" s="770" t="s">
        <v>23</v>
      </c>
      <c r="W8" s="771">
        <f t="shared" si="2"/>
        <v>100</v>
      </c>
      <c r="X8" s="772"/>
      <c r="Y8" s="3204" t="s">
        <v>2551</v>
      </c>
      <c r="Z8" s="3205"/>
      <c r="AA8" s="773">
        <f t="shared" ref="AA8:AA19" si="3">D8/F8</f>
        <v>1</v>
      </c>
      <c r="AB8" s="773">
        <f t="shared" ref="AB8:AB19" si="4">D8/H8</f>
        <v>1</v>
      </c>
      <c r="AC8" s="773">
        <f t="shared" ref="AC8:AC19" si="5">D8/J8</f>
        <v>1</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2" t="s">
        <v>2554</v>
      </c>
      <c r="Q9" s="1795" t="str">
        <f t="shared" ref="Q9:Q15" si="6">B9</f>
        <v>用途</v>
      </c>
      <c r="R9" s="770" t="s">
        <v>17</v>
      </c>
      <c r="S9" s="771">
        <f t="shared" si="0"/>
        <v>100</v>
      </c>
      <c r="T9" s="770" t="s">
        <v>17</v>
      </c>
      <c r="U9" s="771">
        <f t="shared" si="1"/>
        <v>100</v>
      </c>
      <c r="V9" s="770" t="s">
        <v>17</v>
      </c>
      <c r="W9" s="771">
        <f t="shared" si="2"/>
        <v>100</v>
      </c>
      <c r="X9" s="772"/>
      <c r="Y9" s="3074" t="s">
        <v>2555</v>
      </c>
      <c r="Z9" s="55" t="str">
        <f t="shared" ref="Z9:Z15" si="7">Q9</f>
        <v>用途</v>
      </c>
      <c r="AA9" s="773">
        <f t="shared" si="3"/>
        <v>1</v>
      </c>
      <c r="AB9" s="773">
        <f t="shared" si="4"/>
        <v>1</v>
      </c>
      <c r="AC9" s="773">
        <f t="shared" si="5"/>
        <v>1</v>
      </c>
    </row>
    <row r="10" spans="1:29" s="427" customFormat="1" ht="27">
      <c r="A10" s="421"/>
      <c r="B10" s="422" t="s">
        <v>2556</v>
      </c>
      <c r="C10" s="423" t="s">
        <v>3146</v>
      </c>
      <c r="D10" s="136">
        <v>100</v>
      </c>
      <c r="E10" s="424" t="s">
        <v>3146</v>
      </c>
      <c r="F10" s="425">
        <f>SUMIF(65:65,E10,66:66)-SUMIF(65:65,C10,66:66)+100</f>
        <v>100</v>
      </c>
      <c r="G10" s="423" t="s">
        <v>3146</v>
      </c>
      <c r="H10" s="136">
        <f>SUMIF(65:65,G10,66:66)-SUMIF(65:65,C10,66:66)+100</f>
        <v>100</v>
      </c>
      <c r="I10" s="423" t="s">
        <v>3146</v>
      </c>
      <c r="J10" s="136">
        <f>SUMIF(65:65,I10,66:66)-SUMIF(65:65,C10,66:66)+100</f>
        <v>100</v>
      </c>
      <c r="K10" s="426"/>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75" thickBot="1">
      <c r="A11" s="428"/>
      <c r="B11" s="422" t="s">
        <v>2557</v>
      </c>
      <c r="C11" s="429">
        <v>5.87</v>
      </c>
      <c r="D11" s="136">
        <v>100</v>
      </c>
      <c r="E11" s="430">
        <v>3.47</v>
      </c>
      <c r="F11" s="425">
        <f>LOOKUP(E11,68:68,69:69)-LOOKUP(C11,68:68,69:69)+100</f>
        <v>104</v>
      </c>
      <c r="G11" s="429">
        <v>2.4</v>
      </c>
      <c r="H11" s="136">
        <f>LOOKUP(G11,68:68,69:69)-LOOKUP(C11,68:68,69:69)+100</f>
        <v>106</v>
      </c>
      <c r="I11" s="429">
        <v>1.26</v>
      </c>
      <c r="J11" s="136">
        <f>LOOKUP(I11,68:68,69:69)-LOOKUP(C11,68:68,69:69)+100</f>
        <v>108</v>
      </c>
      <c r="K11" s="426">
        <v>2</v>
      </c>
      <c r="L11" s="1138"/>
      <c r="M11" s="1131"/>
      <c r="N11" s="1131"/>
      <c r="O11" s="1131"/>
      <c r="P11" s="3242"/>
      <c r="Q11" s="1795" t="str">
        <f t="shared" si="6"/>
        <v>容积率</v>
      </c>
      <c r="R11" s="770" t="s">
        <v>21</v>
      </c>
      <c r="S11" s="771">
        <f t="shared" si="0"/>
        <v>104</v>
      </c>
      <c r="T11" s="770" t="s">
        <v>21</v>
      </c>
      <c r="U11" s="771">
        <f t="shared" si="1"/>
        <v>106</v>
      </c>
      <c r="V11" s="770" t="s">
        <v>21</v>
      </c>
      <c r="W11" s="771">
        <f t="shared" si="2"/>
        <v>108</v>
      </c>
      <c r="X11" s="772"/>
      <c r="Y11" s="3074"/>
      <c r="Z11" s="55" t="str">
        <f t="shared" si="7"/>
        <v>容积率</v>
      </c>
      <c r="AA11" s="773">
        <f t="shared" si="3"/>
        <v>0.96153846153846156</v>
      </c>
      <c r="AB11" s="773">
        <f t="shared" si="4"/>
        <v>0.94339622641509435</v>
      </c>
      <c r="AC11" s="773">
        <f t="shared" si="5"/>
        <v>0.92592592592592593</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2"/>
      <c r="Q12" s="1795">
        <f t="shared" si="6"/>
        <v>111</v>
      </c>
      <c r="R12" s="770" t="s">
        <v>21</v>
      </c>
      <c r="S12" s="771">
        <f t="shared" si="0"/>
        <v>100</v>
      </c>
      <c r="T12" s="770" t="s">
        <v>21</v>
      </c>
      <c r="U12" s="771">
        <f t="shared" si="1"/>
        <v>100</v>
      </c>
      <c r="V12" s="770" t="s">
        <v>21</v>
      </c>
      <c r="W12" s="771">
        <f t="shared" si="2"/>
        <v>100</v>
      </c>
      <c r="X12" s="772"/>
      <c r="Y12" s="307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2"/>
      <c r="Q13" s="1795">
        <f t="shared" si="6"/>
        <v>111</v>
      </c>
      <c r="R13" s="770" t="s">
        <v>21</v>
      </c>
      <c r="S13" s="771">
        <f t="shared" si="0"/>
        <v>100</v>
      </c>
      <c r="T13" s="770" t="s">
        <v>21</v>
      </c>
      <c r="U13" s="771">
        <f t="shared" si="1"/>
        <v>100</v>
      </c>
      <c r="V13" s="770" t="s">
        <v>21</v>
      </c>
      <c r="W13" s="771">
        <f t="shared" si="2"/>
        <v>100</v>
      </c>
      <c r="X13" s="772"/>
      <c r="Y13" s="3074"/>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2"/>
      <c r="Q14" s="1795">
        <f t="shared" si="6"/>
        <v>111</v>
      </c>
      <c r="R14" s="770" t="s">
        <v>21</v>
      </c>
      <c r="S14" s="771">
        <f t="shared" si="0"/>
        <v>100</v>
      </c>
      <c r="T14" s="770" t="s">
        <v>21</v>
      </c>
      <c r="U14" s="771">
        <f t="shared" si="1"/>
        <v>100</v>
      </c>
      <c r="V14" s="770" t="s">
        <v>21</v>
      </c>
      <c r="W14" s="771">
        <f t="shared" si="2"/>
        <v>100</v>
      </c>
      <c r="X14" s="772"/>
      <c r="Y14" s="3074"/>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76" t="s">
        <v>2559</v>
      </c>
      <c r="Q15" s="1810" t="str">
        <f t="shared" si="6"/>
        <v>居住社区成熟度</v>
      </c>
      <c r="R15" s="774" t="s">
        <v>21</v>
      </c>
      <c r="S15" s="775">
        <f t="shared" si="0"/>
        <v>100</v>
      </c>
      <c r="T15" s="774" t="s">
        <v>21</v>
      </c>
      <c r="U15" s="775">
        <f t="shared" si="1"/>
        <v>100</v>
      </c>
      <c r="V15" s="774" t="s">
        <v>21</v>
      </c>
      <c r="W15" s="775">
        <f t="shared" si="2"/>
        <v>100</v>
      </c>
      <c r="X15" s="1813"/>
      <c r="Y15" s="3233" t="s">
        <v>2559</v>
      </c>
      <c r="Z15" s="1814" t="str">
        <f t="shared" si="7"/>
        <v>居住社区成熟度</v>
      </c>
      <c r="AA15" s="1811">
        <f t="shared" si="3"/>
        <v>1</v>
      </c>
      <c r="AB15" s="1811">
        <f t="shared" si="4"/>
        <v>1</v>
      </c>
      <c r="AC15" s="1811">
        <f t="shared" si="5"/>
        <v>1</v>
      </c>
    </row>
    <row r="16" spans="1:29" ht="15">
      <c r="A16" s="428"/>
      <c r="B16" s="446"/>
      <c r="C16" s="447" t="s">
        <v>3126</v>
      </c>
      <c r="D16" s="448"/>
      <c r="E16" s="2606" t="s">
        <v>3126</v>
      </c>
      <c r="F16" s="448"/>
      <c r="G16" s="2607" t="s">
        <v>3126</v>
      </c>
      <c r="H16" s="450"/>
      <c r="I16" s="2607" t="s">
        <v>3126</v>
      </c>
      <c r="J16" s="448"/>
      <c r="K16" s="2608"/>
      <c r="L16" s="1140"/>
      <c r="M16" s="1131"/>
      <c r="N16" s="1131"/>
      <c r="O16" s="1131"/>
      <c r="P16" s="3277"/>
      <c r="Q16" s="1810"/>
      <c r="R16" s="774"/>
      <c r="S16" s="775"/>
      <c r="T16" s="774"/>
      <c r="U16" s="775"/>
      <c r="V16" s="774"/>
      <c r="W16" s="775"/>
      <c r="X16" s="1813"/>
      <c r="Y16" s="3234"/>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0"/>
      <c r="M17" s="1131"/>
      <c r="N17" s="1131"/>
      <c r="O17" s="1131"/>
      <c r="P17" s="3277"/>
      <c r="Q17" s="1810" t="str">
        <f>B17</f>
        <v>交通便捷度</v>
      </c>
      <c r="R17" s="774" t="s">
        <v>21</v>
      </c>
      <c r="S17" s="775">
        <f>F17</f>
        <v>100</v>
      </c>
      <c r="T17" s="774" t="s">
        <v>21</v>
      </c>
      <c r="U17" s="775">
        <f>H17</f>
        <v>100</v>
      </c>
      <c r="V17" s="774" t="s">
        <v>21</v>
      </c>
      <c r="W17" s="775">
        <f>J17</f>
        <v>100</v>
      </c>
      <c r="X17" s="1813"/>
      <c r="Y17" s="3234"/>
      <c r="Z17" s="1814" t="str">
        <f>Q17</f>
        <v>交通便捷度</v>
      </c>
      <c r="AA17" s="1811">
        <f t="shared" si="3"/>
        <v>1</v>
      </c>
      <c r="AB17" s="1811">
        <f t="shared" si="4"/>
        <v>1</v>
      </c>
      <c r="AC17" s="1811">
        <f t="shared" si="5"/>
        <v>1</v>
      </c>
    </row>
    <row r="18" spans="1:29" ht="15">
      <c r="A18" s="428"/>
      <c r="B18" s="456"/>
      <c r="C18" s="2610" t="s">
        <v>3126</v>
      </c>
      <c r="D18" s="450"/>
      <c r="E18" s="2611" t="s">
        <v>3126</v>
      </c>
      <c r="F18" s="450"/>
      <c r="G18" s="2612" t="s">
        <v>3126</v>
      </c>
      <c r="H18" s="448"/>
      <c r="I18" s="2612" t="s">
        <v>3126</v>
      </c>
      <c r="J18" s="448"/>
      <c r="K18" s="2608"/>
      <c r="L18" s="1140"/>
      <c r="M18" s="1131"/>
      <c r="N18" s="1131"/>
      <c r="O18" s="1131"/>
      <c r="P18" s="3277"/>
      <c r="Q18" s="1810"/>
      <c r="R18" s="774"/>
      <c r="S18" s="775"/>
      <c r="T18" s="774"/>
      <c r="U18" s="775"/>
      <c r="V18" s="774"/>
      <c r="W18" s="775"/>
      <c r="X18" s="1813"/>
      <c r="Y18" s="3234"/>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105</v>
      </c>
      <c r="I19" s="457"/>
      <c r="J19" s="450">
        <f>SUMIF(80:80,I20,81:81)-SUMIF(80:80,C20,81:81)+100</f>
        <v>105</v>
      </c>
      <c r="K19" s="445">
        <v>5</v>
      </c>
      <c r="L19" s="1140"/>
      <c r="M19" s="1131"/>
      <c r="N19" s="1131"/>
      <c r="O19" s="1131"/>
      <c r="P19" s="3277"/>
      <c r="Q19" s="1810" t="str">
        <f>B19</f>
        <v>公共配套设施</v>
      </c>
      <c r="R19" s="774" t="s">
        <v>21</v>
      </c>
      <c r="S19" s="775">
        <f>F19</f>
        <v>100</v>
      </c>
      <c r="T19" s="774" t="s">
        <v>21</v>
      </c>
      <c r="U19" s="775">
        <f>H19</f>
        <v>105</v>
      </c>
      <c r="V19" s="774" t="s">
        <v>21</v>
      </c>
      <c r="W19" s="775">
        <f>J19</f>
        <v>105</v>
      </c>
      <c r="X19" s="1813"/>
      <c r="Y19" s="3234"/>
      <c r="Z19" s="1814" t="str">
        <f>Q19</f>
        <v>公共配套设施</v>
      </c>
      <c r="AA19" s="1811">
        <f t="shared" si="3"/>
        <v>1</v>
      </c>
      <c r="AB19" s="1811">
        <f t="shared" si="4"/>
        <v>0.95238095238095233</v>
      </c>
      <c r="AC19" s="1811">
        <f t="shared" si="5"/>
        <v>0.95238095238095233</v>
      </c>
    </row>
    <row r="20" spans="1:29" ht="15">
      <c r="A20" s="428"/>
      <c r="B20" s="456"/>
      <c r="C20" s="447" t="s">
        <v>3126</v>
      </c>
      <c r="D20" s="448"/>
      <c r="E20" s="2606" t="s">
        <v>3126</v>
      </c>
      <c r="F20" s="448"/>
      <c r="G20" s="2607" t="s">
        <v>3149</v>
      </c>
      <c r="H20" s="448"/>
      <c r="I20" s="2607" t="s">
        <v>3149</v>
      </c>
      <c r="J20" s="448"/>
      <c r="K20" s="2608"/>
      <c r="L20" s="1140"/>
      <c r="M20" s="1131"/>
      <c r="N20" s="1131"/>
      <c r="O20" s="1131"/>
      <c r="P20" s="3277"/>
      <c r="Q20" s="1810"/>
      <c r="R20" s="774"/>
      <c r="S20" s="775"/>
      <c r="T20" s="774"/>
      <c r="U20" s="775"/>
      <c r="V20" s="774"/>
      <c r="W20" s="775"/>
      <c r="X20" s="1813"/>
      <c r="Y20" s="3234"/>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40"/>
      <c r="M21" s="1131"/>
      <c r="N21" s="1131"/>
      <c r="O21" s="1131"/>
      <c r="P21" s="3277"/>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1811">
        <f t="shared" ref="AC21" si="10">D21/J21</f>
        <v>1</v>
      </c>
    </row>
    <row r="22" spans="1:29" ht="15">
      <c r="A22" s="428"/>
      <c r="B22" s="1384"/>
      <c r="C22" s="2610" t="s">
        <v>3127</v>
      </c>
      <c r="D22" s="448"/>
      <c r="E22" s="447" t="s">
        <v>3127</v>
      </c>
      <c r="F22" s="448"/>
      <c r="G22" s="2613" t="s">
        <v>3127</v>
      </c>
      <c r="H22" s="448"/>
      <c r="I22" s="447" t="s">
        <v>3127</v>
      </c>
      <c r="J22" s="448"/>
      <c r="K22" s="2614"/>
      <c r="L22" s="1140"/>
      <c r="M22" s="1131"/>
      <c r="N22" s="1131"/>
      <c r="O22" s="1131"/>
      <c r="P22" s="3277"/>
      <c r="Q22" s="1810"/>
      <c r="R22" s="774"/>
      <c r="S22" s="775"/>
      <c r="T22" s="774"/>
      <c r="U22" s="775"/>
      <c r="V22" s="774"/>
      <c r="W22" s="775"/>
      <c r="X22" s="1813"/>
      <c r="Y22" s="3234"/>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105</v>
      </c>
      <c r="I23" s="452"/>
      <c r="J23" s="450">
        <f>SUMIF(84:84,I24,85:85)-SUMIF(84:84,C24,85:85)+100</f>
        <v>105</v>
      </c>
      <c r="K23" s="445">
        <v>5</v>
      </c>
      <c r="L23" s="1140"/>
      <c r="M23" s="1131"/>
      <c r="N23" s="1131"/>
      <c r="O23" s="1131"/>
      <c r="P23" s="3277"/>
      <c r="Q23" s="1810" t="str">
        <f>B23</f>
        <v>自然及人文环境</v>
      </c>
      <c r="R23" s="774" t="s">
        <v>21</v>
      </c>
      <c r="S23" s="775">
        <f>F23</f>
        <v>100</v>
      </c>
      <c r="T23" s="774" t="s">
        <v>21</v>
      </c>
      <c r="U23" s="775">
        <f>H23</f>
        <v>105</v>
      </c>
      <c r="V23" s="774" t="s">
        <v>21</v>
      </c>
      <c r="W23" s="775">
        <f>J23</f>
        <v>105</v>
      </c>
      <c r="X23" s="1813"/>
      <c r="Y23" s="3234"/>
      <c r="Z23" s="1814" t="str">
        <f>Q23</f>
        <v>自然及人文环境</v>
      </c>
      <c r="AA23" s="1811">
        <f>D23/F23</f>
        <v>1</v>
      </c>
      <c r="AB23" s="1811">
        <f>D23/H23</f>
        <v>0.95238095238095233</v>
      </c>
      <c r="AC23" s="1811">
        <f>D23/J23</f>
        <v>0.95238095238095233</v>
      </c>
    </row>
    <row r="24" spans="1:29" ht="15.75" thickBot="1">
      <c r="A24" s="428"/>
      <c r="B24" s="456"/>
      <c r="C24" s="447" t="s">
        <v>3126</v>
      </c>
      <c r="D24" s="448"/>
      <c r="E24" s="2606" t="s">
        <v>3126</v>
      </c>
      <c r="F24" s="448"/>
      <c r="G24" s="2607" t="s">
        <v>3149</v>
      </c>
      <c r="H24" s="448"/>
      <c r="I24" s="2607" t="s">
        <v>3149</v>
      </c>
      <c r="J24" s="448"/>
      <c r="K24" s="2608"/>
      <c r="L24" s="1140"/>
      <c r="M24" s="1131"/>
      <c r="N24" s="1131"/>
      <c r="O24" s="1131"/>
      <c r="P24" s="3277"/>
      <c r="Q24" s="1810"/>
      <c r="R24" s="774"/>
      <c r="S24" s="775"/>
      <c r="T24" s="774"/>
      <c r="U24" s="775"/>
      <c r="V24" s="774"/>
      <c r="W24" s="775"/>
      <c r="X24" s="1813"/>
      <c r="Y24" s="3234"/>
      <c r="Z24" s="1814"/>
      <c r="AA24" s="1811">
        <v>1</v>
      </c>
      <c r="AB24" s="1811">
        <v>1</v>
      </c>
      <c r="AC24" s="1811">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7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4"/>
      <c r="Z25" s="1814" t="str">
        <f>Q25</f>
        <v>楼层-1</v>
      </c>
      <c r="AA25" s="1811">
        <f t="shared" ref="AA25:AA46" si="15">D25/F25</f>
        <v>1</v>
      </c>
      <c r="AB25" s="1811">
        <f t="shared" ref="AB25:AB46" si="16">D25/H25</f>
        <v>1</v>
      </c>
      <c r="AC25" s="1811">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77"/>
      <c r="Q26" s="1810" t="str">
        <f t="shared" si="11"/>
        <v>朝向</v>
      </c>
      <c r="R26" s="774" t="s">
        <v>21</v>
      </c>
      <c r="S26" s="775">
        <f t="shared" si="12"/>
        <v>100</v>
      </c>
      <c r="T26" s="774" t="s">
        <v>21</v>
      </c>
      <c r="U26" s="775">
        <f t="shared" si="13"/>
        <v>100</v>
      </c>
      <c r="V26" s="774" t="s">
        <v>21</v>
      </c>
      <c r="W26" s="775">
        <f t="shared" si="14"/>
        <v>100</v>
      </c>
      <c r="X26" s="1813"/>
      <c r="Y26" s="3234"/>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77"/>
      <c r="Q27" s="1795">
        <f t="shared" si="11"/>
        <v>111</v>
      </c>
      <c r="R27" s="770" t="s">
        <v>21</v>
      </c>
      <c r="S27" s="771">
        <f t="shared" si="12"/>
        <v>100</v>
      </c>
      <c r="T27" s="770" t="s">
        <v>21</v>
      </c>
      <c r="U27" s="771">
        <f t="shared" si="13"/>
        <v>100</v>
      </c>
      <c r="V27" s="770" t="s">
        <v>21</v>
      </c>
      <c r="W27" s="771">
        <f t="shared" si="14"/>
        <v>100</v>
      </c>
      <c r="X27" s="772"/>
      <c r="Y27" s="3234"/>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77"/>
      <c r="Q28" s="1810">
        <f t="shared" si="11"/>
        <v>111</v>
      </c>
      <c r="R28" s="774" t="s">
        <v>21</v>
      </c>
      <c r="S28" s="775">
        <f t="shared" si="12"/>
        <v>100</v>
      </c>
      <c r="T28" s="774" t="s">
        <v>21</v>
      </c>
      <c r="U28" s="775">
        <f t="shared" si="13"/>
        <v>100</v>
      </c>
      <c r="V28" s="774" t="s">
        <v>21</v>
      </c>
      <c r="W28" s="775">
        <f t="shared" si="14"/>
        <v>100</v>
      </c>
      <c r="X28" s="1813"/>
      <c r="Y28" s="3234"/>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77"/>
      <c r="Q29" s="1810">
        <f t="shared" si="11"/>
        <v>111</v>
      </c>
      <c r="R29" s="774" t="s">
        <v>21</v>
      </c>
      <c r="S29" s="775">
        <f t="shared" si="12"/>
        <v>100</v>
      </c>
      <c r="T29" s="774" t="s">
        <v>21</v>
      </c>
      <c r="U29" s="775">
        <f t="shared" si="13"/>
        <v>100</v>
      </c>
      <c r="V29" s="774" t="s">
        <v>21</v>
      </c>
      <c r="W29" s="775">
        <f t="shared" si="14"/>
        <v>100</v>
      </c>
      <c r="X29" s="1813"/>
      <c r="Y29" s="3234"/>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77"/>
      <c r="Q30" s="1810">
        <f t="shared" si="11"/>
        <v>111</v>
      </c>
      <c r="R30" s="774" t="s">
        <v>21</v>
      </c>
      <c r="S30" s="775">
        <f t="shared" si="12"/>
        <v>100</v>
      </c>
      <c r="T30" s="774" t="s">
        <v>21</v>
      </c>
      <c r="U30" s="775">
        <f t="shared" si="13"/>
        <v>100</v>
      </c>
      <c r="V30" s="774" t="s">
        <v>21</v>
      </c>
      <c r="W30" s="775">
        <f t="shared" si="14"/>
        <v>100</v>
      </c>
      <c r="X30" s="1813"/>
      <c r="Y30" s="3234"/>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77"/>
      <c r="Q31" s="1810">
        <f t="shared" si="11"/>
        <v>111</v>
      </c>
      <c r="R31" s="774" t="s">
        <v>21</v>
      </c>
      <c r="S31" s="775">
        <f t="shared" si="12"/>
        <v>100</v>
      </c>
      <c r="T31" s="774" t="s">
        <v>21</v>
      </c>
      <c r="U31" s="775">
        <f t="shared" si="13"/>
        <v>100</v>
      </c>
      <c r="V31" s="774" t="s">
        <v>21</v>
      </c>
      <c r="W31" s="775">
        <f t="shared" si="14"/>
        <v>100</v>
      </c>
      <c r="X31" s="1813"/>
      <c r="Y31" s="3234"/>
      <c r="Z31" s="1814">
        <f t="shared" si="18"/>
        <v>111</v>
      </c>
      <c r="AA31" s="1811">
        <f t="shared" si="15"/>
        <v>1</v>
      </c>
      <c r="AB31" s="1811">
        <f t="shared" si="16"/>
        <v>1</v>
      </c>
      <c r="AC31" s="1811">
        <f t="shared" si="17"/>
        <v>1</v>
      </c>
    </row>
    <row r="32" spans="1:29" ht="15">
      <c r="A32" s="440" t="s">
        <v>2562</v>
      </c>
      <c r="B32" s="71" t="s">
        <v>2563</v>
      </c>
      <c r="C32" s="2619" t="s">
        <v>3152</v>
      </c>
      <c r="D32" s="467">
        <v>100</v>
      </c>
      <c r="E32" s="2620" t="s">
        <v>3152</v>
      </c>
      <c r="F32" s="461">
        <f>SUMIF(100:100,E32,101:101)-SUMIF(100:100,C32,101:101)+100</f>
        <v>100</v>
      </c>
      <c r="G32" s="2619" t="s">
        <v>3152</v>
      </c>
      <c r="H32" s="467">
        <f>SUMIF(100:100,G32,101:101)-SUMIF(100:100,C32,101:101)+100</f>
        <v>100</v>
      </c>
      <c r="I32" s="2620" t="s">
        <v>3152</v>
      </c>
      <c r="J32" s="435">
        <f>SUMIF(100:100,I32,101:101)-SUMIF(100:100,C32,101:101)+100</f>
        <v>100</v>
      </c>
      <c r="K32" s="426">
        <v>2</v>
      </c>
      <c r="L32" s="1140"/>
      <c r="M32" s="1131"/>
      <c r="N32" s="1131"/>
      <c r="O32" s="1131"/>
      <c r="P32" s="3272" t="s">
        <v>2564</v>
      </c>
      <c r="Q32" s="1810" t="str">
        <f t="shared" si="11"/>
        <v>建筑类型</v>
      </c>
      <c r="R32" s="774" t="s">
        <v>21</v>
      </c>
      <c r="S32" s="775">
        <f t="shared" si="12"/>
        <v>100</v>
      </c>
      <c r="T32" s="774" t="s">
        <v>21</v>
      </c>
      <c r="U32" s="775">
        <f t="shared" si="13"/>
        <v>100</v>
      </c>
      <c r="V32" s="774" t="s">
        <v>21</v>
      </c>
      <c r="W32" s="775">
        <f t="shared" si="14"/>
        <v>100</v>
      </c>
      <c r="X32" s="1813"/>
      <c r="Y32" s="3236"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3"/>
      <c r="L33" s="1138"/>
      <c r="M33" s="1141"/>
      <c r="N33" s="1141"/>
      <c r="O33" s="1141"/>
      <c r="P33" s="3273"/>
      <c r="Q33" s="776" t="str">
        <f t="shared" si="11"/>
        <v>项目建筑规模</v>
      </c>
      <c r="R33" s="777" t="s">
        <v>21</v>
      </c>
      <c r="S33" s="778">
        <f t="shared" si="12"/>
        <v>100</v>
      </c>
      <c r="T33" s="777" t="s">
        <v>21</v>
      </c>
      <c r="U33" s="778">
        <f t="shared" si="13"/>
        <v>100</v>
      </c>
      <c r="V33" s="777" t="s">
        <v>21</v>
      </c>
      <c r="W33" s="778">
        <f t="shared" si="14"/>
        <v>100</v>
      </c>
      <c r="X33" s="779"/>
      <c r="Y33" s="3236"/>
      <c r="Z33" s="780" t="str">
        <f t="shared" si="18"/>
        <v>项目建筑规模</v>
      </c>
      <c r="AA33" s="1811">
        <f t="shared" si="15"/>
        <v>1</v>
      </c>
      <c r="AB33" s="1811">
        <f t="shared" si="16"/>
        <v>1</v>
      </c>
      <c r="AC33" s="1811">
        <f t="shared" si="17"/>
        <v>1</v>
      </c>
    </row>
    <row r="34" spans="1:29" ht="15">
      <c r="A34" s="472"/>
      <c r="B34" s="422" t="s">
        <v>2566</v>
      </c>
      <c r="C34" s="2621" t="s">
        <v>3103</v>
      </c>
      <c r="D34" s="435">
        <v>100</v>
      </c>
      <c r="E34" s="2622" t="s">
        <v>3103</v>
      </c>
      <c r="F34" s="461">
        <f>SUMIF(105:105,E34,106:106)-SUMIF(105:105,C34,106:106)+100</f>
        <v>100</v>
      </c>
      <c r="G34" s="2621" t="s">
        <v>3103</v>
      </c>
      <c r="H34" s="435">
        <f>SUMIF(105:105,G34,106:106)-SUMIF(105:105,C34,106:106)+100</f>
        <v>100</v>
      </c>
      <c r="I34" s="2622" t="s">
        <v>3103</v>
      </c>
      <c r="J34" s="435">
        <f>SUMIF(105:105,I34,106:106)-SUMIF(105:105,C34,106:106)+100</f>
        <v>100</v>
      </c>
      <c r="K34" s="426">
        <v>2</v>
      </c>
      <c r="L34" s="1140"/>
      <c r="M34" s="1131"/>
      <c r="N34" s="1131"/>
      <c r="O34" s="1131"/>
      <c r="P34" s="3273"/>
      <c r="Q34" s="1810" t="str">
        <f t="shared" si="11"/>
        <v>建筑结构</v>
      </c>
      <c r="R34" s="774" t="s">
        <v>21</v>
      </c>
      <c r="S34" s="775">
        <f t="shared" si="12"/>
        <v>100</v>
      </c>
      <c r="T34" s="774" t="s">
        <v>21</v>
      </c>
      <c r="U34" s="775">
        <f t="shared" si="13"/>
        <v>100</v>
      </c>
      <c r="V34" s="774" t="s">
        <v>21</v>
      </c>
      <c r="W34" s="775">
        <f t="shared" si="14"/>
        <v>100</v>
      </c>
      <c r="X34" s="1813"/>
      <c r="Y34" s="3236"/>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v>3</v>
      </c>
      <c r="L35" s="1140"/>
      <c r="M35" s="1131"/>
      <c r="N35" s="1131"/>
      <c r="O35" s="1131"/>
      <c r="P35" s="3273"/>
      <c r="Q35" s="1810" t="str">
        <f t="shared" si="11"/>
        <v>建筑品质</v>
      </c>
      <c r="R35" s="774" t="s">
        <v>21</v>
      </c>
      <c r="S35" s="775">
        <f t="shared" si="12"/>
        <v>100</v>
      </c>
      <c r="T35" s="774" t="s">
        <v>21</v>
      </c>
      <c r="U35" s="775">
        <f t="shared" si="13"/>
        <v>100</v>
      </c>
      <c r="V35" s="774" t="s">
        <v>21</v>
      </c>
      <c r="W35" s="775">
        <f t="shared" si="14"/>
        <v>100</v>
      </c>
      <c r="X35" s="1813"/>
      <c r="Y35" s="3236"/>
      <c r="Z35" s="1814" t="str">
        <f t="shared" si="18"/>
        <v>建筑品质</v>
      </c>
      <c r="AA35" s="1811">
        <f t="shared" si="15"/>
        <v>1</v>
      </c>
      <c r="AB35" s="1811">
        <f t="shared" si="16"/>
        <v>1</v>
      </c>
      <c r="AC35" s="1811">
        <f t="shared" si="17"/>
        <v>1</v>
      </c>
    </row>
    <row r="36" spans="1:29" ht="15">
      <c r="A36" s="472"/>
      <c r="B36" s="422" t="s">
        <v>2568</v>
      </c>
      <c r="C36" s="2615" t="s">
        <v>3129</v>
      </c>
      <c r="D36" s="435">
        <v>100</v>
      </c>
      <c r="E36" s="2616" t="s">
        <v>3129</v>
      </c>
      <c r="F36" s="461">
        <f>SUMIF(109:109,E36,110:110)-SUMIF(109:109,C36,110:110)+100</f>
        <v>100</v>
      </c>
      <c r="G36" s="2615" t="s">
        <v>3129</v>
      </c>
      <c r="H36" s="435">
        <f>SUMIF(109:109,G36,110:110)-SUMIF(109:109,C36,110:110)+100</f>
        <v>100</v>
      </c>
      <c r="I36" s="2616" t="s">
        <v>3129</v>
      </c>
      <c r="J36" s="435">
        <f>SUMIF(109:109,I36,110:110)-SUMIF(109:109,C36,110:110)+100</f>
        <v>100</v>
      </c>
      <c r="K36" s="426">
        <v>3</v>
      </c>
      <c r="L36" s="1140"/>
      <c r="M36" s="1131"/>
      <c r="N36" s="1131"/>
      <c r="O36" s="1131"/>
      <c r="P36" s="3273"/>
      <c r="Q36" s="1810" t="str">
        <f t="shared" si="11"/>
        <v>公共部分装修</v>
      </c>
      <c r="R36" s="774" t="s">
        <v>21</v>
      </c>
      <c r="S36" s="775">
        <f t="shared" si="12"/>
        <v>100</v>
      </c>
      <c r="T36" s="774" t="s">
        <v>21</v>
      </c>
      <c r="U36" s="775">
        <f t="shared" si="13"/>
        <v>100</v>
      </c>
      <c r="V36" s="774" t="s">
        <v>21</v>
      </c>
      <c r="W36" s="775">
        <f t="shared" si="14"/>
        <v>100</v>
      </c>
      <c r="X36" s="1813"/>
      <c r="Y36" s="3236"/>
      <c r="Z36" s="1814" t="str">
        <f t="shared" si="18"/>
        <v>公共部分装修</v>
      </c>
      <c r="AA36" s="1811">
        <f t="shared" si="15"/>
        <v>1</v>
      </c>
      <c r="AB36" s="1811">
        <f t="shared" si="16"/>
        <v>1</v>
      </c>
      <c r="AC36" s="1811">
        <f t="shared" si="17"/>
        <v>1</v>
      </c>
    </row>
    <row r="37" spans="1:29" s="117" customFormat="1" ht="15">
      <c r="A37" s="473"/>
      <c r="B37" s="422" t="s">
        <v>2569</v>
      </c>
      <c r="C37" s="474">
        <f>'数据-取费表'!N6</f>
        <v>0.8</v>
      </c>
      <c r="D37" s="136">
        <v>100</v>
      </c>
      <c r="E37" s="801">
        <f>ROUND(1-(2020-2013)/60,2)</f>
        <v>0.88</v>
      </c>
      <c r="F37" s="425">
        <f>LOOKUP(E37,112:112,113:113)-LOOKUP(C37,112:112,113:113)+100</f>
        <v>100</v>
      </c>
      <c r="G37" s="801">
        <f>ROUND(1-(2020-2015)/60,2)</f>
        <v>0.92</v>
      </c>
      <c r="H37" s="136">
        <f>LOOKUP(G37,112:112,113:113)-LOOKUP(C37,112:112,113:113)+100</f>
        <v>102</v>
      </c>
      <c r="I37" s="801">
        <f>ROUND(1-(2020-2018)/60,2)</f>
        <v>0.97</v>
      </c>
      <c r="J37" s="136">
        <f>LOOKUP(I37,112:112,113:113)-LOOKUP(C37,112:112,113:113)+100</f>
        <v>102</v>
      </c>
      <c r="K37" s="426">
        <v>2</v>
      </c>
      <c r="L37" s="1132"/>
      <c r="M37" s="1133"/>
      <c r="N37" s="1133"/>
      <c r="O37" s="1133"/>
      <c r="P37" s="3273"/>
      <c r="Q37" s="1795" t="str">
        <f t="shared" si="11"/>
        <v>成新度</v>
      </c>
      <c r="R37" s="770" t="s">
        <v>21</v>
      </c>
      <c r="S37" s="771">
        <f t="shared" si="12"/>
        <v>100</v>
      </c>
      <c r="T37" s="770" t="s">
        <v>21</v>
      </c>
      <c r="U37" s="771">
        <f t="shared" si="13"/>
        <v>102</v>
      </c>
      <c r="V37" s="770" t="s">
        <v>21</v>
      </c>
      <c r="W37" s="771">
        <f t="shared" si="14"/>
        <v>102</v>
      </c>
      <c r="X37" s="772"/>
      <c r="Y37" s="3236"/>
      <c r="Z37" s="55" t="str">
        <f t="shared" si="18"/>
        <v>成新度</v>
      </c>
      <c r="AA37" s="773">
        <f t="shared" si="15"/>
        <v>1</v>
      </c>
      <c r="AB37" s="773">
        <f t="shared" si="16"/>
        <v>0.98039215686274506</v>
      </c>
      <c r="AC37" s="773">
        <f t="shared" si="17"/>
        <v>0.98039215686274506</v>
      </c>
    </row>
    <row r="38" spans="1:29" ht="15">
      <c r="A38" s="472"/>
      <c r="B38" s="422" t="s">
        <v>2570</v>
      </c>
      <c r="C38" s="2615" t="s">
        <v>3154</v>
      </c>
      <c r="D38" s="435">
        <v>100</v>
      </c>
      <c r="E38" s="2616" t="s">
        <v>3154</v>
      </c>
      <c r="F38" s="461">
        <f>SUMIF(114:114,E38,115:115)-SUMIF(114:114,C38,115:115)+100</f>
        <v>100</v>
      </c>
      <c r="G38" s="2615" t="s">
        <v>3154</v>
      </c>
      <c r="H38" s="435">
        <f>SUMIF(114:114,G38,115:115)-SUMIF(114:114,C38,115:115)+100</f>
        <v>100</v>
      </c>
      <c r="I38" s="2616" t="s">
        <v>3154</v>
      </c>
      <c r="J38" s="435">
        <f>SUMIF(114:114,I38,115:115)-SUMIF(114:114,C38,115:115)+100</f>
        <v>100</v>
      </c>
      <c r="K38" s="426">
        <v>1</v>
      </c>
      <c r="L38" s="1140"/>
      <c r="M38" s="1131"/>
      <c r="N38" s="1131"/>
      <c r="O38" s="1131"/>
      <c r="P38" s="3273" t="s">
        <v>2564</v>
      </c>
      <c r="Q38" s="1810" t="str">
        <f t="shared" si="11"/>
        <v>物业管理</v>
      </c>
      <c r="R38" s="774" t="s">
        <v>21</v>
      </c>
      <c r="S38" s="775">
        <f t="shared" si="12"/>
        <v>100</v>
      </c>
      <c r="T38" s="774" t="s">
        <v>21</v>
      </c>
      <c r="U38" s="775">
        <f t="shared" si="13"/>
        <v>100</v>
      </c>
      <c r="V38" s="774" t="s">
        <v>21</v>
      </c>
      <c r="W38" s="775">
        <f t="shared" si="14"/>
        <v>100</v>
      </c>
      <c r="X38" s="1813"/>
      <c r="Y38" s="3236" t="s">
        <v>2564</v>
      </c>
      <c r="Z38" s="1814" t="str">
        <f t="shared" si="18"/>
        <v>物业管理</v>
      </c>
      <c r="AA38" s="1811">
        <f t="shared" si="15"/>
        <v>1</v>
      </c>
      <c r="AB38" s="1811">
        <f t="shared" si="16"/>
        <v>1</v>
      </c>
      <c r="AC38" s="1811">
        <f t="shared" si="17"/>
        <v>1</v>
      </c>
    </row>
    <row r="39" spans="1:29" ht="15">
      <c r="A39" s="472"/>
      <c r="B39" s="422" t="s">
        <v>2571</v>
      </c>
      <c r="C39" s="2615" t="s">
        <v>3158</v>
      </c>
      <c r="D39" s="435">
        <v>100</v>
      </c>
      <c r="E39" s="2616" t="s">
        <v>3127</v>
      </c>
      <c r="F39" s="461">
        <f>SUMIF(116:116,E39,117:117)-SUMIF(116:116,C39,117:117)+100</f>
        <v>102</v>
      </c>
      <c r="G39" s="2615" t="s">
        <v>3158</v>
      </c>
      <c r="H39" s="435">
        <f>SUMIF(116:116,G39,117:117)-SUMIF(116:116,C39,117:117)+100</f>
        <v>100</v>
      </c>
      <c r="I39" s="2616" t="s">
        <v>3158</v>
      </c>
      <c r="J39" s="435">
        <f>SUMIF(116:116,I39,117:117)-SUMIF(116:116,C39,117:117)+100</f>
        <v>100</v>
      </c>
      <c r="K39" s="426">
        <v>2</v>
      </c>
      <c r="L39" s="1140"/>
      <c r="M39" s="1131"/>
      <c r="N39" s="1131"/>
      <c r="O39" s="1131"/>
      <c r="P39" s="3273"/>
      <c r="Q39" s="1810" t="str">
        <f t="shared" si="11"/>
        <v>市政基础设施</v>
      </c>
      <c r="R39" s="774" t="s">
        <v>21</v>
      </c>
      <c r="S39" s="775">
        <f t="shared" si="12"/>
        <v>102</v>
      </c>
      <c r="T39" s="774" t="s">
        <v>21</v>
      </c>
      <c r="U39" s="775">
        <f t="shared" si="13"/>
        <v>100</v>
      </c>
      <c r="V39" s="774" t="s">
        <v>21</v>
      </c>
      <c r="W39" s="775">
        <f t="shared" si="14"/>
        <v>100</v>
      </c>
      <c r="X39" s="1813"/>
      <c r="Y39" s="3236"/>
      <c r="Z39" s="1814" t="str">
        <f t="shared" si="18"/>
        <v>市政基础设施</v>
      </c>
      <c r="AA39" s="1811">
        <f t="shared" si="15"/>
        <v>0.98039215686274506</v>
      </c>
      <c r="AB39" s="1811">
        <f t="shared" si="16"/>
        <v>1</v>
      </c>
      <c r="AC39" s="1811">
        <f t="shared" si="17"/>
        <v>1</v>
      </c>
    </row>
    <row r="40" spans="1:29" ht="15">
      <c r="A40" s="472"/>
      <c r="B40" s="422" t="s">
        <v>2572</v>
      </c>
      <c r="C40" s="2615" t="s">
        <v>3163</v>
      </c>
      <c r="D40" s="435">
        <v>100</v>
      </c>
      <c r="E40" s="2616" t="s">
        <v>3163</v>
      </c>
      <c r="F40" s="461">
        <f>SUMIF(118:118,E40,119:119)-SUMIF(118:118,C40,119:119)+100</f>
        <v>100</v>
      </c>
      <c r="G40" s="2615" t="s">
        <v>3161</v>
      </c>
      <c r="H40" s="435">
        <f>SUMIF(118:118,G40,119:119)-SUMIF(118:118,C40,119:119)+100</f>
        <v>105</v>
      </c>
      <c r="I40" s="2616" t="s">
        <v>3163</v>
      </c>
      <c r="J40" s="435">
        <f>SUMIF(118:118,I40,119:119)-SUMIF(118:118,C40,119:119)+100</f>
        <v>100</v>
      </c>
      <c r="K40" s="426">
        <v>5</v>
      </c>
      <c r="L40" s="1140"/>
      <c r="M40" s="1131"/>
      <c r="N40" s="1131"/>
      <c r="O40" s="1131"/>
      <c r="P40" s="3273"/>
      <c r="Q40" s="1810" t="str">
        <f t="shared" si="11"/>
        <v>房型</v>
      </c>
      <c r="R40" s="774" t="s">
        <v>21</v>
      </c>
      <c r="S40" s="775">
        <f t="shared" si="12"/>
        <v>100</v>
      </c>
      <c r="T40" s="774" t="s">
        <v>21</v>
      </c>
      <c r="U40" s="775">
        <f t="shared" si="13"/>
        <v>105</v>
      </c>
      <c r="V40" s="774" t="s">
        <v>21</v>
      </c>
      <c r="W40" s="775">
        <f t="shared" si="14"/>
        <v>100</v>
      </c>
      <c r="X40" s="1813"/>
      <c r="Y40" s="3236"/>
      <c r="Z40" s="1814" t="str">
        <f t="shared" si="18"/>
        <v>房型</v>
      </c>
      <c r="AA40" s="1811">
        <f t="shared" si="15"/>
        <v>1</v>
      </c>
      <c r="AB40" s="1811">
        <f t="shared" si="16"/>
        <v>0.95238095238095233</v>
      </c>
      <c r="AC40" s="1811">
        <f t="shared" si="17"/>
        <v>1</v>
      </c>
    </row>
    <row r="41" spans="1:29" s="471" customFormat="1" ht="28.5">
      <c r="A41" s="468"/>
      <c r="B41" s="422" t="s">
        <v>2573</v>
      </c>
      <c r="C41" s="469">
        <f>'数据-汇总表'!F19</f>
        <v>55.46</v>
      </c>
      <c r="D41" s="136">
        <v>100</v>
      </c>
      <c r="E41" s="430">
        <v>150</v>
      </c>
      <c r="F41" s="425">
        <f>SUMIF(120:120,E41,121:121)-SUMIF(120:120,C41,121:121)+100</f>
        <v>100</v>
      </c>
      <c r="G41" s="429">
        <v>330</v>
      </c>
      <c r="H41" s="136">
        <f>SUMIF(120:120,G41,121:121)-SUMIF(120:120,C41,121:121)+100</f>
        <v>100</v>
      </c>
      <c r="I41" s="477">
        <v>147</v>
      </c>
      <c r="J41" s="435">
        <f>SUMIF(120:120,I41,121:121)-SUMIF(120:120,C41,121:121)+100</f>
        <v>100</v>
      </c>
      <c r="K41" s="2603"/>
      <c r="L41" s="1138"/>
      <c r="M41" s="1141"/>
      <c r="N41" s="1141"/>
      <c r="O41" s="1141"/>
      <c r="P41" s="3273"/>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1">
        <f t="shared" si="15"/>
        <v>1</v>
      </c>
      <c r="AB41" s="1811">
        <f t="shared" si="16"/>
        <v>1</v>
      </c>
      <c r="AC41" s="1811">
        <f t="shared" si="17"/>
        <v>1</v>
      </c>
    </row>
    <row r="42" spans="1:29" ht="15">
      <c r="A42" s="472"/>
      <c r="B42" s="422" t="s">
        <v>2574</v>
      </c>
      <c r="C42" s="2615" t="s">
        <v>3129</v>
      </c>
      <c r="D42" s="435">
        <v>100</v>
      </c>
      <c r="E42" s="2616" t="s">
        <v>3129</v>
      </c>
      <c r="F42" s="461">
        <f>SUMIF(122:122,E42,123:123)-SUMIF(122:122,C42,123:123)+100</f>
        <v>100</v>
      </c>
      <c r="G42" s="2615" t="s">
        <v>3129</v>
      </c>
      <c r="H42" s="435">
        <f>SUMIF(122:122,G42,123:123)-SUMIF(122:122,C42,123:123)+100</f>
        <v>100</v>
      </c>
      <c r="I42" s="2616" t="s">
        <v>3129</v>
      </c>
      <c r="J42" s="435">
        <f>SUMIF(122:122,I42,123:123)-SUMIF(122:122,C42,123:123)+100</f>
        <v>100</v>
      </c>
      <c r="K42" s="426">
        <v>2</v>
      </c>
      <c r="L42" s="1140"/>
      <c r="M42" s="1131"/>
      <c r="N42" s="1131"/>
      <c r="O42" s="1131"/>
      <c r="P42" s="3273"/>
      <c r="Q42" s="1810" t="str">
        <f t="shared" si="11"/>
        <v>内部装修</v>
      </c>
      <c r="R42" s="774" t="s">
        <v>21</v>
      </c>
      <c r="S42" s="775">
        <f t="shared" si="12"/>
        <v>100</v>
      </c>
      <c r="T42" s="774" t="s">
        <v>21</v>
      </c>
      <c r="U42" s="775">
        <f t="shared" si="13"/>
        <v>100</v>
      </c>
      <c r="V42" s="774" t="s">
        <v>21</v>
      </c>
      <c r="W42" s="775">
        <f t="shared" si="14"/>
        <v>100</v>
      </c>
      <c r="X42" s="1813"/>
      <c r="Y42" s="3236"/>
      <c r="Z42" s="1814" t="str">
        <f t="shared" si="18"/>
        <v>内部装修</v>
      </c>
      <c r="AA42" s="1811">
        <f t="shared" si="15"/>
        <v>1</v>
      </c>
      <c r="AB42" s="1811">
        <f t="shared" si="16"/>
        <v>1</v>
      </c>
      <c r="AC42" s="1811">
        <f t="shared" si="17"/>
        <v>1</v>
      </c>
    </row>
    <row r="43" spans="1:29" ht="15.75" thickBot="1">
      <c r="A43" s="472"/>
      <c r="B43" s="422" t="s">
        <v>2575</v>
      </c>
      <c r="C43" s="2615" t="s">
        <v>3126</v>
      </c>
      <c r="D43" s="435">
        <v>100</v>
      </c>
      <c r="E43" s="2616" t="s">
        <v>3126</v>
      </c>
      <c r="F43" s="461">
        <f>SUMIF(124:124,E43,125:125)-SUMIF(124:124,C43,125:125)+100</f>
        <v>100</v>
      </c>
      <c r="G43" s="2615" t="s">
        <v>3126</v>
      </c>
      <c r="H43" s="435">
        <f>SUMIF(124:124,G43,125:125)-SUMIF(124:124,C43,125:125)+100</f>
        <v>100</v>
      </c>
      <c r="I43" s="2616" t="s">
        <v>3126</v>
      </c>
      <c r="J43" s="435">
        <f>SUMIF(124:124,I43,125:125)-SUMIF(124:124,C43,125:125)+100</f>
        <v>100</v>
      </c>
      <c r="K43" s="426">
        <v>1</v>
      </c>
      <c r="L43" s="1140"/>
      <c r="M43" s="1131"/>
      <c r="N43" s="1131"/>
      <c r="O43" s="1131"/>
      <c r="P43" s="3273"/>
      <c r="Q43" s="1810" t="str">
        <f t="shared" si="11"/>
        <v>内部装修维护情况</v>
      </c>
      <c r="R43" s="774" t="s">
        <v>21</v>
      </c>
      <c r="S43" s="775">
        <f t="shared" si="12"/>
        <v>100</v>
      </c>
      <c r="T43" s="774" t="s">
        <v>21</v>
      </c>
      <c r="U43" s="775">
        <f t="shared" si="13"/>
        <v>100</v>
      </c>
      <c r="V43" s="774" t="s">
        <v>21</v>
      </c>
      <c r="W43" s="775">
        <f t="shared" si="14"/>
        <v>100</v>
      </c>
      <c r="X43" s="1813"/>
      <c r="Y43" s="3236"/>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73"/>
      <c r="Q44" s="1795">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73"/>
      <c r="Q45" s="1810">
        <f t="shared" si="11"/>
        <v>111</v>
      </c>
      <c r="R45" s="774" t="s">
        <v>21</v>
      </c>
      <c r="S45" s="775">
        <f t="shared" si="12"/>
        <v>100</v>
      </c>
      <c r="T45" s="774" t="s">
        <v>21</v>
      </c>
      <c r="U45" s="775">
        <f t="shared" si="13"/>
        <v>100</v>
      </c>
      <c r="V45" s="774" t="s">
        <v>21</v>
      </c>
      <c r="W45" s="775">
        <f t="shared" si="14"/>
        <v>100</v>
      </c>
      <c r="X45" s="1813"/>
      <c r="Y45" s="3236"/>
      <c r="Z45" s="1814">
        <f t="shared" si="18"/>
        <v>111</v>
      </c>
      <c r="AA45" s="1811">
        <f t="shared" si="15"/>
        <v>1</v>
      </c>
      <c r="AB45" s="1811">
        <f t="shared" si="16"/>
        <v>1</v>
      </c>
      <c r="AC45" s="1811">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74"/>
      <c r="Q46" s="1810">
        <f t="shared" si="11"/>
        <v>111</v>
      </c>
      <c r="R46" s="774" t="s">
        <v>20</v>
      </c>
      <c r="S46" s="775">
        <f t="shared" si="12"/>
        <v>100</v>
      </c>
      <c r="T46" s="774" t="s">
        <v>20</v>
      </c>
      <c r="U46" s="775">
        <f t="shared" si="13"/>
        <v>100</v>
      </c>
      <c r="V46" s="774" t="s">
        <v>20</v>
      </c>
      <c r="W46" s="775">
        <f t="shared" si="14"/>
        <v>100</v>
      </c>
      <c r="X46" s="1813"/>
      <c r="Y46" s="3275"/>
      <c r="Z46" s="1814">
        <f t="shared" si="18"/>
        <v>111</v>
      </c>
      <c r="AA46" s="1811">
        <f t="shared" si="15"/>
        <v>1</v>
      </c>
      <c r="AB46" s="1811">
        <f t="shared" si="16"/>
        <v>1</v>
      </c>
      <c r="AC46" s="1811">
        <f t="shared" si="17"/>
        <v>1</v>
      </c>
    </row>
    <row r="47" spans="1:29" ht="15">
      <c r="A47" s="479" t="s">
        <v>2576</v>
      </c>
      <c r="B47" s="480"/>
      <c r="C47" s="1407" t="s">
        <v>19</v>
      </c>
      <c r="D47" s="1408"/>
      <c r="E47" s="1409">
        <v>89570</v>
      </c>
      <c r="F47" s="1410"/>
      <c r="G47" s="1411">
        <v>115000</v>
      </c>
      <c r="H47" s="1412"/>
      <c r="I47" s="1409">
        <v>108130</v>
      </c>
      <c r="J47" s="1412"/>
      <c r="K47" s="2623"/>
      <c r="L47" s="1143"/>
      <c r="M47" s="1144"/>
      <c r="N47" s="1131"/>
      <c r="O47" s="1144"/>
      <c r="P47" s="3218" t="str">
        <f>A47</f>
        <v>成交单价（元/平方米）</v>
      </c>
      <c r="Q47" s="3218"/>
      <c r="R47" s="3271">
        <f>E47</f>
        <v>89570</v>
      </c>
      <c r="S47" s="3271"/>
      <c r="T47" s="3271">
        <f>G47</f>
        <v>115000</v>
      </c>
      <c r="U47" s="3271"/>
      <c r="V47" s="3271">
        <f>I47</f>
        <v>108130</v>
      </c>
      <c r="W47" s="3271"/>
      <c r="X47" s="759"/>
      <c r="Y47" s="781"/>
      <c r="Z47" s="759"/>
      <c r="AA47" s="759"/>
      <c r="AB47" s="759"/>
      <c r="AC47" s="759"/>
    </row>
    <row r="48" spans="1:29" ht="15.75" thickBot="1">
      <c r="A48" s="486" t="s">
        <v>2577</v>
      </c>
      <c r="B48" s="487"/>
      <c r="C48" s="1413">
        <f>R49</f>
        <v>88449</v>
      </c>
      <c r="D48" s="1414"/>
      <c r="E48" s="1415">
        <f>R48</f>
        <v>84436</v>
      </c>
      <c r="F48" s="1415"/>
      <c r="G48" s="1413">
        <f>T48</f>
        <v>91881</v>
      </c>
      <c r="H48" s="1414"/>
      <c r="I48" s="1415">
        <f>V48</f>
        <v>89031</v>
      </c>
      <c r="J48" s="1414"/>
      <c r="K48" s="2624"/>
      <c r="L48" s="1143"/>
      <c r="M48" s="1144"/>
      <c r="N48" s="1144"/>
      <c r="O48" s="1144"/>
      <c r="P48" s="3218" t="str">
        <f>A48</f>
        <v>比较价值（元/平方米）</v>
      </c>
      <c r="Q48" s="3218"/>
      <c r="R48" s="3271">
        <f>IF(F1="售价",ROUND(PRODUCT(R47,AA7:AA46),0),ROUND(PRODUCT(R47,AA7:AA46),1))</f>
        <v>84436</v>
      </c>
      <c r="S48" s="3271"/>
      <c r="T48" s="3271">
        <f>IF(F1="售价",ROUND(PRODUCT(T47,AB7:AB46),0),ROUND(PRODUCT(T47,AB7:AB46),1))</f>
        <v>91881</v>
      </c>
      <c r="U48" s="3271"/>
      <c r="V48" s="3271">
        <f>IF(F1="售价",ROUND(PRODUCT(V47,AC7:AC46),0),ROUND(PRODUCT(V47,AC7:AC46),1))</f>
        <v>89031</v>
      </c>
      <c r="W48" s="3271"/>
      <c r="X48" s="759"/>
      <c r="Y48" s="759"/>
      <c r="Z48" s="759"/>
      <c r="AA48" s="759"/>
      <c r="AB48" s="759"/>
      <c r="AC48" s="759"/>
    </row>
    <row r="49" spans="1:29" ht="15.75" thickBot="1">
      <c r="A49" s="492" t="s">
        <v>2578</v>
      </c>
      <c r="B49" s="493"/>
      <c r="C49" s="1416">
        <f>R49</f>
        <v>88449</v>
      </c>
      <c r="D49" s="1417"/>
      <c r="E49" s="1417"/>
      <c r="F49" s="1417"/>
      <c r="G49" s="1417"/>
      <c r="H49" s="1417"/>
      <c r="I49" s="1417"/>
      <c r="J49" s="1417"/>
      <c r="K49" s="2625"/>
      <c r="L49" s="1143"/>
      <c r="M49" s="1144"/>
      <c r="N49" s="1144"/>
      <c r="O49" s="1144"/>
      <c r="P49" s="3238" t="str">
        <f>A49</f>
        <v>估价对象XX用房的比较价值（楼面单价，元/平方米）</v>
      </c>
      <c r="Q49" s="3239"/>
      <c r="R49" s="3270">
        <f>IF(F1="售价",ROUND(AVERAGE(R48:V48),0),ROUND(AVERAGE(R48:V48),1))</f>
        <v>88449</v>
      </c>
      <c r="S49" s="3270"/>
      <c r="T49" s="3270"/>
      <c r="U49" s="3270"/>
      <c r="V49" s="3270"/>
      <c r="W49" s="32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6.0803448765929247E-2</v>
      </c>
      <c r="F52" s="500" t="str">
        <f>IF(OR(E52&gt;=0.3,E52&lt;=-0.3),"超过30%","")</f>
        <v/>
      </c>
      <c r="G52" s="499">
        <f>IF(G47&lt;G48,G48/G47-1,G47/G48-1)</f>
        <v>0.25161894189223011</v>
      </c>
      <c r="H52" s="500" t="str">
        <f>IF(OR(G52&gt;=0.3,G52&lt;=-0.3),"超过30%","")</f>
        <v/>
      </c>
      <c r="I52" s="499">
        <f>IF(I47&lt;I48,I48/I47-1,I47/I48-1)</f>
        <v>0.21452078489514892</v>
      </c>
      <c r="J52" s="500" t="str">
        <f>IF(OR(I52&gt;=0.3,I52&lt;=-0.3),"超过30%","")</f>
        <v/>
      </c>
      <c r="K52" s="1105"/>
      <c r="L52" s="1106"/>
      <c r="M52" s="1144"/>
      <c r="N52" s="1144"/>
      <c r="O52" s="1144"/>
    </row>
    <row r="53" spans="1:29" ht="13.5" customHeight="1">
      <c r="A53" s="1144"/>
      <c r="B53" s="1144"/>
      <c r="C53" s="497" t="s">
        <v>2580</v>
      </c>
      <c r="D53" s="501"/>
      <c r="E53" s="499">
        <f>IF(E48&lt;G48,G48/E48-1,E48/G48-1)</f>
        <v>8.817329101331195E-2</v>
      </c>
      <c r="F53" s="500" t="str">
        <f>IF(OR(E53&gt;=0.2,E53&lt;=-0.2),"超过20%","")</f>
        <v/>
      </c>
      <c r="G53" s="499">
        <f>IF(G48&lt;I48,I48/G48-1,G48/I48-1)</f>
        <v>3.201132189911382E-2</v>
      </c>
      <c r="H53" s="500" t="str">
        <f>IF(OR(G53&gt;=0.2,G53&lt;=-0.2),"超过20%","")</f>
        <v/>
      </c>
      <c r="I53" s="499">
        <f>IF(I48&lt;E48,E48/I48-1,I48/E48-1)</f>
        <v>5.4419915675778086E-2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0.2839120241152171</v>
      </c>
      <c r="F54" s="500" t="str">
        <f>IF(OR(E54&gt;=0.3,E54&lt;=-0.3),"超过30%","")</f>
        <v/>
      </c>
      <c r="G54" s="499">
        <f>IF(G47&lt;I47,I47/G47-1,G47/I47-1)</f>
        <v>6.3534634236567022E-2</v>
      </c>
      <c r="H54" s="500" t="str">
        <f>IF(OR(G54&gt;=0.3,G54&lt;=-0.3),"超过30%","")</f>
        <v/>
      </c>
      <c r="I54" s="499">
        <f>IF(I47&lt;E47,E47/I47-1,I47/E47-1)</f>
        <v>0.20721223623981233</v>
      </c>
      <c r="J54" s="500" t="str">
        <f>IF(OR(I54&gt;=0.3,I54&lt;=-0.3),"超过30%","")</f>
        <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v>0</v>
      </c>
      <c r="D68" s="549">
        <v>1</v>
      </c>
      <c r="E68" s="549">
        <v>2</v>
      </c>
      <c r="F68" s="549">
        <v>3</v>
      </c>
      <c r="G68" s="549">
        <v>4</v>
      </c>
      <c r="H68" s="549">
        <v>5</v>
      </c>
      <c r="I68" s="549">
        <v>6</v>
      </c>
      <c r="J68" s="549"/>
      <c r="K68" s="550"/>
      <c r="L68" s="551"/>
      <c r="M68" s="552"/>
      <c r="N68" s="1152"/>
      <c r="O68" s="1152"/>
      <c r="P68" s="2632"/>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3345" t="s">
        <v>3153</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32"/>
      <c r="Q101" s="504"/>
    </row>
    <row r="102" spans="1:17" ht="15.75" thickTop="1">
      <c r="A102" s="534"/>
      <c r="B102" s="538" t="s">
        <v>2612</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v>0</v>
      </c>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3343" t="s">
        <v>3150</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32"/>
      <c r="Q108" s="504"/>
    </row>
    <row r="109" spans="1:17" ht="15" thickTop="1">
      <c r="A109" s="599"/>
      <c r="B109" s="538" t="s">
        <v>2615</v>
      </c>
      <c r="C109" s="3343" t="s">
        <v>3151</v>
      </c>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33"/>
      <c r="Q113" s="559"/>
    </row>
    <row r="114" spans="1:17" ht="15" thickTop="1">
      <c r="A114" s="599"/>
      <c r="B114" s="538" t="s">
        <v>2616</v>
      </c>
      <c r="C114" s="3343" t="s">
        <v>3155</v>
      </c>
      <c r="D114" s="3343" t="s">
        <v>3156</v>
      </c>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32"/>
      <c r="Q115" s="504"/>
    </row>
    <row r="116" spans="1:17" ht="15" thickTop="1">
      <c r="A116" s="599"/>
      <c r="B116" s="538" t="s">
        <v>2617</v>
      </c>
      <c r="C116" s="3343" t="s">
        <v>3157</v>
      </c>
      <c r="D116" s="3343" t="s">
        <v>3159</v>
      </c>
      <c r="E116" s="3343" t="s">
        <v>3160</v>
      </c>
      <c r="F116" s="554"/>
      <c r="G116" s="554"/>
      <c r="H116" s="583"/>
      <c r="I116" s="583"/>
      <c r="J116" s="583"/>
      <c r="K116" s="584"/>
      <c r="L116" s="585"/>
      <c r="M116" s="586"/>
      <c r="N116" s="1152"/>
      <c r="O116" s="1152"/>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2"/>
      <c r="Q117" s="504"/>
    </row>
    <row r="118" spans="1:17" ht="15" thickTop="1">
      <c r="A118" s="599"/>
      <c r="B118" s="538" t="s">
        <v>2618</v>
      </c>
      <c r="C118" s="3346" t="s">
        <v>3162</v>
      </c>
      <c r="D118" s="3346" t="s">
        <v>3164</v>
      </c>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3343" t="s">
        <v>3151</v>
      </c>
      <c r="D122" s="3343" t="s">
        <v>3156</v>
      </c>
      <c r="E122" s="3343" t="s">
        <v>3165</v>
      </c>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I37" sqref="I3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t="s">
        <v>27</v>
      </c>
      <c r="E1" s="1630"/>
      <c r="F1" s="2586" t="s">
        <v>3099</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f>IF(C2="——",ROUND(C50*D3/10000,0),ROUND(C50*D3/10000,0)-D2)</f>
        <v>562</v>
      </c>
      <c r="C2" s="2588" t="s">
        <v>70</v>
      </c>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101316</v>
      </c>
      <c r="C3" s="400" t="s">
        <v>2643</v>
      </c>
      <c r="D3" s="399">
        <f>IF(D1="",'数据-汇总表'!E3,SUMIF('数据-汇总表'!$C19:$C33,D1,'数据-汇总表'!$E19:$E33))</f>
        <v>55.46</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90" t="s">
        <v>2650</v>
      </c>
      <c r="Q4" s="3291"/>
      <c r="R4" s="3283" t="s">
        <v>2646</v>
      </c>
      <c r="S4" s="3284"/>
      <c r="T4" s="3283" t="s">
        <v>2647</v>
      </c>
      <c r="U4" s="3284"/>
      <c r="V4" s="3294" t="s">
        <v>2648</v>
      </c>
      <c r="W4" s="3294"/>
      <c r="X4" s="2672"/>
      <c r="Y4" s="3283" t="s">
        <v>2650</v>
      </c>
      <c r="Z4" s="3284"/>
      <c r="AA4" s="3282" t="s">
        <v>2646</v>
      </c>
      <c r="AB4" s="3282" t="s">
        <v>2647</v>
      </c>
      <c r="AC4" s="3287" t="s">
        <v>2648</v>
      </c>
    </row>
    <row r="5" spans="1:29" ht="15">
      <c r="A5" s="404"/>
      <c r="B5" s="405"/>
      <c r="C5" s="3286" t="s">
        <v>3102</v>
      </c>
      <c r="D5" s="3213"/>
      <c r="E5" s="3285" t="s">
        <v>3145</v>
      </c>
      <c r="F5" s="3211"/>
      <c r="G5" s="3286" t="s">
        <v>3147</v>
      </c>
      <c r="H5" s="3213"/>
      <c r="I5" s="3286" t="s">
        <v>3148</v>
      </c>
      <c r="J5" s="3213"/>
      <c r="K5" s="610"/>
      <c r="L5" s="1130"/>
      <c r="M5" s="1131"/>
      <c r="N5" s="1131"/>
      <c r="O5" s="1131"/>
      <c r="P5" s="3292"/>
      <c r="Q5" s="3226"/>
      <c r="R5" s="3208"/>
      <c r="S5" s="3209"/>
      <c r="T5" s="3208"/>
      <c r="U5" s="3209"/>
      <c r="V5" s="3231"/>
      <c r="W5" s="3231"/>
      <c r="X5" s="1813"/>
      <c r="Y5" s="3208"/>
      <c r="Z5" s="3209"/>
      <c r="AA5" s="3202"/>
      <c r="AB5" s="3202"/>
      <c r="AC5" s="3288"/>
    </row>
    <row r="6" spans="1:29" ht="15.75" thickBot="1">
      <c r="A6" s="406"/>
      <c r="B6" s="407"/>
      <c r="C6" s="3214" t="s">
        <v>2545</v>
      </c>
      <c r="D6" s="3215"/>
      <c r="E6" s="3216" t="s">
        <v>2545</v>
      </c>
      <c r="F6" s="3217"/>
      <c r="G6" s="3214" t="s">
        <v>2545</v>
      </c>
      <c r="H6" s="3215"/>
      <c r="I6" s="3214" t="s">
        <v>2545</v>
      </c>
      <c r="J6" s="3215"/>
      <c r="K6" s="610" t="s">
        <v>2546</v>
      </c>
      <c r="L6" s="1130"/>
      <c r="M6" s="1131"/>
      <c r="N6" s="1131"/>
      <c r="O6" s="1131"/>
      <c r="P6" s="3293"/>
      <c r="Q6" s="3228"/>
      <c r="R6" s="3208"/>
      <c r="S6" s="3209"/>
      <c r="T6" s="3229"/>
      <c r="U6" s="3230"/>
      <c r="V6" s="3231"/>
      <c r="W6" s="3231"/>
      <c r="X6" s="1813"/>
      <c r="Y6" s="3229"/>
      <c r="Z6" s="3230"/>
      <c r="AA6" s="3203"/>
      <c r="AB6" s="3203"/>
      <c r="AC6" s="3289"/>
    </row>
    <row r="7" spans="1:29" s="117" customFormat="1" ht="15.75" thickBot="1">
      <c r="A7" s="408" t="s">
        <v>2547</v>
      </c>
      <c r="B7" s="409"/>
      <c r="C7" s="410">
        <f>'数据-取费表'!B2</f>
        <v>43845</v>
      </c>
      <c r="D7" s="411">
        <v>100</v>
      </c>
      <c r="E7" s="412">
        <f>C7</f>
        <v>43845</v>
      </c>
      <c r="F7" s="413">
        <f>SUMIF(59:59,YEAR(E7)&amp;"-"&amp;MONTH(E7),60:60)</f>
        <v>100</v>
      </c>
      <c r="G7" s="412">
        <f>C7</f>
        <v>43845</v>
      </c>
      <c r="H7" s="411">
        <f>SUMIF(59:59,YEAR(G7)&amp;"-"&amp;MONTH(G7),60:60)</f>
        <v>100</v>
      </c>
      <c r="I7" s="412">
        <f>C7</f>
        <v>43845</v>
      </c>
      <c r="J7" s="411">
        <f>SUMIF(59:59,YEAR(I7)&amp;"-"&amp;MONTH(I7),60:60)</f>
        <v>100</v>
      </c>
      <c r="K7" s="611"/>
      <c r="L7" s="1132"/>
      <c r="M7" s="1133"/>
      <c r="N7" s="1133"/>
      <c r="O7" s="1133"/>
      <c r="P7" s="3295" t="s">
        <v>2548</v>
      </c>
      <c r="Q7" s="3232"/>
      <c r="R7" s="770" t="s">
        <v>17</v>
      </c>
      <c r="S7" s="771">
        <f t="shared" ref="S7:S15" si="0">F7</f>
        <v>100</v>
      </c>
      <c r="T7" s="770" t="s">
        <v>17</v>
      </c>
      <c r="U7" s="771">
        <f t="shared" ref="U7:U15" si="1">H7</f>
        <v>100</v>
      </c>
      <c r="V7" s="770" t="s">
        <v>17</v>
      </c>
      <c r="W7" s="771">
        <f t="shared" ref="W7:W15" si="2">J7</f>
        <v>100</v>
      </c>
      <c r="X7" s="772"/>
      <c r="Y7" s="3204" t="s">
        <v>2548</v>
      </c>
      <c r="Z7" s="3205"/>
      <c r="AA7" s="773">
        <f>D7/F7</f>
        <v>1</v>
      </c>
      <c r="AB7" s="773">
        <f>D7/H7</f>
        <v>1</v>
      </c>
      <c r="AC7" s="2673">
        <f>D7/J7</f>
        <v>1</v>
      </c>
    </row>
    <row r="8" spans="1:29" s="117" customFormat="1" ht="15.75" thickBot="1">
      <c r="A8" s="408" t="s">
        <v>2549</v>
      </c>
      <c r="B8" s="409"/>
      <c r="C8" s="414" t="s">
        <v>2651</v>
      </c>
      <c r="D8" s="411">
        <v>100</v>
      </c>
      <c r="E8" s="414" t="s">
        <v>3100</v>
      </c>
      <c r="F8" s="413">
        <f>SUMIF(62:62,E8,63:63)-SUMIF(62:62,C8,63:63)+100</f>
        <v>100</v>
      </c>
      <c r="G8" s="414" t="s">
        <v>3100</v>
      </c>
      <c r="H8" s="411">
        <f>SUMIF(62:62,G8,63:63)-SUMIF(62:62,C8,63:63)+100</f>
        <v>100</v>
      </c>
      <c r="I8" s="414" t="s">
        <v>3100</v>
      </c>
      <c r="J8" s="411">
        <f>SUMIF(62:62,I8,63:63)-SUMIF(62:62,C8,63:63)+100</f>
        <v>100</v>
      </c>
      <c r="K8" s="611"/>
      <c r="L8" s="1132"/>
      <c r="M8" s="1133"/>
      <c r="N8" s="1133"/>
      <c r="O8" s="1133"/>
      <c r="P8" s="3295" t="s">
        <v>2551</v>
      </c>
      <c r="Q8" s="3205"/>
      <c r="R8" s="770" t="s">
        <v>17</v>
      </c>
      <c r="S8" s="771">
        <f t="shared" si="0"/>
        <v>100</v>
      </c>
      <c r="T8" s="770" t="s">
        <v>17</v>
      </c>
      <c r="U8" s="771">
        <f t="shared" si="1"/>
        <v>100</v>
      </c>
      <c r="V8" s="770" t="s">
        <v>17</v>
      </c>
      <c r="W8" s="771">
        <f t="shared" si="2"/>
        <v>100</v>
      </c>
      <c r="X8" s="772"/>
      <c r="Y8" s="3204" t="s">
        <v>2551</v>
      </c>
      <c r="Z8" s="3205"/>
      <c r="AA8" s="773">
        <f t="shared" ref="AA8:AA47" si="3">D8/F8</f>
        <v>1</v>
      </c>
      <c r="AB8" s="773">
        <f t="shared" ref="AB8:AB47" si="4">D8/H8</f>
        <v>1</v>
      </c>
      <c r="AC8" s="2673">
        <f t="shared" ref="AC8:AC47" si="5">D8/J8</f>
        <v>1</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2" t="s">
        <v>2554</v>
      </c>
      <c r="Q9" s="1795" t="str">
        <f t="shared" ref="Q9:Q15" si="6">B9</f>
        <v>用途</v>
      </c>
      <c r="R9" s="770" t="s">
        <v>17</v>
      </c>
      <c r="S9" s="771">
        <f t="shared" si="0"/>
        <v>100</v>
      </c>
      <c r="T9" s="770" t="s">
        <v>17</v>
      </c>
      <c r="U9" s="771">
        <f t="shared" si="1"/>
        <v>100</v>
      </c>
      <c r="V9" s="770" t="s">
        <v>17</v>
      </c>
      <c r="W9" s="771">
        <f t="shared" si="2"/>
        <v>100</v>
      </c>
      <c r="X9" s="772"/>
      <c r="Y9" s="3074" t="s">
        <v>2555</v>
      </c>
      <c r="Z9" s="55" t="str">
        <f t="shared" ref="Z9:Z15" si="7">Q9</f>
        <v>用途</v>
      </c>
      <c r="AA9" s="773">
        <f t="shared" si="3"/>
        <v>1</v>
      </c>
      <c r="AB9" s="773">
        <f t="shared" si="4"/>
        <v>1</v>
      </c>
      <c r="AC9" s="2673">
        <f t="shared" si="5"/>
        <v>1</v>
      </c>
    </row>
    <row r="10" spans="1:29" s="427" customFormat="1" ht="27">
      <c r="A10" s="421"/>
      <c r="B10" s="422" t="s">
        <v>2556</v>
      </c>
      <c r="C10" s="423" t="s">
        <v>3146</v>
      </c>
      <c r="D10" s="136">
        <v>100</v>
      </c>
      <c r="E10" s="423" t="s">
        <v>3146</v>
      </c>
      <c r="F10" s="136">
        <f>SUMIF(66:66,E10,67:67)-SUMIF(66:66,C10,67:67)+100</f>
        <v>100</v>
      </c>
      <c r="G10" s="424" t="s">
        <v>3146</v>
      </c>
      <c r="H10" s="136">
        <f>SUMIF(66:66,G10,67:67)-SUMIF(66:66,C10,67:67)+100</f>
        <v>100</v>
      </c>
      <c r="I10" s="423" t="s">
        <v>3146</v>
      </c>
      <c r="J10" s="136">
        <f>SUMIF(66:66,I10,67:67)-SUMIF(66:66,C10,67:67)+100</f>
        <v>100</v>
      </c>
      <c r="K10" s="612"/>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2673">
        <f t="shared" si="5"/>
        <v>1</v>
      </c>
    </row>
    <row r="11" spans="1:29" ht="15.75" thickBot="1">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2"/>
      <c r="Q11" s="1795" t="str">
        <f t="shared" si="6"/>
        <v>容积率</v>
      </c>
      <c r="R11" s="770" t="s">
        <v>17</v>
      </c>
      <c r="S11" s="771">
        <f t="shared" si="0"/>
        <v>100</v>
      </c>
      <c r="T11" s="770" t="s">
        <v>17</v>
      </c>
      <c r="U11" s="771">
        <f t="shared" si="1"/>
        <v>100</v>
      </c>
      <c r="V11" s="770" t="s">
        <v>17</v>
      </c>
      <c r="W11" s="771">
        <f t="shared" si="2"/>
        <v>100</v>
      </c>
      <c r="X11" s="772"/>
      <c r="Y11" s="3074"/>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2"/>
      <c r="Q14" s="1795">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6" t="s">
        <v>2559</v>
      </c>
      <c r="Q15" s="1810" t="str">
        <f t="shared" si="6"/>
        <v>办公集聚程度</v>
      </c>
      <c r="R15" s="774" t="s">
        <v>17</v>
      </c>
      <c r="S15" s="775">
        <f t="shared" si="0"/>
        <v>100</v>
      </c>
      <c r="T15" s="774" t="s">
        <v>17</v>
      </c>
      <c r="U15" s="775">
        <f t="shared" si="1"/>
        <v>100</v>
      </c>
      <c r="V15" s="774" t="s">
        <v>17</v>
      </c>
      <c r="W15" s="775">
        <f t="shared" si="2"/>
        <v>100</v>
      </c>
      <c r="X15" s="1813"/>
      <c r="Y15" s="3233" t="s">
        <v>2559</v>
      </c>
      <c r="Z15" s="1814" t="str">
        <f t="shared" si="7"/>
        <v>办公集聚程度</v>
      </c>
      <c r="AA15" s="1811">
        <f t="shared" si="3"/>
        <v>1</v>
      </c>
      <c r="AB15" s="1811">
        <f t="shared" si="4"/>
        <v>1</v>
      </c>
      <c r="AC15" s="2676">
        <f t="shared" si="5"/>
        <v>1</v>
      </c>
    </row>
    <row r="16" spans="1:29" ht="15">
      <c r="A16" s="428"/>
      <c r="B16" s="630"/>
      <c r="C16" s="2613" t="s">
        <v>3126</v>
      </c>
      <c r="D16" s="448"/>
      <c r="E16" s="447" t="s">
        <v>3126</v>
      </c>
      <c r="F16" s="448"/>
      <c r="G16" s="2613" t="s">
        <v>3149</v>
      </c>
      <c r="H16" s="450"/>
      <c r="I16" s="447" t="s">
        <v>3149</v>
      </c>
      <c r="J16" s="448"/>
      <c r="K16" s="615"/>
      <c r="L16" s="1140"/>
      <c r="M16" s="1131"/>
      <c r="N16" s="1131"/>
      <c r="O16" s="1131"/>
      <c r="P16" s="3277"/>
      <c r="Q16" s="1810"/>
      <c r="R16" s="774"/>
      <c r="S16" s="775"/>
      <c r="T16" s="774"/>
      <c r="U16" s="775"/>
      <c r="V16" s="774"/>
      <c r="W16" s="775"/>
      <c r="X16" s="1813"/>
      <c r="Y16" s="3234"/>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7"/>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2676">
        <f t="shared" si="5"/>
        <v>1</v>
      </c>
    </row>
    <row r="18" spans="1:29" ht="15">
      <c r="A18" s="428"/>
      <c r="B18" s="632"/>
      <c r="C18" s="2678" t="s">
        <v>3126</v>
      </c>
      <c r="D18" s="450"/>
      <c r="E18" s="2611" t="s">
        <v>3126</v>
      </c>
      <c r="F18" s="450"/>
      <c r="G18" s="2612" t="s">
        <v>3126</v>
      </c>
      <c r="H18" s="448"/>
      <c r="I18" s="2612" t="s">
        <v>3126</v>
      </c>
      <c r="J18" s="448"/>
      <c r="K18" s="615"/>
      <c r="L18" s="1140"/>
      <c r="M18" s="1131"/>
      <c r="N18" s="1131"/>
      <c r="O18" s="1131"/>
      <c r="P18" s="3277"/>
      <c r="Q18" s="1810"/>
      <c r="R18" s="774"/>
      <c r="S18" s="775"/>
      <c r="T18" s="774"/>
      <c r="U18" s="775"/>
      <c r="V18" s="774"/>
      <c r="W18" s="775"/>
      <c r="X18" s="1813"/>
      <c r="Y18" s="3234"/>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7"/>
      <c r="Q19" s="1810" t="str">
        <f>B19</f>
        <v>公共配套设施</v>
      </c>
      <c r="R19" s="774" t="s">
        <v>17</v>
      </c>
      <c r="S19" s="775">
        <f>F19</f>
        <v>100</v>
      </c>
      <c r="T19" s="774" t="s">
        <v>17</v>
      </c>
      <c r="U19" s="775">
        <f>H19</f>
        <v>100</v>
      </c>
      <c r="V19" s="774" t="s">
        <v>17</v>
      </c>
      <c r="W19" s="775">
        <f>J19</f>
        <v>100</v>
      </c>
      <c r="X19" s="1813"/>
      <c r="Y19" s="3234"/>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77"/>
      <c r="Q20" s="1810"/>
      <c r="R20" s="774"/>
      <c r="S20" s="775"/>
      <c r="T20" s="774"/>
      <c r="U20" s="775"/>
      <c r="V20" s="774"/>
      <c r="W20" s="775"/>
      <c r="X20" s="1813"/>
      <c r="Y20" s="3234"/>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7"/>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77"/>
      <c r="Q22" s="1810"/>
      <c r="R22" s="774"/>
      <c r="S22" s="775"/>
      <c r="T22" s="774"/>
      <c r="U22" s="775"/>
      <c r="V22" s="774"/>
      <c r="W22" s="775"/>
      <c r="X22" s="1813"/>
      <c r="Y22" s="3234"/>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7"/>
      <c r="Q23" s="1810" t="str">
        <f>B23</f>
        <v>环境质量</v>
      </c>
      <c r="R23" s="774" t="s">
        <v>17</v>
      </c>
      <c r="S23" s="775">
        <f>F23</f>
        <v>100</v>
      </c>
      <c r="T23" s="774" t="s">
        <v>17</v>
      </c>
      <c r="U23" s="775">
        <f>H23</f>
        <v>100</v>
      </c>
      <c r="V23" s="774" t="s">
        <v>17</v>
      </c>
      <c r="W23" s="775">
        <f>J23</f>
        <v>100</v>
      </c>
      <c r="X23" s="1813"/>
      <c r="Y23" s="3234"/>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77"/>
      <c r="Q24" s="1810"/>
      <c r="R24" s="774"/>
      <c r="S24" s="775"/>
      <c r="T24" s="774"/>
      <c r="U24" s="775"/>
      <c r="V24" s="774"/>
      <c r="W24" s="775"/>
      <c r="X24" s="1813"/>
      <c r="Y24" s="3234"/>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77"/>
      <c r="Q25" s="1810" t="str">
        <f>B25</f>
        <v>毗邻道路的类型与等级</v>
      </c>
      <c r="R25" s="774" t="s">
        <v>17</v>
      </c>
      <c r="S25" s="775">
        <f>F25</f>
        <v>100</v>
      </c>
      <c r="T25" s="774" t="s">
        <v>17</v>
      </c>
      <c r="U25" s="775">
        <f>H25</f>
        <v>100</v>
      </c>
      <c r="V25" s="774" t="s">
        <v>17</v>
      </c>
      <c r="W25" s="775">
        <f>J25</f>
        <v>100</v>
      </c>
      <c r="X25" s="1813"/>
      <c r="Y25" s="3234"/>
      <c r="Z25" s="1814" t="str">
        <f>Q25</f>
        <v>毗邻道路的类型与等级</v>
      </c>
      <c r="AA25" s="1811">
        <f t="shared" si="3"/>
        <v>1</v>
      </c>
      <c r="AB25" s="1811">
        <f t="shared" si="4"/>
        <v>1</v>
      </c>
      <c r="AC25" s="2676">
        <f t="shared" si="5"/>
        <v>1</v>
      </c>
    </row>
    <row r="26" spans="1:29" ht="15.75" thickBot="1">
      <c r="A26" s="404"/>
      <c r="B26" s="632"/>
      <c r="C26" s="634"/>
      <c r="D26" s="435"/>
      <c r="E26" s="616"/>
      <c r="F26" s="435"/>
      <c r="G26" s="634"/>
      <c r="H26" s="435"/>
      <c r="I26" s="616"/>
      <c r="J26" s="435"/>
      <c r="K26" s="615"/>
      <c r="L26" s="1140"/>
      <c r="M26" s="1131"/>
      <c r="N26" s="1131"/>
      <c r="O26" s="1131"/>
      <c r="P26" s="3277"/>
      <c r="Q26" s="1810"/>
      <c r="R26" s="774"/>
      <c r="S26" s="775"/>
      <c r="T26" s="774"/>
      <c r="U26" s="775"/>
      <c r="V26" s="774"/>
      <c r="W26" s="775"/>
      <c r="X26" s="1813"/>
      <c r="Y26" s="3234"/>
      <c r="Z26" s="1814"/>
      <c r="AA26" s="1811">
        <v>1</v>
      </c>
      <c r="AB26" s="1811">
        <v>1</v>
      </c>
      <c r="AC26" s="2676">
        <v>1</v>
      </c>
    </row>
    <row r="27" spans="1:29" ht="15" hidden="1">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7"/>
      <c r="Q27" s="1810" t="str">
        <f t="shared" ref="Q27:Q47" si="11">B27</f>
        <v>楼层</v>
      </c>
      <c r="R27" s="774" t="s">
        <v>17</v>
      </c>
      <c r="S27" s="775">
        <f>F27</f>
        <v>100</v>
      </c>
      <c r="T27" s="774" t="s">
        <v>17</v>
      </c>
      <c r="U27" s="775">
        <f>H27</f>
        <v>100</v>
      </c>
      <c r="V27" s="774" t="s">
        <v>17</v>
      </c>
      <c r="W27" s="775">
        <f>J27</f>
        <v>100</v>
      </c>
      <c r="X27" s="1813"/>
      <c r="Y27" s="3234"/>
      <c r="Z27" s="1814" t="str">
        <f>Q27</f>
        <v>楼层</v>
      </c>
      <c r="AA27" s="1811">
        <f t="shared" si="3"/>
        <v>1</v>
      </c>
      <c r="AB27" s="1811">
        <f t="shared" si="4"/>
        <v>1</v>
      </c>
      <c r="AC27" s="2676">
        <f t="shared" si="5"/>
        <v>1</v>
      </c>
    </row>
    <row r="28" spans="1:29" s="117" customFormat="1" ht="15" hidden="1">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77"/>
      <c r="Q28" s="1795" t="str">
        <f t="shared" si="11"/>
        <v>朝向</v>
      </c>
      <c r="R28" s="770" t="s">
        <v>17</v>
      </c>
      <c r="S28" s="771">
        <f>F28</f>
        <v>100</v>
      </c>
      <c r="T28" s="770" t="s">
        <v>17</v>
      </c>
      <c r="U28" s="771">
        <f>H28</f>
        <v>100</v>
      </c>
      <c r="V28" s="770" t="s">
        <v>17</v>
      </c>
      <c r="W28" s="771">
        <f>J28</f>
        <v>100</v>
      </c>
      <c r="X28" s="772"/>
      <c r="Y28" s="3234"/>
      <c r="Z28" s="55" t="str">
        <f>Q28</f>
        <v>朝向</v>
      </c>
      <c r="AA28" s="1811">
        <f>D28/F28</f>
        <v>1</v>
      </c>
      <c r="AB28" s="1811">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77"/>
      <c r="Q29" s="1810">
        <f t="shared" si="11"/>
        <v>111</v>
      </c>
      <c r="R29" s="774" t="s">
        <v>17</v>
      </c>
      <c r="S29" s="775">
        <f t="shared" ref="S29:S47" si="12">F29</f>
        <v>100</v>
      </c>
      <c r="T29" s="774" t="s">
        <v>17</v>
      </c>
      <c r="U29" s="775">
        <f t="shared" ref="U29:U47" si="13">H29</f>
        <v>100</v>
      </c>
      <c r="V29" s="774" t="s">
        <v>17</v>
      </c>
      <c r="W29" s="775">
        <f t="shared" ref="W29:W47" si="14">J29</f>
        <v>100</v>
      </c>
      <c r="X29" s="1813"/>
      <c r="Y29" s="3234"/>
      <c r="Z29" s="1814">
        <f t="shared" ref="Z29:Z47" si="15">Q29</f>
        <v>111</v>
      </c>
      <c r="AA29" s="1811">
        <f t="shared" si="3"/>
        <v>1</v>
      </c>
      <c r="AB29" s="1811">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77"/>
      <c r="Q30" s="1810">
        <f t="shared" si="11"/>
        <v>111</v>
      </c>
      <c r="R30" s="774" t="s">
        <v>17</v>
      </c>
      <c r="S30" s="775">
        <f t="shared" si="12"/>
        <v>100</v>
      </c>
      <c r="T30" s="774" t="s">
        <v>17</v>
      </c>
      <c r="U30" s="775">
        <f t="shared" si="13"/>
        <v>100</v>
      </c>
      <c r="V30" s="774" t="s">
        <v>17</v>
      </c>
      <c r="W30" s="775">
        <f t="shared" si="14"/>
        <v>100</v>
      </c>
      <c r="X30" s="1813"/>
      <c r="Y30" s="3234"/>
      <c r="Z30" s="1814">
        <f t="shared" si="15"/>
        <v>111</v>
      </c>
      <c r="AA30" s="1811">
        <f t="shared" si="3"/>
        <v>1</v>
      </c>
      <c r="AB30" s="1811">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77"/>
      <c r="Q31" s="1810">
        <f t="shared" si="11"/>
        <v>111</v>
      </c>
      <c r="R31" s="774" t="s">
        <v>17</v>
      </c>
      <c r="S31" s="775">
        <f t="shared" si="12"/>
        <v>100</v>
      </c>
      <c r="T31" s="774" t="s">
        <v>17</v>
      </c>
      <c r="U31" s="775">
        <f t="shared" si="13"/>
        <v>100</v>
      </c>
      <c r="V31" s="774" t="s">
        <v>17</v>
      </c>
      <c r="W31" s="775">
        <f t="shared" si="14"/>
        <v>100</v>
      </c>
      <c r="X31" s="1813"/>
      <c r="Y31" s="3234"/>
      <c r="Z31" s="1814">
        <f t="shared" si="15"/>
        <v>111</v>
      </c>
      <c r="AA31" s="1811">
        <f t="shared" si="3"/>
        <v>1</v>
      </c>
      <c r="AB31" s="1811">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77"/>
      <c r="Q32" s="1810">
        <f t="shared" si="11"/>
        <v>111</v>
      </c>
      <c r="R32" s="774" t="s">
        <v>17</v>
      </c>
      <c r="S32" s="775">
        <f t="shared" si="12"/>
        <v>100</v>
      </c>
      <c r="T32" s="774" t="s">
        <v>17</v>
      </c>
      <c r="U32" s="775">
        <f t="shared" si="13"/>
        <v>100</v>
      </c>
      <c r="V32" s="774" t="s">
        <v>17</v>
      </c>
      <c r="W32" s="775">
        <f t="shared" si="14"/>
        <v>100</v>
      </c>
      <c r="X32" s="1813"/>
      <c r="Y32" s="3234"/>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72" t="s">
        <v>2564</v>
      </c>
      <c r="Q33" s="1810" t="str">
        <f t="shared" si="11"/>
        <v>建筑类型</v>
      </c>
      <c r="R33" s="774" t="s">
        <v>17</v>
      </c>
      <c r="S33" s="775">
        <f t="shared" si="12"/>
        <v>100</v>
      </c>
      <c r="T33" s="774" t="s">
        <v>17</v>
      </c>
      <c r="U33" s="775">
        <f t="shared" si="13"/>
        <v>100</v>
      </c>
      <c r="V33" s="774" t="s">
        <v>17</v>
      </c>
      <c r="W33" s="775">
        <f t="shared" si="14"/>
        <v>100</v>
      </c>
      <c r="X33" s="1813"/>
      <c r="Y33" s="3236"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73"/>
      <c r="Q34" s="776" t="str">
        <f t="shared" si="11"/>
        <v>项目建筑规模</v>
      </c>
      <c r="R34" s="777" t="s">
        <v>17</v>
      </c>
      <c r="S34" s="778">
        <f t="shared" si="12"/>
        <v>100</v>
      </c>
      <c r="T34" s="777" t="s">
        <v>17</v>
      </c>
      <c r="U34" s="778">
        <f t="shared" si="13"/>
        <v>100</v>
      </c>
      <c r="V34" s="777" t="s">
        <v>17</v>
      </c>
      <c r="W34" s="778">
        <f t="shared" si="14"/>
        <v>100</v>
      </c>
      <c r="X34" s="779"/>
      <c r="Y34" s="3236"/>
      <c r="Z34" s="780" t="str">
        <f t="shared" si="15"/>
        <v>项目建筑规模</v>
      </c>
      <c r="AA34" s="1811">
        <f t="shared" si="3"/>
        <v>1</v>
      </c>
      <c r="AB34" s="1811">
        <f t="shared" si="4"/>
        <v>1</v>
      </c>
      <c r="AC34" s="2676">
        <f t="shared" si="5"/>
        <v>1</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3"/>
      <c r="Q35" s="1810" t="str">
        <f t="shared" si="11"/>
        <v>建筑结构</v>
      </c>
      <c r="R35" s="774" t="s">
        <v>17</v>
      </c>
      <c r="S35" s="775">
        <f t="shared" si="12"/>
        <v>100</v>
      </c>
      <c r="T35" s="774" t="s">
        <v>17</v>
      </c>
      <c r="U35" s="775">
        <f t="shared" si="13"/>
        <v>100</v>
      </c>
      <c r="V35" s="774" t="s">
        <v>17</v>
      </c>
      <c r="W35" s="775">
        <f t="shared" si="14"/>
        <v>100</v>
      </c>
      <c r="X35" s="1813"/>
      <c r="Y35" s="3236"/>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3"/>
      <c r="Q36" s="1810" t="str">
        <f t="shared" si="11"/>
        <v>公共部分装修</v>
      </c>
      <c r="R36" s="774" t="s">
        <v>17</v>
      </c>
      <c r="S36" s="775">
        <f t="shared" si="12"/>
        <v>100</v>
      </c>
      <c r="T36" s="774" t="s">
        <v>17</v>
      </c>
      <c r="U36" s="775">
        <f t="shared" si="13"/>
        <v>100</v>
      </c>
      <c r="V36" s="774" t="s">
        <v>17</v>
      </c>
      <c r="W36" s="775">
        <f t="shared" si="14"/>
        <v>100</v>
      </c>
      <c r="X36" s="1813"/>
      <c r="Y36" s="3236"/>
      <c r="Z36" s="1814" t="str">
        <f t="shared" si="15"/>
        <v>公共部分装修</v>
      </c>
      <c r="AA36" s="1811">
        <f t="shared" si="3"/>
        <v>1</v>
      </c>
      <c r="AB36" s="1811">
        <f t="shared" si="4"/>
        <v>1</v>
      </c>
      <c r="AC36" s="2676">
        <f t="shared" si="5"/>
        <v>1</v>
      </c>
    </row>
    <row r="37" spans="1:29" ht="15">
      <c r="A37" s="472"/>
      <c r="B37" s="422" t="s">
        <v>2661</v>
      </c>
      <c r="C37" s="474">
        <f>'数据-取费表'!N6</f>
        <v>0.8</v>
      </c>
      <c r="D37" s="435">
        <v>100</v>
      </c>
      <c r="E37" s="3344">
        <f>C37</f>
        <v>0.8</v>
      </c>
      <c r="F37" s="461">
        <f>LOOKUP(E37,111:111,112:112)-LOOKUP(C37,111:111,112:112)+100</f>
        <v>100</v>
      </c>
      <c r="G37" s="3344">
        <f>C37</f>
        <v>0.8</v>
      </c>
      <c r="H37" s="461">
        <f>LOOKUP(G37,111:111,112:112)-LOOKUP(C37,111:111,112:112)+100</f>
        <v>100</v>
      </c>
      <c r="I37" s="3344">
        <f>C37</f>
        <v>0.8</v>
      </c>
      <c r="J37" s="435">
        <f>LOOKUP(I37,111:111,112:112)-LOOKUP(C37,111:111,112:112)+100</f>
        <v>100</v>
      </c>
      <c r="K37" s="612"/>
      <c r="L37" s="1140"/>
      <c r="M37" s="1131"/>
      <c r="N37" s="1131"/>
      <c r="O37" s="1131"/>
      <c r="P37" s="3273"/>
      <c r="Q37" s="1810" t="str">
        <f t="shared" si="11"/>
        <v>成新度</v>
      </c>
      <c r="R37" s="774" t="s">
        <v>17</v>
      </c>
      <c r="S37" s="775">
        <f t="shared" si="12"/>
        <v>100</v>
      </c>
      <c r="T37" s="774" t="s">
        <v>17</v>
      </c>
      <c r="U37" s="775">
        <f t="shared" si="13"/>
        <v>100</v>
      </c>
      <c r="V37" s="774" t="s">
        <v>17</v>
      </c>
      <c r="W37" s="775">
        <f t="shared" si="14"/>
        <v>100</v>
      </c>
      <c r="X37" s="1813"/>
      <c r="Y37" s="3236"/>
      <c r="Z37" s="1814" t="str">
        <f t="shared" si="15"/>
        <v>成新度</v>
      </c>
      <c r="AA37" s="1811">
        <f t="shared" si="3"/>
        <v>1</v>
      </c>
      <c r="AB37" s="1811">
        <f t="shared" si="4"/>
        <v>1</v>
      </c>
      <c r="AC37" s="2676">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3"/>
      <c r="Q38" s="1795"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3" t="s">
        <v>2564</v>
      </c>
      <c r="Q39" s="1810" t="str">
        <f t="shared" si="11"/>
        <v>物业管理</v>
      </c>
      <c r="R39" s="774" t="s">
        <v>17</v>
      </c>
      <c r="S39" s="775">
        <f t="shared" si="12"/>
        <v>100</v>
      </c>
      <c r="T39" s="774" t="s">
        <v>17</v>
      </c>
      <c r="U39" s="775">
        <f t="shared" si="13"/>
        <v>100</v>
      </c>
      <c r="V39" s="774" t="s">
        <v>17</v>
      </c>
      <c r="W39" s="775">
        <f t="shared" si="14"/>
        <v>100</v>
      </c>
      <c r="X39" s="1813"/>
      <c r="Y39" s="3236"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3"/>
      <c r="Q40" s="1810" t="str">
        <f t="shared" si="11"/>
        <v>市政基础设施</v>
      </c>
      <c r="R40" s="774" t="s">
        <v>17</v>
      </c>
      <c r="S40" s="775">
        <f t="shared" si="12"/>
        <v>100</v>
      </c>
      <c r="T40" s="774" t="s">
        <v>17</v>
      </c>
      <c r="U40" s="775">
        <f t="shared" si="13"/>
        <v>100</v>
      </c>
      <c r="V40" s="774" t="s">
        <v>17</v>
      </c>
      <c r="W40" s="775">
        <f t="shared" si="14"/>
        <v>100</v>
      </c>
      <c r="X40" s="1813"/>
      <c r="Y40" s="3236"/>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3"/>
      <c r="Q41" s="1810" t="str">
        <f t="shared" si="11"/>
        <v>层高</v>
      </c>
      <c r="R41" s="774" t="s">
        <v>17</v>
      </c>
      <c r="S41" s="775">
        <f t="shared" si="12"/>
        <v>100</v>
      </c>
      <c r="T41" s="774" t="s">
        <v>17</v>
      </c>
      <c r="U41" s="775">
        <f t="shared" si="13"/>
        <v>100</v>
      </c>
      <c r="V41" s="774" t="s">
        <v>17</v>
      </c>
      <c r="W41" s="775">
        <f t="shared" si="14"/>
        <v>100</v>
      </c>
      <c r="X41" s="1813"/>
      <c r="Y41" s="3236"/>
      <c r="Z41" s="1814" t="str">
        <f t="shared" si="15"/>
        <v>层高</v>
      </c>
      <c r="AA41" s="1811">
        <f t="shared" si="3"/>
        <v>1</v>
      </c>
      <c r="AB41" s="1811">
        <f t="shared" si="4"/>
        <v>1</v>
      </c>
      <c r="AC41" s="2676">
        <f t="shared" si="5"/>
        <v>1</v>
      </c>
    </row>
    <row r="42" spans="1:29" s="471" customFormat="1" ht="15">
      <c r="A42" s="468"/>
      <c r="B42" s="1812" t="s">
        <v>2695</v>
      </c>
      <c r="C42" s="434">
        <f>'数据-汇总表'!F19</f>
        <v>55.46</v>
      </c>
      <c r="D42" s="435">
        <v>100</v>
      </c>
      <c r="E42" s="434">
        <v>150</v>
      </c>
      <c r="F42" s="461">
        <f>SUMIF(121:121,E42,122:122)-SUMIF(121:121,C42,122:122)+100</f>
        <v>100</v>
      </c>
      <c r="G42" s="434">
        <v>330</v>
      </c>
      <c r="H42" s="435">
        <f>SUMIF(121:121,G42,122:122)-SUMIF(121:121,C42,122:122)+100</f>
        <v>100</v>
      </c>
      <c r="I42" s="434">
        <v>147</v>
      </c>
      <c r="J42" s="435">
        <f>SUMIF(121:121,I42,122:122)-SUMIF(121:121,C42,122:122)+100</f>
        <v>100</v>
      </c>
      <c r="K42" s="613"/>
      <c r="L42" s="1138"/>
      <c r="M42" s="1141"/>
      <c r="N42" s="1141"/>
      <c r="O42" s="1141"/>
      <c r="P42" s="3273"/>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3"/>
      <c r="Q43" s="1810" t="str">
        <f t="shared" si="11"/>
        <v>内部装修</v>
      </c>
      <c r="R43" s="774" t="s">
        <v>17</v>
      </c>
      <c r="S43" s="775">
        <f t="shared" si="12"/>
        <v>100</v>
      </c>
      <c r="T43" s="774" t="s">
        <v>17</v>
      </c>
      <c r="U43" s="775">
        <f t="shared" si="13"/>
        <v>100</v>
      </c>
      <c r="V43" s="774" t="s">
        <v>17</v>
      </c>
      <c r="W43" s="775">
        <f t="shared" si="14"/>
        <v>100</v>
      </c>
      <c r="X43" s="1813"/>
      <c r="Y43" s="3236"/>
      <c r="Z43" s="1814" t="str">
        <f t="shared" si="15"/>
        <v>内部装修</v>
      </c>
      <c r="AA43" s="1811">
        <f t="shared" si="3"/>
        <v>1</v>
      </c>
      <c r="AB43" s="1811">
        <f t="shared" si="4"/>
        <v>1</v>
      </c>
      <c r="AC43" s="2676">
        <f t="shared" si="5"/>
        <v>1</v>
      </c>
    </row>
    <row r="44" spans="1:29" ht="15.75" thickBot="1">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73"/>
      <c r="Q44" s="1810" t="str">
        <f t="shared" si="11"/>
        <v>内部装修维护情况</v>
      </c>
      <c r="R44" s="774" t="s">
        <v>17</v>
      </c>
      <c r="S44" s="775">
        <f t="shared" si="12"/>
        <v>100</v>
      </c>
      <c r="T44" s="774" t="s">
        <v>17</v>
      </c>
      <c r="U44" s="775">
        <f t="shared" si="13"/>
        <v>100</v>
      </c>
      <c r="V44" s="774" t="s">
        <v>17</v>
      </c>
      <c r="W44" s="775">
        <f t="shared" si="14"/>
        <v>100</v>
      </c>
      <c r="X44" s="1813"/>
      <c r="Y44" s="3236"/>
      <c r="Z44" s="1814" t="str">
        <f t="shared" si="15"/>
        <v>内部装修维护情况</v>
      </c>
      <c r="AA44" s="1811">
        <f t="shared" si="3"/>
        <v>1</v>
      </c>
      <c r="AB44" s="1811">
        <f t="shared" si="4"/>
        <v>1</v>
      </c>
      <c r="AC44" s="2676">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3"/>
      <c r="Q45" s="1795">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3">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3"/>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2676">
        <f t="shared" si="5"/>
        <v>1</v>
      </c>
    </row>
    <row r="47" spans="1:29" ht="15.75" hidden="1"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4"/>
      <c r="Q47" s="1810">
        <f t="shared" si="11"/>
        <v>111</v>
      </c>
      <c r="R47" s="774" t="s">
        <v>17</v>
      </c>
      <c r="S47" s="775">
        <f t="shared" si="12"/>
        <v>100</v>
      </c>
      <c r="T47" s="774" t="s">
        <v>17</v>
      </c>
      <c r="U47" s="775">
        <f t="shared" si="13"/>
        <v>100</v>
      </c>
      <c r="V47" s="774" t="s">
        <v>17</v>
      </c>
      <c r="W47" s="775">
        <f t="shared" si="14"/>
        <v>100</v>
      </c>
      <c r="X47" s="1813"/>
      <c r="Y47" s="3275"/>
      <c r="Z47" s="1814">
        <f t="shared" si="15"/>
        <v>111</v>
      </c>
      <c r="AA47" s="1811">
        <f t="shared" si="3"/>
        <v>1</v>
      </c>
      <c r="AB47" s="1811">
        <f t="shared" si="4"/>
        <v>1</v>
      </c>
      <c r="AC47" s="2676">
        <f t="shared" si="5"/>
        <v>1</v>
      </c>
    </row>
    <row r="48" spans="1:29" ht="15">
      <c r="A48" s="479" t="s">
        <v>2576</v>
      </c>
      <c r="B48" s="480"/>
      <c r="C48" s="1407" t="s">
        <v>1</v>
      </c>
      <c r="D48" s="1408"/>
      <c r="E48" s="1409">
        <v>89570</v>
      </c>
      <c r="F48" s="1410"/>
      <c r="G48" s="1411">
        <v>106247</v>
      </c>
      <c r="H48" s="1412"/>
      <c r="I48" s="1409">
        <v>108130</v>
      </c>
      <c r="J48" s="485"/>
      <c r="K48" s="783"/>
      <c r="L48" s="1143"/>
      <c r="M48" s="1131"/>
      <c r="N48" s="1131"/>
      <c r="O48" s="1131"/>
      <c r="P48" s="3242" t="str">
        <f>A48</f>
        <v>成交单价（元/平方米）</v>
      </c>
      <c r="Q48" s="3218"/>
      <c r="R48" s="3271">
        <f>E48</f>
        <v>89570</v>
      </c>
      <c r="S48" s="3271"/>
      <c r="T48" s="3271">
        <f>G48</f>
        <v>106247</v>
      </c>
      <c r="U48" s="3271"/>
      <c r="V48" s="3271">
        <f>I48</f>
        <v>108130</v>
      </c>
      <c r="W48" s="3271"/>
      <c r="X48" s="446"/>
      <c r="Y48" s="781"/>
      <c r="Z48" s="446"/>
      <c r="AA48" s="446"/>
      <c r="AB48" s="446"/>
      <c r="AC48" s="630"/>
    </row>
    <row r="49" spans="1:29" ht="15.75" thickBot="1">
      <c r="A49" s="486" t="s">
        <v>2668</v>
      </c>
      <c r="B49" s="487"/>
      <c r="C49" s="1413">
        <f>R50</f>
        <v>101316</v>
      </c>
      <c r="D49" s="1414"/>
      <c r="E49" s="1415">
        <f>R49</f>
        <v>89570</v>
      </c>
      <c r="F49" s="1415"/>
      <c r="G49" s="1413">
        <f>T49</f>
        <v>106247</v>
      </c>
      <c r="H49" s="1414"/>
      <c r="I49" s="1415">
        <f>V49</f>
        <v>108130</v>
      </c>
      <c r="J49" s="489"/>
      <c r="K49" s="784"/>
      <c r="L49" s="1143"/>
      <c r="M49" s="1131"/>
      <c r="N49" s="1131"/>
      <c r="O49" s="1131"/>
      <c r="P49" s="3242" t="str">
        <f>A49</f>
        <v>比较价值（元/平方米）</v>
      </c>
      <c r="Q49" s="3218"/>
      <c r="R49" s="3271">
        <f>IF(F1="售价",ROUND(PRODUCT(R48,AA7:AA47),0),ROUND(PRODUCT(R48,AA7:AA47),1))</f>
        <v>89570</v>
      </c>
      <c r="S49" s="3271"/>
      <c r="T49" s="3271">
        <f>IF(F1="售价",ROUND(PRODUCT(T48,AB7:AB47),0),ROUND(PRODUCT(T48,AB7:AB47),1))</f>
        <v>106247</v>
      </c>
      <c r="U49" s="3271"/>
      <c r="V49" s="3271">
        <f>IF(F1="售价",ROUND(PRODUCT(V48,AC7:AC47),0),ROUND(PRODUCT(V48,AC7:AC47),1))</f>
        <v>108130</v>
      </c>
      <c r="W49" s="3271"/>
      <c r="X49" s="446"/>
      <c r="Y49" s="446"/>
      <c r="Z49" s="446"/>
      <c r="AA49" s="446"/>
      <c r="AB49" s="446"/>
      <c r="AC49" s="630"/>
    </row>
    <row r="50" spans="1:29" ht="15.75" thickBot="1">
      <c r="A50" s="492" t="s">
        <v>2669</v>
      </c>
      <c r="B50" s="493"/>
      <c r="C50" s="1417">
        <f>R50</f>
        <v>101316</v>
      </c>
      <c r="D50" s="1417"/>
      <c r="E50" s="1417"/>
      <c r="F50" s="1417"/>
      <c r="G50" s="1417"/>
      <c r="H50" s="1417"/>
      <c r="I50" s="1417"/>
      <c r="J50" s="494"/>
      <c r="K50" s="785"/>
      <c r="L50" s="1143"/>
      <c r="M50" s="1131"/>
      <c r="N50" s="1131"/>
      <c r="O50" s="1131"/>
      <c r="P50" s="3296" t="str">
        <f>A50</f>
        <v>估价对象XX用房的比较价值（楼面单价，元/平方米）</v>
      </c>
      <c r="Q50" s="3297"/>
      <c r="R50" s="3298">
        <f>IF(F1="售价",ROUND(AVERAGE(R49:V49),0),ROUND(AVERAGE(R49:V49),1))</f>
        <v>101316</v>
      </c>
      <c r="S50" s="3298"/>
      <c r="T50" s="3298"/>
      <c r="U50" s="3298"/>
      <c r="V50" s="3298"/>
      <c r="W50" s="329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2671</v>
      </c>
      <c r="D54" s="501"/>
      <c r="E54" s="499">
        <f>IF(E49&lt;G49,G49/E49-1,E49/G49-1)</f>
        <v>0.18618957240147371</v>
      </c>
      <c r="F54" s="500" t="str">
        <f>IF(OR(E54&gt;=0.2,E54&lt;=-0.2),"超过20%","")</f>
        <v/>
      </c>
      <c r="G54" s="499">
        <f>IF(G49&lt;I49,I49/G49-1,G49/I49-1)</f>
        <v>1.7722853351153534E-2</v>
      </c>
      <c r="H54" s="500" t="str">
        <f>IF(OR(G54&gt;=0.2,G54&lt;=-0.2),"超过20%","")</f>
        <v/>
      </c>
      <c r="I54" s="499">
        <f>IF(I49&lt;E49,E49/I49-1,I49/E49-1)</f>
        <v>0.20721223623981233</v>
      </c>
      <c r="J54" s="500" t="str">
        <f>IF(OR(I54&gt;=0.2,I54&lt;=-0.2),"超过20%","")</f>
        <v>超过20%</v>
      </c>
      <c r="K54" s="1105"/>
      <c r="L54" s="1106"/>
      <c r="M54" s="1144"/>
      <c r="N54" s="1144"/>
      <c r="O54" s="1144"/>
    </row>
    <row r="55" spans="1:29" s="502" customFormat="1" ht="13.5" customHeight="1">
      <c r="A55" s="1145"/>
      <c r="B55" s="1145"/>
      <c r="C55" s="497" t="s">
        <v>2672</v>
      </c>
      <c r="D55" s="501"/>
      <c r="E55" s="499">
        <f>IF(E48&lt;G48,G48/E48-1,E48/G48-1)</f>
        <v>0.18618957240147371</v>
      </c>
      <c r="F55" s="500" t="str">
        <f>IF(OR(E55&gt;=0.3,E55&lt;=-0.3),"超过30%","")</f>
        <v/>
      </c>
      <c r="G55" s="499">
        <f>IF(G48&lt;I48,I48/G48-1,G48/I48-1)</f>
        <v>1.7722853351153534E-2</v>
      </c>
      <c r="H55" s="500" t="str">
        <f>IF(OR(G55&gt;=0.3,G55&lt;=-0.3),"超过30%","")</f>
        <v/>
      </c>
      <c r="I55" s="499">
        <f>IF(I48&lt;E48,E48/I48-1,I48/E48-1)</f>
        <v>0.20721223623981233</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0</v>
      </c>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499.07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6" t="s">
        <v>2646</v>
      </c>
      <c r="S4" s="3207"/>
      <c r="T4" s="3206" t="s">
        <v>2647</v>
      </c>
      <c r="U4" s="3207"/>
      <c r="V4" s="3231" t="s">
        <v>2648</v>
      </c>
      <c r="W4" s="3231"/>
      <c r="X4" s="1813"/>
      <c r="Y4" s="3206" t="s">
        <v>2650</v>
      </c>
      <c r="Z4" s="3207"/>
      <c r="AA4" s="3201" t="s">
        <v>2646</v>
      </c>
      <c r="AB4" s="3202" t="s">
        <v>2647</v>
      </c>
      <c r="AC4" s="3201" t="s">
        <v>2648</v>
      </c>
    </row>
    <row r="5" spans="1:29" ht="15">
      <c r="A5" s="404"/>
      <c r="B5" s="405"/>
      <c r="C5" s="3212" t="s">
        <v>2541</v>
      </c>
      <c r="D5" s="3213"/>
      <c r="E5" s="3210" t="s">
        <v>2542</v>
      </c>
      <c r="F5" s="3211"/>
      <c r="G5" s="3212" t="s">
        <v>2543</v>
      </c>
      <c r="H5" s="3213"/>
      <c r="I5" s="3212" t="s">
        <v>2544</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2545</v>
      </c>
      <c r="D6" s="3215"/>
      <c r="E6" s="3216" t="s">
        <v>2545</v>
      </c>
      <c r="F6" s="3217"/>
      <c r="G6" s="3214" t="s">
        <v>2545</v>
      </c>
      <c r="H6" s="3215"/>
      <c r="I6" s="3214" t="s">
        <v>2545</v>
      </c>
      <c r="J6" s="3215"/>
      <c r="K6" s="610" t="s">
        <v>2546</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2547</v>
      </c>
      <c r="B7" s="409"/>
      <c r="C7" s="410">
        <f>'数据-取费表'!B2</f>
        <v>43845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2548</v>
      </c>
      <c r="Q7" s="3232"/>
      <c r="R7" s="770" t="s">
        <v>17</v>
      </c>
      <c r="S7" s="771">
        <f t="shared" ref="S7:S15" si="0">F7</f>
        <v>0</v>
      </c>
      <c r="T7" s="770" t="s">
        <v>17</v>
      </c>
      <c r="U7" s="771">
        <f t="shared" ref="U7:U15" si="1">H7</f>
        <v>0</v>
      </c>
      <c r="V7" s="770" t="s">
        <v>17</v>
      </c>
      <c r="W7" s="771">
        <f t="shared" ref="W7:W15" si="2">J7</f>
        <v>0</v>
      </c>
      <c r="X7" s="772"/>
      <c r="Y7" s="3204" t="s">
        <v>2548</v>
      </c>
      <c r="Z7" s="320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2551</v>
      </c>
      <c r="Q8" s="3205"/>
      <c r="R8" s="770" t="s">
        <v>17</v>
      </c>
      <c r="S8" s="771">
        <f t="shared" si="0"/>
        <v>0</v>
      </c>
      <c r="T8" s="770" t="s">
        <v>17</v>
      </c>
      <c r="U8" s="771">
        <f t="shared" si="1"/>
        <v>0</v>
      </c>
      <c r="V8" s="770" t="s">
        <v>17</v>
      </c>
      <c r="W8" s="771">
        <f t="shared" si="2"/>
        <v>0</v>
      </c>
      <c r="X8" s="772"/>
      <c r="Y8" s="3204" t="s">
        <v>2551</v>
      </c>
      <c r="Z8" s="320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8" t="s">
        <v>2554</v>
      </c>
      <c r="Q9" s="1795" t="str">
        <f t="shared" ref="Q9:Q15" si="6">B9</f>
        <v>用途</v>
      </c>
      <c r="R9" s="770" t="s">
        <v>17</v>
      </c>
      <c r="S9" s="771">
        <f t="shared" si="0"/>
        <v>100</v>
      </c>
      <c r="T9" s="770" t="s">
        <v>17</v>
      </c>
      <c r="U9" s="771">
        <f t="shared" si="1"/>
        <v>100</v>
      </c>
      <c r="V9" s="770" t="s">
        <v>17</v>
      </c>
      <c r="W9" s="771">
        <f t="shared" si="2"/>
        <v>100</v>
      </c>
      <c r="X9" s="772"/>
      <c r="Y9" s="307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8"/>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8"/>
      <c r="Q11" s="1795"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18"/>
      <c r="Q12" s="1795">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18"/>
      <c r="Q14" s="1795">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3" t="s">
        <v>2559</v>
      </c>
      <c r="Q15" s="1810" t="str">
        <f t="shared" si="6"/>
        <v>产业集聚程度</v>
      </c>
      <c r="R15" s="774" t="s">
        <v>17</v>
      </c>
      <c r="S15" s="775">
        <f t="shared" si="0"/>
        <v>100</v>
      </c>
      <c r="T15" s="774" t="s">
        <v>17</v>
      </c>
      <c r="U15" s="775">
        <f t="shared" si="1"/>
        <v>100</v>
      </c>
      <c r="V15" s="774" t="s">
        <v>17</v>
      </c>
      <c r="W15" s="775">
        <f t="shared" si="2"/>
        <v>100</v>
      </c>
      <c r="X15" s="1813"/>
      <c r="Y15" s="3233"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4"/>
      <c r="Q16" s="1810"/>
      <c r="R16" s="774"/>
      <c r="S16" s="775"/>
      <c r="T16" s="774"/>
      <c r="U16" s="775"/>
      <c r="V16" s="774"/>
      <c r="W16" s="775"/>
      <c r="X16" s="1813"/>
      <c r="Y16" s="3234"/>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4"/>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4"/>
      <c r="Q18" s="1810"/>
      <c r="R18" s="774"/>
      <c r="S18" s="775"/>
      <c r="T18" s="774"/>
      <c r="U18" s="775"/>
      <c r="V18" s="774"/>
      <c r="W18" s="775"/>
      <c r="X18" s="1813"/>
      <c r="Y18" s="3234"/>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4"/>
      <c r="Q19" s="1810" t="str">
        <f>B19</f>
        <v>公共配套设施</v>
      </c>
      <c r="R19" s="774" t="s">
        <v>17</v>
      </c>
      <c r="S19" s="775">
        <f>F19</f>
        <v>100</v>
      </c>
      <c r="T19" s="774" t="s">
        <v>17</v>
      </c>
      <c r="U19" s="775">
        <f>H19</f>
        <v>100</v>
      </c>
      <c r="V19" s="774" t="s">
        <v>17</v>
      </c>
      <c r="W19" s="775">
        <f>J19</f>
        <v>100</v>
      </c>
      <c r="X19" s="1813"/>
      <c r="Y19" s="323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4"/>
      <c r="Q20" s="1810"/>
      <c r="R20" s="774"/>
      <c r="S20" s="775"/>
      <c r="T20" s="774"/>
      <c r="U20" s="775"/>
      <c r="V20" s="774"/>
      <c r="W20" s="775"/>
      <c r="X20" s="1813"/>
      <c r="Y20" s="3234"/>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4"/>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4"/>
      <c r="Q22" s="1810"/>
      <c r="R22" s="774"/>
      <c r="S22" s="775"/>
      <c r="T22" s="774"/>
      <c r="U22" s="775"/>
      <c r="V22" s="774"/>
      <c r="W22" s="775"/>
      <c r="X22" s="1813"/>
      <c r="Y22" s="3234"/>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4"/>
      <c r="Q23" s="1810" t="str">
        <f>B23</f>
        <v>环境质量</v>
      </c>
      <c r="R23" s="774" t="s">
        <v>17</v>
      </c>
      <c r="S23" s="775">
        <f>F23</f>
        <v>100</v>
      </c>
      <c r="T23" s="774" t="s">
        <v>17</v>
      </c>
      <c r="U23" s="775">
        <f>H23</f>
        <v>100</v>
      </c>
      <c r="V23" s="774" t="s">
        <v>17</v>
      </c>
      <c r="W23" s="775">
        <f>J23</f>
        <v>100</v>
      </c>
      <c r="X23" s="1813"/>
      <c r="Y23" s="3234"/>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4"/>
      <c r="Q24" s="1810"/>
      <c r="R24" s="774"/>
      <c r="S24" s="775"/>
      <c r="T24" s="774"/>
      <c r="U24" s="775"/>
      <c r="V24" s="774"/>
      <c r="W24" s="775"/>
      <c r="X24" s="1813"/>
      <c r="Y24" s="323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4"/>
      <c r="Q25" s="1810">
        <f>B25</f>
        <v>111</v>
      </c>
      <c r="R25" s="774" t="s">
        <v>17</v>
      </c>
      <c r="S25" s="775">
        <f>F25</f>
        <v>100</v>
      </c>
      <c r="T25" s="774" t="s">
        <v>17</v>
      </c>
      <c r="U25" s="775">
        <f>H25</f>
        <v>100</v>
      </c>
      <c r="V25" s="774" t="s">
        <v>17</v>
      </c>
      <c r="W25" s="775">
        <f>J25</f>
        <v>100</v>
      </c>
      <c r="X25" s="1813"/>
      <c r="Y25" s="323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4"/>
      <c r="Q26" s="1810">
        <f t="shared" ref="Q26:Q40" si="11">B26</f>
        <v>111</v>
      </c>
      <c r="R26" s="774" t="s">
        <v>17</v>
      </c>
      <c r="S26" s="775">
        <f>F26</f>
        <v>100</v>
      </c>
      <c r="T26" s="774" t="s">
        <v>17</v>
      </c>
      <c r="U26" s="775">
        <f>H26</f>
        <v>100</v>
      </c>
      <c r="V26" s="774" t="s">
        <v>17</v>
      </c>
      <c r="W26" s="775">
        <f>J26</f>
        <v>100</v>
      </c>
      <c r="X26" s="1813"/>
      <c r="Y26" s="323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4"/>
      <c r="Q27" s="1795">
        <f t="shared" si="11"/>
        <v>111</v>
      </c>
      <c r="R27" s="770" t="s">
        <v>17</v>
      </c>
      <c r="S27" s="771">
        <f>F27</f>
        <v>100</v>
      </c>
      <c r="T27" s="770" t="s">
        <v>17</v>
      </c>
      <c r="U27" s="771">
        <f>H27</f>
        <v>100</v>
      </c>
      <c r="V27" s="770" t="s">
        <v>17</v>
      </c>
      <c r="W27" s="771">
        <f>J27</f>
        <v>100</v>
      </c>
      <c r="X27" s="772"/>
      <c r="Y27" s="323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4"/>
      <c r="Q28" s="1810">
        <f t="shared" si="11"/>
        <v>111</v>
      </c>
      <c r="R28" s="774" t="s">
        <v>17</v>
      </c>
      <c r="S28" s="775">
        <f t="shared" ref="S28:S40" si="12">F28</f>
        <v>100</v>
      </c>
      <c r="T28" s="774" t="s">
        <v>17</v>
      </c>
      <c r="U28" s="775">
        <f t="shared" ref="U28:U40" si="13">H28</f>
        <v>100</v>
      </c>
      <c r="V28" s="774" t="s">
        <v>17</v>
      </c>
      <c r="W28" s="775">
        <f t="shared" ref="W28:W40" si="14">J28</f>
        <v>100</v>
      </c>
      <c r="X28" s="1813"/>
      <c r="Y28" s="3234"/>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5" t="s">
        <v>2564</v>
      </c>
      <c r="Q29" s="1810" t="str">
        <f t="shared" si="11"/>
        <v>建筑类型</v>
      </c>
      <c r="R29" s="774" t="s">
        <v>17</v>
      </c>
      <c r="S29" s="775">
        <f t="shared" si="12"/>
        <v>100</v>
      </c>
      <c r="T29" s="774" t="s">
        <v>17</v>
      </c>
      <c r="U29" s="775">
        <f t="shared" si="13"/>
        <v>100</v>
      </c>
      <c r="V29" s="774" t="s">
        <v>17</v>
      </c>
      <c r="W29" s="775">
        <f t="shared" si="14"/>
        <v>100</v>
      </c>
      <c r="X29" s="1813"/>
      <c r="Y29" s="3236"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10" t="str">
        <f t="shared" si="11"/>
        <v>建筑结构</v>
      </c>
      <c r="R31" s="774" t="s">
        <v>17</v>
      </c>
      <c r="S31" s="775">
        <f t="shared" si="12"/>
        <v>100</v>
      </c>
      <c r="T31" s="774" t="s">
        <v>17</v>
      </c>
      <c r="U31" s="775">
        <f t="shared" si="13"/>
        <v>100</v>
      </c>
      <c r="V31" s="774" t="s">
        <v>17</v>
      </c>
      <c r="W31" s="775">
        <f t="shared" si="14"/>
        <v>100</v>
      </c>
      <c r="X31" s="1813"/>
      <c r="Y31" s="3236"/>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10" t="str">
        <f t="shared" si="11"/>
        <v>公共部分装修</v>
      </c>
      <c r="R32" s="774" t="s">
        <v>17</v>
      </c>
      <c r="S32" s="775">
        <f t="shared" si="12"/>
        <v>100</v>
      </c>
      <c r="T32" s="774" t="s">
        <v>17</v>
      </c>
      <c r="U32" s="775">
        <f t="shared" si="13"/>
        <v>100</v>
      </c>
      <c r="V32" s="774" t="s">
        <v>17</v>
      </c>
      <c r="W32" s="775">
        <f t="shared" si="14"/>
        <v>100</v>
      </c>
      <c r="X32" s="1813"/>
      <c r="Y32" s="3236"/>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10" t="str">
        <f t="shared" si="11"/>
        <v>成新度</v>
      </c>
      <c r="R33" s="774" t="s">
        <v>17</v>
      </c>
      <c r="S33" s="775" t="e">
        <f t="shared" si="12"/>
        <v>#N/A</v>
      </c>
      <c r="T33" s="774" t="s">
        <v>17</v>
      </c>
      <c r="U33" s="775" t="e">
        <f t="shared" si="13"/>
        <v>#N/A</v>
      </c>
      <c r="V33" s="774" t="s">
        <v>17</v>
      </c>
      <c r="W33" s="775" t="e">
        <f t="shared" si="14"/>
        <v>#N/A</v>
      </c>
      <c r="X33" s="1813"/>
      <c r="Y33" s="3236"/>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95"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2564</v>
      </c>
      <c r="Q35" s="1810" t="str">
        <f t="shared" si="11"/>
        <v>市政基础设施</v>
      </c>
      <c r="R35" s="774" t="s">
        <v>17</v>
      </c>
      <c r="S35" s="775">
        <f t="shared" si="12"/>
        <v>100</v>
      </c>
      <c r="T35" s="774" t="s">
        <v>17</v>
      </c>
      <c r="U35" s="775">
        <f t="shared" si="13"/>
        <v>100</v>
      </c>
      <c r="V35" s="774" t="s">
        <v>17</v>
      </c>
      <c r="W35" s="775">
        <f t="shared" si="14"/>
        <v>100</v>
      </c>
      <c r="X35" s="1813"/>
      <c r="Y35" s="3236"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10" t="str">
        <f t="shared" si="11"/>
        <v>内部装修</v>
      </c>
      <c r="R36" s="774" t="s">
        <v>17</v>
      </c>
      <c r="S36" s="775">
        <f t="shared" si="12"/>
        <v>100</v>
      </c>
      <c r="T36" s="774" t="s">
        <v>17</v>
      </c>
      <c r="U36" s="775">
        <f t="shared" si="13"/>
        <v>100</v>
      </c>
      <c r="V36" s="774" t="s">
        <v>17</v>
      </c>
      <c r="W36" s="775">
        <f t="shared" si="14"/>
        <v>100</v>
      </c>
      <c r="X36" s="1813"/>
      <c r="Y36" s="3236"/>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10" t="str">
        <f t="shared" si="11"/>
        <v>内部装修状况</v>
      </c>
      <c r="R37" s="774" t="s">
        <v>17</v>
      </c>
      <c r="S37" s="775">
        <f t="shared" si="12"/>
        <v>100</v>
      </c>
      <c r="T37" s="774" t="s">
        <v>17</v>
      </c>
      <c r="U37" s="775">
        <f t="shared" si="13"/>
        <v>100</v>
      </c>
      <c r="V37" s="774" t="s">
        <v>17</v>
      </c>
      <c r="W37" s="775">
        <f t="shared" si="14"/>
        <v>100</v>
      </c>
      <c r="X37" s="1813"/>
      <c r="Y37" s="323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10">
        <f t="shared" si="11"/>
        <v>111</v>
      </c>
      <c r="R39" s="774" t="s">
        <v>17</v>
      </c>
      <c r="S39" s="775">
        <f t="shared" si="12"/>
        <v>100</v>
      </c>
      <c r="T39" s="774" t="s">
        <v>17</v>
      </c>
      <c r="U39" s="775">
        <f t="shared" si="13"/>
        <v>100</v>
      </c>
      <c r="V39" s="774" t="s">
        <v>17</v>
      </c>
      <c r="W39" s="775">
        <f t="shared" si="14"/>
        <v>100</v>
      </c>
      <c r="X39" s="1813"/>
      <c r="Y39" s="3236"/>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5"/>
      <c r="Q40" s="1810">
        <f t="shared" si="11"/>
        <v>111</v>
      </c>
      <c r="R40" s="774" t="s">
        <v>17</v>
      </c>
      <c r="S40" s="775">
        <f t="shared" si="12"/>
        <v>100</v>
      </c>
      <c r="T40" s="774" t="s">
        <v>17</v>
      </c>
      <c r="U40" s="775">
        <f t="shared" si="13"/>
        <v>100</v>
      </c>
      <c r="V40" s="774" t="s">
        <v>17</v>
      </c>
      <c r="W40" s="775">
        <f t="shared" si="14"/>
        <v>100</v>
      </c>
      <c r="X40" s="1813"/>
      <c r="Y40" s="3275"/>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18" t="str">
        <f>A41</f>
        <v>成交单价（元/平方米）</v>
      </c>
      <c r="Q41" s="3218"/>
      <c r="R41" s="3271">
        <f>E41</f>
        <v>0</v>
      </c>
      <c r="S41" s="3271"/>
      <c r="T41" s="3271">
        <f>G41</f>
        <v>0</v>
      </c>
      <c r="U41" s="3271"/>
      <c r="V41" s="3271">
        <f>I41</f>
        <v>0</v>
      </c>
      <c r="W41" s="327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18" t="str">
        <f>A42</f>
        <v>比较价值（元/平方米）</v>
      </c>
      <c r="Q42" s="3218"/>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8" t="str">
        <f>A43</f>
        <v>估价对象XX用房的比较价值（楼面单价，元/平方米）</v>
      </c>
      <c r="Q43" s="3239"/>
      <c r="R43" s="3270" t="e">
        <f>IF(F1="售价",ROUND(AVERAGE(R42:V42),0),ROUND(AVERAGE(R42:V42),1))</f>
        <v>#DIV/0!</v>
      </c>
      <c r="S43" s="3270"/>
      <c r="T43" s="3270"/>
      <c r="U43" s="3270"/>
      <c r="V43" s="3270"/>
      <c r="W43" s="327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6" t="s">
        <v>2646</v>
      </c>
      <c r="S4" s="3207"/>
      <c r="T4" s="3206" t="s">
        <v>2647</v>
      </c>
      <c r="U4" s="3207"/>
      <c r="V4" s="3231" t="s">
        <v>2648</v>
      </c>
      <c r="W4" s="3231"/>
      <c r="X4" s="1813"/>
      <c r="Y4" s="3206" t="s">
        <v>2650</v>
      </c>
      <c r="Z4" s="3207"/>
      <c r="AA4" s="3201" t="s">
        <v>2646</v>
      </c>
      <c r="AB4" s="3202" t="s">
        <v>2647</v>
      </c>
      <c r="AC4" s="3201" t="s">
        <v>2648</v>
      </c>
    </row>
    <row r="5" spans="1:29" ht="15">
      <c r="A5" s="404"/>
      <c r="B5" s="405"/>
      <c r="C5" s="3212" t="s">
        <v>2541</v>
      </c>
      <c r="D5" s="3213"/>
      <c r="E5" s="3210" t="s">
        <v>2542</v>
      </c>
      <c r="F5" s="3211"/>
      <c r="G5" s="3212" t="s">
        <v>2543</v>
      </c>
      <c r="H5" s="3213"/>
      <c r="I5" s="3212" t="s">
        <v>2544</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2545</v>
      </c>
      <c r="D6" s="3215"/>
      <c r="E6" s="3216" t="s">
        <v>2545</v>
      </c>
      <c r="F6" s="3217"/>
      <c r="G6" s="3214" t="s">
        <v>2545</v>
      </c>
      <c r="H6" s="3215"/>
      <c r="I6" s="3214" t="s">
        <v>2545</v>
      </c>
      <c r="J6" s="3215"/>
      <c r="K6" s="610" t="s">
        <v>2546</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2547</v>
      </c>
      <c r="B7" s="409"/>
      <c r="C7" s="410">
        <f>'数据-取费表'!B2</f>
        <v>43845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2548</v>
      </c>
      <c r="Q7" s="3232"/>
      <c r="R7" s="770" t="s">
        <v>17</v>
      </c>
      <c r="S7" s="771">
        <f t="shared" ref="S7:S14" si="0">F7</f>
        <v>0</v>
      </c>
      <c r="T7" s="770" t="s">
        <v>17</v>
      </c>
      <c r="U7" s="771">
        <f t="shared" ref="U7:U14" si="1">H7</f>
        <v>0</v>
      </c>
      <c r="V7" s="770" t="s">
        <v>17</v>
      </c>
      <c r="W7" s="771">
        <f t="shared" ref="W7:W14" si="2">J7</f>
        <v>0</v>
      </c>
      <c r="X7" s="772"/>
      <c r="Y7" s="3204" t="s">
        <v>2548</v>
      </c>
      <c r="Z7" s="320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2551</v>
      </c>
      <c r="Q8" s="3205"/>
      <c r="R8" s="770" t="s">
        <v>17</v>
      </c>
      <c r="S8" s="771">
        <f t="shared" si="0"/>
        <v>0</v>
      </c>
      <c r="T8" s="770" t="s">
        <v>17</v>
      </c>
      <c r="U8" s="771">
        <f t="shared" si="1"/>
        <v>0</v>
      </c>
      <c r="V8" s="770" t="s">
        <v>17</v>
      </c>
      <c r="W8" s="771">
        <f t="shared" si="2"/>
        <v>0</v>
      </c>
      <c r="X8" s="772"/>
      <c r="Y8" s="3204" t="s">
        <v>2551</v>
      </c>
      <c r="Z8" s="320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8" t="s">
        <v>2554</v>
      </c>
      <c r="Q9" s="1795" t="str">
        <f t="shared" ref="Q9:Q14" si="6">B9</f>
        <v>用途</v>
      </c>
      <c r="R9" s="770" t="s">
        <v>17</v>
      </c>
      <c r="S9" s="771">
        <f t="shared" si="0"/>
        <v>100</v>
      </c>
      <c r="T9" s="770" t="s">
        <v>17</v>
      </c>
      <c r="U9" s="771">
        <f t="shared" si="1"/>
        <v>100</v>
      </c>
      <c r="V9" s="770" t="s">
        <v>17</v>
      </c>
      <c r="W9" s="771">
        <f t="shared" si="2"/>
        <v>100</v>
      </c>
      <c r="X9" s="772"/>
      <c r="Y9" s="307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8"/>
      <c r="Q11" s="1795">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3" t="s">
        <v>2559</v>
      </c>
      <c r="Q14" s="1810" t="str">
        <f t="shared" si="6"/>
        <v>交通便捷度</v>
      </c>
      <c r="R14" s="774" t="s">
        <v>17</v>
      </c>
      <c r="S14" s="775">
        <f t="shared" si="0"/>
        <v>100</v>
      </c>
      <c r="T14" s="774" t="s">
        <v>17</v>
      </c>
      <c r="U14" s="775">
        <f t="shared" si="1"/>
        <v>100</v>
      </c>
      <c r="V14" s="774" t="s">
        <v>17</v>
      </c>
      <c r="W14" s="775">
        <f t="shared" si="2"/>
        <v>100</v>
      </c>
      <c r="X14" s="1813"/>
      <c r="Y14" s="3233"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4"/>
      <c r="Q15" s="1810"/>
      <c r="R15" s="774"/>
      <c r="S15" s="775"/>
      <c r="T15" s="774"/>
      <c r="U15" s="775"/>
      <c r="V15" s="774"/>
      <c r="W15" s="775"/>
      <c r="X15" s="1813"/>
      <c r="Y15" s="3234"/>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4"/>
      <c r="Q16" s="1810" t="str">
        <f>B16</f>
        <v>公共配套设施</v>
      </c>
      <c r="R16" s="774" t="s">
        <v>17</v>
      </c>
      <c r="S16" s="775">
        <f>F16</f>
        <v>100</v>
      </c>
      <c r="T16" s="774" t="s">
        <v>17</v>
      </c>
      <c r="U16" s="775">
        <f>H16</f>
        <v>100</v>
      </c>
      <c r="V16" s="774" t="s">
        <v>17</v>
      </c>
      <c r="W16" s="775">
        <f>J16</f>
        <v>100</v>
      </c>
      <c r="X16" s="1813"/>
      <c r="Y16" s="3234"/>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4"/>
      <c r="Q17" s="1810"/>
      <c r="R17" s="774"/>
      <c r="S17" s="775"/>
      <c r="T17" s="774"/>
      <c r="U17" s="775"/>
      <c r="V17" s="774"/>
      <c r="W17" s="775"/>
      <c r="X17" s="1813"/>
      <c r="Y17" s="3234"/>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4"/>
      <c r="Q18" s="1810" t="str">
        <f>B18</f>
        <v>基础设施水平</v>
      </c>
      <c r="R18" s="774" t="s">
        <v>17</v>
      </c>
      <c r="S18" s="775">
        <f>F18</f>
        <v>100</v>
      </c>
      <c r="T18" s="774" t="s">
        <v>17</v>
      </c>
      <c r="U18" s="775">
        <f>H18</f>
        <v>100</v>
      </c>
      <c r="V18" s="774" t="s">
        <v>17</v>
      </c>
      <c r="W18" s="775">
        <f>J18</f>
        <v>100</v>
      </c>
      <c r="X18" s="1813"/>
      <c r="Y18" s="3234"/>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4"/>
      <c r="Q19" s="1810"/>
      <c r="R19" s="774"/>
      <c r="S19" s="775"/>
      <c r="T19" s="774"/>
      <c r="U19" s="775"/>
      <c r="V19" s="774"/>
      <c r="W19" s="775"/>
      <c r="X19" s="1813"/>
      <c r="Y19" s="3234"/>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4"/>
      <c r="Q20" s="1810" t="str">
        <f>B20</f>
        <v>自然及人文环境</v>
      </c>
      <c r="R20" s="774" t="s">
        <v>17</v>
      </c>
      <c r="S20" s="775">
        <f>F20</f>
        <v>100</v>
      </c>
      <c r="T20" s="774" t="s">
        <v>17</v>
      </c>
      <c r="U20" s="775">
        <f>H20</f>
        <v>100</v>
      </c>
      <c r="V20" s="774" t="s">
        <v>17</v>
      </c>
      <c r="W20" s="775">
        <f>J20</f>
        <v>100</v>
      </c>
      <c r="X20" s="1813"/>
      <c r="Y20" s="323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4"/>
      <c r="Q21" s="1810"/>
      <c r="R21" s="774"/>
      <c r="S21" s="775"/>
      <c r="T21" s="774"/>
      <c r="U21" s="775"/>
      <c r="V21" s="774"/>
      <c r="W21" s="775"/>
      <c r="X21" s="1813"/>
      <c r="Y21" s="3234"/>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4"/>
      <c r="Q22" s="1810" t="str">
        <f>B22</f>
        <v>楼层</v>
      </c>
      <c r="R22" s="774" t="s">
        <v>17</v>
      </c>
      <c r="S22" s="775">
        <f>F22</f>
        <v>100</v>
      </c>
      <c r="T22" s="774" t="s">
        <v>17</v>
      </c>
      <c r="U22" s="775">
        <f>H22</f>
        <v>100</v>
      </c>
      <c r="V22" s="774" t="s">
        <v>17</v>
      </c>
      <c r="W22" s="775">
        <f>J22</f>
        <v>100</v>
      </c>
      <c r="X22" s="1813"/>
      <c r="Y22" s="323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4"/>
      <c r="Q23" s="1810">
        <f>B23</f>
        <v>111</v>
      </c>
      <c r="R23" s="774" t="s">
        <v>17</v>
      </c>
      <c r="S23" s="775">
        <f>F23</f>
        <v>100</v>
      </c>
      <c r="T23" s="774" t="s">
        <v>17</v>
      </c>
      <c r="U23" s="775">
        <f>H23</f>
        <v>100</v>
      </c>
      <c r="V23" s="774" t="s">
        <v>17</v>
      </c>
      <c r="W23" s="775">
        <f>J23</f>
        <v>100</v>
      </c>
      <c r="X23" s="1813"/>
      <c r="Y23" s="323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4"/>
      <c r="Q24" s="1810">
        <f t="shared" ref="Q24:Q36" si="11">B24</f>
        <v>111</v>
      </c>
      <c r="R24" s="774" t="s">
        <v>17</v>
      </c>
      <c r="S24" s="775">
        <f>F24</f>
        <v>100</v>
      </c>
      <c r="T24" s="774" t="s">
        <v>17</v>
      </c>
      <c r="U24" s="775">
        <f>H24</f>
        <v>100</v>
      </c>
      <c r="V24" s="774" t="s">
        <v>17</v>
      </c>
      <c r="W24" s="775">
        <f>J24</f>
        <v>100</v>
      </c>
      <c r="X24" s="1813"/>
      <c r="Y24" s="323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4"/>
      <c r="Q25" s="1795">
        <f t="shared" si="11"/>
        <v>111</v>
      </c>
      <c r="R25" s="770" t="s">
        <v>17</v>
      </c>
      <c r="S25" s="771">
        <f>F25</f>
        <v>100</v>
      </c>
      <c r="T25" s="770" t="s">
        <v>17</v>
      </c>
      <c r="U25" s="771">
        <f>H25</f>
        <v>100</v>
      </c>
      <c r="V25" s="770" t="s">
        <v>17</v>
      </c>
      <c r="W25" s="771">
        <f>J25</f>
        <v>100</v>
      </c>
      <c r="X25" s="772"/>
      <c r="Y25" s="3234"/>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6"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10" t="str">
        <f t="shared" si="11"/>
        <v>公共部分装修</v>
      </c>
      <c r="R28" s="774" t="s">
        <v>17</v>
      </c>
      <c r="S28" s="775">
        <f t="shared" si="12"/>
        <v>100</v>
      </c>
      <c r="T28" s="774" t="s">
        <v>17</v>
      </c>
      <c r="U28" s="775">
        <f t="shared" si="13"/>
        <v>100</v>
      </c>
      <c r="V28" s="774" t="s">
        <v>17</v>
      </c>
      <c r="W28" s="775">
        <f t="shared" si="14"/>
        <v>100</v>
      </c>
      <c r="X28" s="1813"/>
      <c r="Y28" s="3236"/>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10" t="str">
        <f t="shared" si="11"/>
        <v>成新率</v>
      </c>
      <c r="R29" s="774" t="s">
        <v>17</v>
      </c>
      <c r="S29" s="775" t="e">
        <f t="shared" si="12"/>
        <v>#N/A</v>
      </c>
      <c r="T29" s="774" t="s">
        <v>17</v>
      </c>
      <c r="U29" s="775" t="e">
        <f t="shared" si="13"/>
        <v>#N/A</v>
      </c>
      <c r="V29" s="774" t="s">
        <v>17</v>
      </c>
      <c r="W29" s="775" t="e">
        <f t="shared" si="14"/>
        <v>#N/A</v>
      </c>
      <c r="X29" s="1813"/>
      <c r="Y29" s="3236"/>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10" t="str">
        <f t="shared" si="11"/>
        <v>物业等级</v>
      </c>
      <c r="R30" s="774" t="s">
        <v>17</v>
      </c>
      <c r="S30" s="775">
        <f t="shared" si="12"/>
        <v>100</v>
      </c>
      <c r="T30" s="774" t="s">
        <v>17</v>
      </c>
      <c r="U30" s="775">
        <f t="shared" si="13"/>
        <v>100</v>
      </c>
      <c r="V30" s="774" t="s">
        <v>17</v>
      </c>
      <c r="W30" s="775">
        <f t="shared" si="14"/>
        <v>100</v>
      </c>
      <c r="X30" s="1813"/>
      <c r="Y30" s="3236"/>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95"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2564</v>
      </c>
      <c r="Q32" s="1810" t="str">
        <f t="shared" si="11"/>
        <v>车位类型</v>
      </c>
      <c r="R32" s="774" t="s">
        <v>17</v>
      </c>
      <c r="S32" s="775">
        <f t="shared" si="12"/>
        <v>100</v>
      </c>
      <c r="T32" s="774" t="s">
        <v>17</v>
      </c>
      <c r="U32" s="775">
        <f t="shared" si="13"/>
        <v>100</v>
      </c>
      <c r="V32" s="774" t="s">
        <v>17</v>
      </c>
      <c r="W32" s="775">
        <f t="shared" si="14"/>
        <v>100</v>
      </c>
      <c r="X32" s="1813"/>
      <c r="Y32" s="3236"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10" t="str">
        <f t="shared" si="11"/>
        <v>是否直接入户</v>
      </c>
      <c r="R33" s="774" t="s">
        <v>17</v>
      </c>
      <c r="S33" s="775">
        <f t="shared" si="12"/>
        <v>100</v>
      </c>
      <c r="T33" s="774" t="s">
        <v>17</v>
      </c>
      <c r="U33" s="775">
        <f t="shared" si="13"/>
        <v>100</v>
      </c>
      <c r="V33" s="774" t="s">
        <v>17</v>
      </c>
      <c r="W33" s="775">
        <f t="shared" si="14"/>
        <v>100</v>
      </c>
      <c r="X33" s="1813"/>
      <c r="Y33" s="323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10">
        <f t="shared" si="11"/>
        <v>111</v>
      </c>
      <c r="R34" s="774" t="s">
        <v>17</v>
      </c>
      <c r="S34" s="775">
        <f t="shared" si="12"/>
        <v>100</v>
      </c>
      <c r="T34" s="774" t="s">
        <v>17</v>
      </c>
      <c r="U34" s="775">
        <f t="shared" si="13"/>
        <v>100</v>
      </c>
      <c r="V34" s="774" t="s">
        <v>17</v>
      </c>
      <c r="W34" s="775">
        <f t="shared" si="14"/>
        <v>100</v>
      </c>
      <c r="X34" s="1813"/>
      <c r="Y34" s="323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10">
        <f t="shared" si="11"/>
        <v>111</v>
      </c>
      <c r="R36" s="774" t="s">
        <v>17</v>
      </c>
      <c r="S36" s="775">
        <f t="shared" si="12"/>
        <v>100</v>
      </c>
      <c r="T36" s="774" t="s">
        <v>17</v>
      </c>
      <c r="U36" s="775">
        <f t="shared" si="13"/>
        <v>100</v>
      </c>
      <c r="V36" s="774" t="s">
        <v>17</v>
      </c>
      <c r="W36" s="775">
        <f t="shared" si="14"/>
        <v>100</v>
      </c>
      <c r="X36" s="1813"/>
      <c r="Y36" s="3236"/>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18" t="str">
        <f>A37</f>
        <v>成交单价</v>
      </c>
      <c r="Q37" s="3218"/>
      <c r="R37" s="3271">
        <f>E37</f>
        <v>0</v>
      </c>
      <c r="S37" s="3271"/>
      <c r="T37" s="3271">
        <f>G37</f>
        <v>0</v>
      </c>
      <c r="U37" s="3271"/>
      <c r="V37" s="3271">
        <f>I37</f>
        <v>0</v>
      </c>
      <c r="W37" s="327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8" t="str">
        <f>A38</f>
        <v>比较价值（元/平方米）</v>
      </c>
      <c r="Q38" s="3218"/>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8" t="str">
        <f>A39</f>
        <v>估价对象XX用房的比较价值（楼面单价，元/平方米）</v>
      </c>
      <c r="Q39" s="3239"/>
      <c r="R39" s="3270" t="e">
        <f>IF(F1="售价",ROUND(AVERAGE(R38:V38),0),ROUND(AVERAGE(R38:V38),1))</f>
        <v>#DIV/0!</v>
      </c>
      <c r="S39" s="3270"/>
      <c r="T39" s="3270"/>
      <c r="U39" s="3270"/>
      <c r="V39" s="3270"/>
      <c r="W39" s="327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6" t="s">
        <v>2646</v>
      </c>
      <c r="S4" s="3207"/>
      <c r="T4" s="3206" t="s">
        <v>2647</v>
      </c>
      <c r="U4" s="3207"/>
      <c r="V4" s="3231" t="s">
        <v>2648</v>
      </c>
      <c r="W4" s="3231"/>
      <c r="X4" s="1813"/>
      <c r="Y4" s="3206" t="s">
        <v>2650</v>
      </c>
      <c r="Z4" s="3207"/>
      <c r="AA4" s="3201" t="s">
        <v>2646</v>
      </c>
      <c r="AB4" s="3202" t="s">
        <v>2647</v>
      </c>
      <c r="AC4" s="3201" t="s">
        <v>2648</v>
      </c>
    </row>
    <row r="5" spans="1:29" ht="15">
      <c r="A5" s="404"/>
      <c r="B5" s="405"/>
      <c r="C5" s="3212" t="s">
        <v>2541</v>
      </c>
      <c r="D5" s="3213"/>
      <c r="E5" s="3210" t="s">
        <v>2542</v>
      </c>
      <c r="F5" s="3211"/>
      <c r="G5" s="3212" t="s">
        <v>2543</v>
      </c>
      <c r="H5" s="3213"/>
      <c r="I5" s="3212" t="s">
        <v>2544</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2545</v>
      </c>
      <c r="D6" s="3215"/>
      <c r="E6" s="3216" t="s">
        <v>2545</v>
      </c>
      <c r="F6" s="3217"/>
      <c r="G6" s="3214" t="s">
        <v>2545</v>
      </c>
      <c r="H6" s="3215"/>
      <c r="I6" s="3214" t="s">
        <v>2545</v>
      </c>
      <c r="J6" s="3215"/>
      <c r="K6" s="610" t="s">
        <v>2546</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2547</v>
      </c>
      <c r="B7" s="409"/>
      <c r="C7" s="410">
        <f>'数据-取费表'!B2</f>
        <v>43845</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4" t="s">
        <v>2548</v>
      </c>
      <c r="Q7" s="3232"/>
      <c r="R7" s="770" t="s">
        <v>17</v>
      </c>
      <c r="S7" s="771">
        <f t="shared" ref="S7:S14" si="0">F7</f>
        <v>0</v>
      </c>
      <c r="T7" s="770" t="s">
        <v>17</v>
      </c>
      <c r="U7" s="771">
        <f t="shared" ref="U7:U14" si="1">H7</f>
        <v>0</v>
      </c>
      <c r="V7" s="770" t="s">
        <v>17</v>
      </c>
      <c r="W7" s="771">
        <f t="shared" ref="W7:W14" si="2">J7</f>
        <v>0</v>
      </c>
      <c r="X7" s="772"/>
      <c r="Y7" s="3204" t="s">
        <v>2548</v>
      </c>
      <c r="Z7" s="320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2551</v>
      </c>
      <c r="Q8" s="3205"/>
      <c r="R8" s="770" t="s">
        <v>17</v>
      </c>
      <c r="S8" s="771">
        <f t="shared" si="0"/>
        <v>0</v>
      </c>
      <c r="T8" s="770" t="s">
        <v>17</v>
      </c>
      <c r="U8" s="771">
        <f t="shared" si="1"/>
        <v>0</v>
      </c>
      <c r="V8" s="770" t="s">
        <v>17</v>
      </c>
      <c r="W8" s="771">
        <f t="shared" si="2"/>
        <v>0</v>
      </c>
      <c r="X8" s="772"/>
      <c r="Y8" s="3204" t="s">
        <v>2551</v>
      </c>
      <c r="Z8" s="320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8" t="s">
        <v>2554</v>
      </c>
      <c r="Q9" s="1795" t="str">
        <f t="shared" ref="Q9:Q14" si="6">B9</f>
        <v>用途</v>
      </c>
      <c r="R9" s="770" t="s">
        <v>17</v>
      </c>
      <c r="S9" s="771">
        <f t="shared" si="0"/>
        <v>100</v>
      </c>
      <c r="T9" s="770" t="s">
        <v>17</v>
      </c>
      <c r="U9" s="771">
        <f t="shared" si="1"/>
        <v>100</v>
      </c>
      <c r="V9" s="770" t="s">
        <v>17</v>
      </c>
      <c r="W9" s="771">
        <f t="shared" si="2"/>
        <v>100</v>
      </c>
      <c r="X9" s="772"/>
      <c r="Y9" s="307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8"/>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8"/>
      <c r="Q11" s="1795">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8"/>
      <c r="Q12" s="1795">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3" t="s">
        <v>2559</v>
      </c>
      <c r="Q14" s="1810" t="str">
        <f t="shared" si="6"/>
        <v>交通便捷度</v>
      </c>
      <c r="R14" s="774" t="s">
        <v>17</v>
      </c>
      <c r="S14" s="775">
        <f t="shared" si="0"/>
        <v>100</v>
      </c>
      <c r="T14" s="774" t="s">
        <v>17</v>
      </c>
      <c r="U14" s="775">
        <f t="shared" si="1"/>
        <v>100</v>
      </c>
      <c r="V14" s="774" t="s">
        <v>17</v>
      </c>
      <c r="W14" s="775">
        <f t="shared" si="2"/>
        <v>100</v>
      </c>
      <c r="X14" s="1813"/>
      <c r="Y14" s="3233"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4"/>
      <c r="Q15" s="1810"/>
      <c r="R15" s="774"/>
      <c r="S15" s="775"/>
      <c r="T15" s="774"/>
      <c r="U15" s="775"/>
      <c r="V15" s="774"/>
      <c r="W15" s="775"/>
      <c r="X15" s="1813"/>
      <c r="Y15" s="3234"/>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4"/>
      <c r="Q16" s="1810" t="str">
        <f>B16</f>
        <v>公共配套设施</v>
      </c>
      <c r="R16" s="774" t="s">
        <v>17</v>
      </c>
      <c r="S16" s="775">
        <f>F16</f>
        <v>100</v>
      </c>
      <c r="T16" s="774" t="s">
        <v>17</v>
      </c>
      <c r="U16" s="775">
        <f>H16</f>
        <v>100</v>
      </c>
      <c r="V16" s="774" t="s">
        <v>17</v>
      </c>
      <c r="W16" s="775">
        <f>J16</f>
        <v>100</v>
      </c>
      <c r="X16" s="1813"/>
      <c r="Y16" s="3234"/>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4"/>
      <c r="Q17" s="1810"/>
      <c r="R17" s="774"/>
      <c r="S17" s="775"/>
      <c r="T17" s="774"/>
      <c r="U17" s="775"/>
      <c r="V17" s="774"/>
      <c r="W17" s="775"/>
      <c r="X17" s="1813"/>
      <c r="Y17" s="3234"/>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4"/>
      <c r="Q18" s="1810" t="str">
        <f>B18</f>
        <v>基础设施水平</v>
      </c>
      <c r="R18" s="774" t="s">
        <v>17</v>
      </c>
      <c r="S18" s="775">
        <f>F18</f>
        <v>100</v>
      </c>
      <c r="T18" s="774" t="s">
        <v>17</v>
      </c>
      <c r="U18" s="775">
        <f>H18</f>
        <v>100</v>
      </c>
      <c r="V18" s="774" t="s">
        <v>17</v>
      </c>
      <c r="W18" s="775">
        <f>J18</f>
        <v>100</v>
      </c>
      <c r="X18" s="1813"/>
      <c r="Y18" s="3234"/>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4"/>
      <c r="Q19" s="1810"/>
      <c r="R19" s="774"/>
      <c r="S19" s="775"/>
      <c r="T19" s="774"/>
      <c r="U19" s="775"/>
      <c r="V19" s="774"/>
      <c r="W19" s="775"/>
      <c r="X19" s="1813"/>
      <c r="Y19" s="3234"/>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4"/>
      <c r="Q20" s="1810" t="str">
        <f>B20</f>
        <v>自然及人文环境</v>
      </c>
      <c r="R20" s="774" t="s">
        <v>17</v>
      </c>
      <c r="S20" s="775">
        <f>F20</f>
        <v>100</v>
      </c>
      <c r="T20" s="774" t="s">
        <v>17</v>
      </c>
      <c r="U20" s="775">
        <f>H20</f>
        <v>100</v>
      </c>
      <c r="V20" s="774" t="s">
        <v>17</v>
      </c>
      <c r="W20" s="775">
        <f>J20</f>
        <v>100</v>
      </c>
      <c r="X20" s="1813"/>
      <c r="Y20" s="323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4"/>
      <c r="Q21" s="1810"/>
      <c r="R21" s="774"/>
      <c r="S21" s="775"/>
      <c r="T21" s="774"/>
      <c r="U21" s="775"/>
      <c r="V21" s="774"/>
      <c r="W21" s="775"/>
      <c r="X21" s="1813"/>
      <c r="Y21" s="3234"/>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4"/>
      <c r="Q22" s="1810" t="str">
        <f>B22</f>
        <v>楼层</v>
      </c>
      <c r="R22" s="774" t="s">
        <v>17</v>
      </c>
      <c r="S22" s="775">
        <f>F22</f>
        <v>100</v>
      </c>
      <c r="T22" s="774" t="s">
        <v>17</v>
      </c>
      <c r="U22" s="775">
        <f>H22</f>
        <v>100</v>
      </c>
      <c r="V22" s="774" t="s">
        <v>17</v>
      </c>
      <c r="W22" s="775">
        <f>J22</f>
        <v>100</v>
      </c>
      <c r="X22" s="1813"/>
      <c r="Y22" s="3234"/>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4"/>
      <c r="Q23" s="1810">
        <f>B23</f>
        <v>111</v>
      </c>
      <c r="R23" s="774" t="s">
        <v>17</v>
      </c>
      <c r="S23" s="775">
        <f>F23</f>
        <v>100</v>
      </c>
      <c r="T23" s="774" t="s">
        <v>17</v>
      </c>
      <c r="U23" s="775">
        <f>H23</f>
        <v>100</v>
      </c>
      <c r="V23" s="774" t="s">
        <v>17</v>
      </c>
      <c r="W23" s="775">
        <f>J23</f>
        <v>100</v>
      </c>
      <c r="X23" s="1813"/>
      <c r="Y23" s="3234"/>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4"/>
      <c r="Q24" s="1810">
        <f t="shared" ref="Q24:Q34" si="11">B24</f>
        <v>111</v>
      </c>
      <c r="R24" s="774" t="s">
        <v>17</v>
      </c>
      <c r="S24" s="775">
        <f>F24</f>
        <v>100</v>
      </c>
      <c r="T24" s="774" t="s">
        <v>17</v>
      </c>
      <c r="U24" s="775">
        <f>H24</f>
        <v>100</v>
      </c>
      <c r="V24" s="774" t="s">
        <v>17</v>
      </c>
      <c r="W24" s="775">
        <f>J24</f>
        <v>100</v>
      </c>
      <c r="X24" s="1813"/>
      <c r="Y24" s="3234"/>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4"/>
      <c r="Q25" s="1795">
        <f t="shared" si="11"/>
        <v>111</v>
      </c>
      <c r="R25" s="770" t="s">
        <v>17</v>
      </c>
      <c r="S25" s="771">
        <f>F25</f>
        <v>100</v>
      </c>
      <c r="T25" s="770" t="s">
        <v>17</v>
      </c>
      <c r="U25" s="771">
        <f>H25</f>
        <v>100</v>
      </c>
      <c r="V25" s="770" t="s">
        <v>17</v>
      </c>
      <c r="W25" s="771">
        <f>J25</f>
        <v>100</v>
      </c>
      <c r="X25" s="772"/>
      <c r="Y25" s="3234"/>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5"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6"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10" t="str">
        <f t="shared" si="11"/>
        <v>物业等级</v>
      </c>
      <c r="R28" s="774" t="s">
        <v>17</v>
      </c>
      <c r="S28" s="775">
        <f t="shared" si="12"/>
        <v>100</v>
      </c>
      <c r="T28" s="774" t="s">
        <v>17</v>
      </c>
      <c r="U28" s="775">
        <f t="shared" si="13"/>
        <v>100</v>
      </c>
      <c r="V28" s="774" t="s">
        <v>17</v>
      </c>
      <c r="W28" s="775">
        <f t="shared" si="14"/>
        <v>100</v>
      </c>
      <c r="X28" s="1813"/>
      <c r="Y28" s="3236"/>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10" t="str">
        <f t="shared" si="11"/>
        <v>有无电梯</v>
      </c>
      <c r="R29" s="774" t="s">
        <v>17</v>
      </c>
      <c r="S29" s="775">
        <f t="shared" si="12"/>
        <v>100</v>
      </c>
      <c r="T29" s="774" t="s">
        <v>17</v>
      </c>
      <c r="U29" s="775">
        <f t="shared" si="13"/>
        <v>100</v>
      </c>
      <c r="V29" s="774" t="s">
        <v>17</v>
      </c>
      <c r="W29" s="775">
        <f t="shared" si="14"/>
        <v>100</v>
      </c>
      <c r="X29" s="1813"/>
      <c r="Y29" s="3236"/>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10" t="str">
        <f t="shared" si="11"/>
        <v>建筑面积</v>
      </c>
      <c r="R30" s="774" t="s">
        <v>17</v>
      </c>
      <c r="S30" s="775" t="e">
        <f t="shared" si="12"/>
        <v>#N/A</v>
      </c>
      <c r="T30" s="774" t="s">
        <v>17</v>
      </c>
      <c r="U30" s="775" t="e">
        <f t="shared" si="13"/>
        <v>#N/A</v>
      </c>
      <c r="V30" s="774" t="s">
        <v>17</v>
      </c>
      <c r="W30" s="775" t="e">
        <f t="shared" si="14"/>
        <v>#N/A</v>
      </c>
      <c r="X30" s="1813"/>
      <c r="Y30" s="3236"/>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95"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2564</v>
      </c>
      <c r="Q32" s="1810">
        <f t="shared" si="11"/>
        <v>111</v>
      </c>
      <c r="R32" s="774" t="s">
        <v>17</v>
      </c>
      <c r="S32" s="775">
        <f t="shared" si="12"/>
        <v>100</v>
      </c>
      <c r="T32" s="774" t="s">
        <v>17</v>
      </c>
      <c r="U32" s="775">
        <f t="shared" si="13"/>
        <v>100</v>
      </c>
      <c r="V32" s="774" t="s">
        <v>17</v>
      </c>
      <c r="W32" s="775">
        <f t="shared" si="14"/>
        <v>100</v>
      </c>
      <c r="X32" s="1813"/>
      <c r="Y32" s="3236"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10">
        <f t="shared" si="11"/>
        <v>111</v>
      </c>
      <c r="R33" s="774" t="s">
        <v>17</v>
      </c>
      <c r="S33" s="775">
        <f t="shared" si="12"/>
        <v>100</v>
      </c>
      <c r="T33" s="774" t="s">
        <v>17</v>
      </c>
      <c r="U33" s="775">
        <f t="shared" si="13"/>
        <v>100</v>
      </c>
      <c r="V33" s="774" t="s">
        <v>17</v>
      </c>
      <c r="W33" s="775">
        <f t="shared" si="14"/>
        <v>100</v>
      </c>
      <c r="X33" s="1813"/>
      <c r="Y33" s="3236"/>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6"/>
      <c r="Q34" s="1810">
        <f t="shared" si="11"/>
        <v>111</v>
      </c>
      <c r="R34" s="774" t="s">
        <v>17</v>
      </c>
      <c r="S34" s="775">
        <f t="shared" si="12"/>
        <v>100</v>
      </c>
      <c r="T34" s="774" t="s">
        <v>17</v>
      </c>
      <c r="U34" s="775">
        <f t="shared" si="13"/>
        <v>100</v>
      </c>
      <c r="V34" s="774" t="s">
        <v>17</v>
      </c>
      <c r="W34" s="775">
        <f t="shared" si="14"/>
        <v>100</v>
      </c>
      <c r="X34" s="1813"/>
      <c r="Y34" s="3236"/>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18" t="str">
        <f>A35</f>
        <v>成交单价（元/平方米）</v>
      </c>
      <c r="Q35" s="3218"/>
      <c r="R35" s="3271">
        <f>E35</f>
        <v>0</v>
      </c>
      <c r="S35" s="3271"/>
      <c r="T35" s="3271">
        <f>G35</f>
        <v>0</v>
      </c>
      <c r="U35" s="3271"/>
      <c r="V35" s="3271">
        <f>I35</f>
        <v>0</v>
      </c>
      <c r="W35" s="327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18" t="str">
        <f>A36</f>
        <v>比较价值（元/平方米）</v>
      </c>
      <c r="Q36" s="3218"/>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8" t="str">
        <f>A37</f>
        <v>估价对象XX用房的比较价值（楼面单价，元/平方米）</v>
      </c>
      <c r="Q37" s="3239"/>
      <c r="R37" s="3270" t="e">
        <f>IF(F1="售价",ROUND(AVERAGE(R36:V36),0),ROUND(AVERAGE(R36:V36),1))</f>
        <v>#DIV/0!</v>
      </c>
      <c r="S37" s="3270"/>
      <c r="T37" s="3270"/>
      <c r="U37" s="3270"/>
      <c r="V37" s="3270"/>
      <c r="W37" s="327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6" t="s">
        <v>2646</v>
      </c>
      <c r="S4" s="3207"/>
      <c r="T4" s="3206" t="s">
        <v>2647</v>
      </c>
      <c r="U4" s="3207"/>
      <c r="V4" s="3231" t="s">
        <v>2648</v>
      </c>
      <c r="W4" s="3231"/>
      <c r="X4" s="1813"/>
      <c r="Y4" s="3206" t="s">
        <v>2650</v>
      </c>
      <c r="Z4" s="3207"/>
      <c r="AA4" s="3201" t="s">
        <v>2646</v>
      </c>
      <c r="AB4" s="3202" t="s">
        <v>2647</v>
      </c>
      <c r="AC4" s="3201" t="s">
        <v>2648</v>
      </c>
    </row>
    <row r="5" spans="1:29" ht="15">
      <c r="A5" s="404"/>
      <c r="B5" s="405"/>
      <c r="C5" s="3212" t="s">
        <v>2541</v>
      </c>
      <c r="D5" s="3213"/>
      <c r="E5" s="3210" t="s">
        <v>2542</v>
      </c>
      <c r="F5" s="3211"/>
      <c r="G5" s="3212" t="s">
        <v>2543</v>
      </c>
      <c r="H5" s="3213"/>
      <c r="I5" s="3212" t="s">
        <v>2544</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99" t="s">
        <v>2796</v>
      </c>
      <c r="D6" s="3300"/>
      <c r="E6" s="3301" t="s">
        <v>2796</v>
      </c>
      <c r="F6" s="3302"/>
      <c r="G6" s="3299" t="s">
        <v>2796</v>
      </c>
      <c r="H6" s="3300"/>
      <c r="I6" s="3299" t="s">
        <v>2796</v>
      </c>
      <c r="J6" s="3300"/>
      <c r="K6" s="610" t="s">
        <v>2546</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2547</v>
      </c>
      <c r="B7" s="409"/>
      <c r="C7" s="410">
        <f>'数据-取费表'!B2</f>
        <v>43845</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4" t="s">
        <v>2548</v>
      </c>
      <c r="Q7" s="3232"/>
      <c r="R7" s="770" t="s">
        <v>17</v>
      </c>
      <c r="S7" s="771">
        <f t="shared" ref="S7:S15" si="0">F7</f>
        <v>0</v>
      </c>
      <c r="T7" s="770" t="s">
        <v>17</v>
      </c>
      <c r="U7" s="771">
        <f t="shared" ref="U7:U15" si="1">H7</f>
        <v>0</v>
      </c>
      <c r="V7" s="770" t="s">
        <v>17</v>
      </c>
      <c r="W7" s="771">
        <f t="shared" ref="W7:W15" si="2">J7</f>
        <v>0</v>
      </c>
      <c r="X7" s="772"/>
      <c r="Y7" s="3204" t="s">
        <v>2548</v>
      </c>
      <c r="Z7" s="320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2551</v>
      </c>
      <c r="Q8" s="3205"/>
      <c r="R8" s="770" t="s">
        <v>17</v>
      </c>
      <c r="S8" s="771">
        <f t="shared" si="0"/>
        <v>0</v>
      </c>
      <c r="T8" s="770" t="s">
        <v>17</v>
      </c>
      <c r="U8" s="771">
        <f t="shared" si="1"/>
        <v>0</v>
      </c>
      <c r="V8" s="770" t="s">
        <v>17</v>
      </c>
      <c r="W8" s="771">
        <f t="shared" si="2"/>
        <v>0</v>
      </c>
      <c r="X8" s="772"/>
      <c r="Y8" s="3204" t="s">
        <v>2551</v>
      </c>
      <c r="Z8" s="3205"/>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18" t="s">
        <v>2554</v>
      </c>
      <c r="Q9" s="1795" t="str">
        <f t="shared" ref="Q9:Q15" si="6">B9</f>
        <v>用途</v>
      </c>
      <c r="R9" s="770" t="s">
        <v>17</v>
      </c>
      <c r="S9" s="771">
        <f t="shared" si="0"/>
        <v>100</v>
      </c>
      <c r="T9" s="770" t="s">
        <v>17</v>
      </c>
      <c r="U9" s="771">
        <f t="shared" si="1"/>
        <v>100</v>
      </c>
      <c r="V9" s="770" t="s">
        <v>17</v>
      </c>
      <c r="W9" s="771">
        <f t="shared" si="2"/>
        <v>100</v>
      </c>
      <c r="X9" s="772"/>
      <c r="Y9" s="307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18"/>
      <c r="Q10" s="1795"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8"/>
      <c r="Q11" s="1795"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8"/>
      <c r="Q12" s="1795">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8"/>
      <c r="Q14" s="1795">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3" t="s">
        <v>2559</v>
      </c>
      <c r="Q15" s="1810" t="str">
        <f t="shared" si="6"/>
        <v>产业集聚程度</v>
      </c>
      <c r="R15" s="774" t="s">
        <v>17</v>
      </c>
      <c r="S15" s="775">
        <f t="shared" si="0"/>
        <v>100</v>
      </c>
      <c r="T15" s="774" t="s">
        <v>17</v>
      </c>
      <c r="U15" s="775">
        <f t="shared" si="1"/>
        <v>100</v>
      </c>
      <c r="V15" s="774" t="s">
        <v>17</v>
      </c>
      <c r="W15" s="775">
        <f t="shared" si="2"/>
        <v>100</v>
      </c>
      <c r="X15" s="1813"/>
      <c r="Y15" s="3233"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4"/>
      <c r="Q16" s="1810"/>
      <c r="R16" s="774"/>
      <c r="S16" s="775"/>
      <c r="T16" s="774"/>
      <c r="U16" s="775"/>
      <c r="V16" s="774"/>
      <c r="W16" s="775"/>
      <c r="X16" s="1813"/>
      <c r="Y16" s="3234"/>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4"/>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4"/>
      <c r="Q18" s="1810"/>
      <c r="R18" s="774"/>
      <c r="S18" s="775"/>
      <c r="T18" s="774"/>
      <c r="U18" s="775"/>
      <c r="V18" s="774"/>
      <c r="W18" s="775"/>
      <c r="X18" s="1813"/>
      <c r="Y18" s="3234"/>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4"/>
      <c r="Q19" s="1810" t="str">
        <f t="shared" ref="Q19:Q33" si="8">B19</f>
        <v>区域土地利用方向</v>
      </c>
      <c r="R19" s="774" t="s">
        <v>17</v>
      </c>
      <c r="S19" s="775">
        <f>F19</f>
        <v>100</v>
      </c>
      <c r="T19" s="774" t="s">
        <v>17</v>
      </c>
      <c r="U19" s="775">
        <f>H19</f>
        <v>100</v>
      </c>
      <c r="V19" s="774" t="s">
        <v>17</v>
      </c>
      <c r="W19" s="775">
        <f>J19</f>
        <v>100</v>
      </c>
      <c r="X19" s="1813"/>
      <c r="Y19" s="3234"/>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4"/>
      <c r="Q20" s="1810"/>
      <c r="R20" s="774"/>
      <c r="S20" s="775"/>
      <c r="T20" s="774"/>
      <c r="U20" s="775"/>
      <c r="V20" s="774"/>
      <c r="W20" s="775"/>
      <c r="X20" s="1813"/>
      <c r="Y20" s="3234"/>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4"/>
      <c r="Q21" s="1810" t="str">
        <f t="shared" si="8"/>
        <v>环境状况</v>
      </c>
      <c r="R21" s="774" t="s">
        <v>17</v>
      </c>
      <c r="S21" s="775">
        <f>F21</f>
        <v>100</v>
      </c>
      <c r="T21" s="774" t="s">
        <v>17</v>
      </c>
      <c r="U21" s="775">
        <f>H21</f>
        <v>100</v>
      </c>
      <c r="V21" s="774" t="s">
        <v>17</v>
      </c>
      <c r="W21" s="775">
        <f>J21</f>
        <v>100</v>
      </c>
      <c r="X21" s="1813"/>
      <c r="Y21" s="3234"/>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4"/>
      <c r="Q22" s="1810"/>
      <c r="R22" s="774"/>
      <c r="S22" s="775"/>
      <c r="T22" s="774"/>
      <c r="U22" s="775"/>
      <c r="V22" s="774"/>
      <c r="W22" s="775"/>
      <c r="X22" s="1813"/>
      <c r="Y22" s="3234"/>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4"/>
      <c r="Q23" s="1795" t="str">
        <f t="shared" si="8"/>
        <v>公共配套设施</v>
      </c>
      <c r="R23" s="770" t="s">
        <v>17</v>
      </c>
      <c r="S23" s="771">
        <f>F23</f>
        <v>100</v>
      </c>
      <c r="T23" s="770" t="s">
        <v>17</v>
      </c>
      <c r="U23" s="771">
        <f>H23</f>
        <v>100</v>
      </c>
      <c r="V23" s="770" t="s">
        <v>17</v>
      </c>
      <c r="W23" s="771">
        <f>J23</f>
        <v>100</v>
      </c>
      <c r="X23" s="772"/>
      <c r="Y23" s="3234"/>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4"/>
      <c r="Q24" s="1795"/>
      <c r="R24" s="770"/>
      <c r="S24" s="771"/>
      <c r="T24" s="770"/>
      <c r="U24" s="771"/>
      <c r="V24" s="770"/>
      <c r="W24" s="771"/>
      <c r="X24" s="772"/>
      <c r="Y24" s="3234"/>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4"/>
      <c r="Q25" s="1795"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4"/>
      <c r="Q26" s="1795"/>
      <c r="R26" s="770"/>
      <c r="S26" s="771"/>
      <c r="T26" s="770"/>
      <c r="U26" s="771"/>
      <c r="V26" s="770"/>
      <c r="W26" s="771"/>
      <c r="X26" s="772"/>
      <c r="Y26" s="323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4"/>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4"/>
      <c r="Q28" s="1810" t="str">
        <f t="shared" si="8"/>
        <v>毗邻道路的类型与等级</v>
      </c>
      <c r="R28" s="774" t="s">
        <v>17</v>
      </c>
      <c r="S28" s="775">
        <f t="shared" si="10"/>
        <v>100</v>
      </c>
      <c r="T28" s="774" t="s">
        <v>17</v>
      </c>
      <c r="U28" s="775">
        <f t="shared" si="11"/>
        <v>100</v>
      </c>
      <c r="V28" s="774" t="s">
        <v>17</v>
      </c>
      <c r="W28" s="775">
        <f t="shared" si="12"/>
        <v>100</v>
      </c>
      <c r="X28" s="1813"/>
      <c r="Y28" s="3234"/>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4"/>
      <c r="Q29" s="1810"/>
      <c r="R29" s="774"/>
      <c r="S29" s="775"/>
      <c r="T29" s="774"/>
      <c r="U29" s="775"/>
      <c r="V29" s="774"/>
      <c r="W29" s="775"/>
      <c r="X29" s="1813"/>
      <c r="Y29" s="3234"/>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4"/>
      <c r="Q30" s="1810" t="str">
        <f t="shared" si="8"/>
        <v>土地级别</v>
      </c>
      <c r="R30" s="774" t="s">
        <v>17</v>
      </c>
      <c r="S30" s="775">
        <f t="shared" si="10"/>
        <v>100</v>
      </c>
      <c r="T30" s="774" t="s">
        <v>17</v>
      </c>
      <c r="U30" s="775">
        <f t="shared" si="11"/>
        <v>100</v>
      </c>
      <c r="V30" s="774" t="s">
        <v>17</v>
      </c>
      <c r="W30" s="775">
        <f t="shared" si="12"/>
        <v>100</v>
      </c>
      <c r="X30" s="1813"/>
      <c r="Y30" s="3234"/>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4"/>
      <c r="Q31" s="1810">
        <f t="shared" si="8"/>
        <v>111</v>
      </c>
      <c r="R31" s="774" t="s">
        <v>17</v>
      </c>
      <c r="S31" s="775">
        <f t="shared" si="10"/>
        <v>100</v>
      </c>
      <c r="T31" s="774" t="s">
        <v>17</v>
      </c>
      <c r="U31" s="775">
        <f t="shared" si="11"/>
        <v>100</v>
      </c>
      <c r="V31" s="774" t="s">
        <v>17</v>
      </c>
      <c r="W31" s="775">
        <f t="shared" si="12"/>
        <v>100</v>
      </c>
      <c r="X31" s="1813"/>
      <c r="Y31" s="3234"/>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2564</v>
      </c>
      <c r="Q32" s="1810">
        <f t="shared" si="8"/>
        <v>111</v>
      </c>
      <c r="R32" s="774" t="s">
        <v>17</v>
      </c>
      <c r="S32" s="775">
        <f t="shared" si="10"/>
        <v>100</v>
      </c>
      <c r="T32" s="774" t="s">
        <v>17</v>
      </c>
      <c r="U32" s="775">
        <f t="shared" si="11"/>
        <v>100</v>
      </c>
      <c r="V32" s="774" t="s">
        <v>17</v>
      </c>
      <c r="W32" s="775">
        <f t="shared" si="12"/>
        <v>100</v>
      </c>
      <c r="X32" s="1813"/>
      <c r="Y32" s="3236"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10">
        <f t="shared" si="8"/>
        <v>111</v>
      </c>
      <c r="R33" s="777" t="s">
        <v>17</v>
      </c>
      <c r="S33" s="778">
        <f t="shared" si="10"/>
        <v>100</v>
      </c>
      <c r="T33" s="777" t="s">
        <v>17</v>
      </c>
      <c r="U33" s="778">
        <f t="shared" si="11"/>
        <v>100</v>
      </c>
      <c r="V33" s="777" t="s">
        <v>17</v>
      </c>
      <c r="W33" s="778">
        <f t="shared" si="12"/>
        <v>100</v>
      </c>
      <c r="X33" s="779"/>
      <c r="Y33" s="3236"/>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10" t="str">
        <f>B34</f>
        <v>宗地面积</v>
      </c>
      <c r="R34" s="774" t="s">
        <v>17</v>
      </c>
      <c r="S34" s="775" t="e">
        <f t="shared" si="10"/>
        <v>#N/A</v>
      </c>
      <c r="T34" s="774" t="s">
        <v>17</v>
      </c>
      <c r="U34" s="775" t="e">
        <f t="shared" si="11"/>
        <v>#N/A</v>
      </c>
      <c r="V34" s="774" t="s">
        <v>17</v>
      </c>
      <c r="W34" s="775" t="e">
        <f t="shared" si="12"/>
        <v>#N/A</v>
      </c>
      <c r="X34" s="1813"/>
      <c r="Y34" s="3236"/>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6"/>
      <c r="Q35" s="1810" t="str">
        <f t="shared" ref="Q35:Q40" si="14">B35</f>
        <v>宗地形状</v>
      </c>
      <c r="R35" s="774" t="s">
        <v>17</v>
      </c>
      <c r="S35" s="775">
        <f t="shared" si="10"/>
        <v>100</v>
      </c>
      <c r="T35" s="774" t="s">
        <v>17</v>
      </c>
      <c r="U35" s="775">
        <f t="shared" si="11"/>
        <v>100</v>
      </c>
      <c r="V35" s="774" t="s">
        <v>17</v>
      </c>
      <c r="W35" s="775">
        <f t="shared" si="12"/>
        <v>100</v>
      </c>
      <c r="X35" s="1813"/>
      <c r="Y35" s="3236"/>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6"/>
      <c r="Q36" s="1810"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6" t="s">
        <v>2564</v>
      </c>
      <c r="Q37" s="1810" t="str">
        <f t="shared" si="14"/>
        <v>工程地质条件</v>
      </c>
      <c r="R37" s="774" t="s">
        <v>17</v>
      </c>
      <c r="S37" s="775">
        <f t="shared" si="10"/>
        <v>100</v>
      </c>
      <c r="T37" s="774" t="s">
        <v>17</v>
      </c>
      <c r="U37" s="775">
        <f t="shared" si="11"/>
        <v>100</v>
      </c>
      <c r="V37" s="774" t="s">
        <v>17</v>
      </c>
      <c r="W37" s="775">
        <f t="shared" si="12"/>
        <v>100</v>
      </c>
      <c r="X37" s="1813"/>
      <c r="Y37" s="3236"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10">
        <f t="shared" si="14"/>
        <v>111</v>
      </c>
      <c r="R38" s="774" t="s">
        <v>17</v>
      </c>
      <c r="S38" s="775">
        <f t="shared" si="10"/>
        <v>100</v>
      </c>
      <c r="T38" s="774" t="s">
        <v>17</v>
      </c>
      <c r="U38" s="775">
        <f t="shared" si="11"/>
        <v>100</v>
      </c>
      <c r="V38" s="774" t="s">
        <v>17</v>
      </c>
      <c r="W38" s="775">
        <f t="shared" si="12"/>
        <v>100</v>
      </c>
      <c r="X38" s="1813"/>
      <c r="Y38" s="323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10">
        <f t="shared" si="14"/>
        <v>111</v>
      </c>
      <c r="R39" s="774" t="s">
        <v>17</v>
      </c>
      <c r="S39" s="775">
        <f t="shared" si="10"/>
        <v>100</v>
      </c>
      <c r="T39" s="774" t="s">
        <v>17</v>
      </c>
      <c r="U39" s="775">
        <f t="shared" si="11"/>
        <v>100</v>
      </c>
      <c r="V39" s="774" t="s">
        <v>17</v>
      </c>
      <c r="W39" s="775">
        <f t="shared" si="12"/>
        <v>100</v>
      </c>
      <c r="X39" s="1813"/>
      <c r="Y39" s="3236"/>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10">
        <f t="shared" si="14"/>
        <v>111</v>
      </c>
      <c r="R40" s="777" t="s">
        <v>17</v>
      </c>
      <c r="S40" s="778">
        <f t="shared" si="10"/>
        <v>100</v>
      </c>
      <c r="T40" s="777" t="s">
        <v>17</v>
      </c>
      <c r="U40" s="778">
        <f t="shared" si="11"/>
        <v>100</v>
      </c>
      <c r="V40" s="777" t="s">
        <v>17</v>
      </c>
      <c r="W40" s="778">
        <f t="shared" si="12"/>
        <v>100</v>
      </c>
      <c r="X40" s="779"/>
      <c r="Y40" s="3236"/>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18" t="str">
        <f>A41</f>
        <v>成交单价</v>
      </c>
      <c r="Q41" s="3218"/>
      <c r="R41" s="3231">
        <f>E41</f>
        <v>0</v>
      </c>
      <c r="S41" s="3231"/>
      <c r="T41" s="3231">
        <f>G41</f>
        <v>0</v>
      </c>
      <c r="U41" s="3231"/>
      <c r="V41" s="3231">
        <f>I41</f>
        <v>0</v>
      </c>
      <c r="W41" s="323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18" t="str">
        <f>A42</f>
        <v>比较价值（元/平方米）</v>
      </c>
      <c r="Q42" s="321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8" t="str">
        <f>A43</f>
        <v>估价对象XX用房的比较价值（楼面单价，元/平方米）</v>
      </c>
      <c r="Q43" s="3239"/>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9" t="s">
        <v>2763</v>
      </c>
      <c r="H50" s="3241"/>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499.07</v>
      </c>
      <c r="F51" s="691" t="e">
        <f t="shared" ref="F51:F60" si="15">ROUND(B51*E51/10000,0)</f>
        <v>#DIV/0!</v>
      </c>
      <c r="G51" s="3242"/>
      <c r="H51" s="3218"/>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3"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3"/>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3"/>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3"/>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14543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0.03</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9"/>
      <c r="B4" s="3320"/>
      <c r="C4" s="3320"/>
      <c r="D4" s="3321"/>
      <c r="E4" s="3321"/>
      <c r="F4" s="3321"/>
      <c r="G4" s="3321"/>
      <c r="H4" s="3321"/>
      <c r="I4" s="3321"/>
      <c r="J4" s="3322"/>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2825</v>
      </c>
      <c r="C5" s="917" t="e">
        <f>ROUND(IF(E2="商业",C6*C7+C16,(IF(E2="住宅",C6*C12+C16,C6+C16))),0)</f>
        <v>#DIV/0!</v>
      </c>
      <c r="D5" s="1787" t="e">
        <f>ROUND(C6+C16,0)</f>
        <v>#DIV/0!</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03" t="str">
        <f>IF(E2="商业",IF(C8="不临58条商业街","",2),"")</f>
        <v/>
      </c>
      <c r="B7" s="2747" t="s">
        <v>2831</v>
      </c>
      <c r="C7" s="919" t="e">
        <f>IF(C8="不临58条商业街",1,ROUND(1+(1.6*E8+1.2*E9+0.8*E10+0.4*E11)*C9,4))</f>
        <v>#DIV/0!</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0.03</v>
      </c>
      <c r="AA7" s="1606"/>
      <c r="AB7" s="1606"/>
      <c r="AC7" s="1607"/>
      <c r="AD7" s="1608"/>
      <c r="AE7" s="1608"/>
      <c r="AF7" s="1608"/>
      <c r="AG7" s="1608"/>
      <c r="AH7" s="1608"/>
      <c r="AI7" s="1608"/>
      <c r="AJ7" s="1609"/>
    </row>
    <row r="8" spans="1:36" ht="15">
      <c r="A8" s="3323"/>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6" t="s">
        <v>2839</v>
      </c>
      <c r="X8" s="331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323"/>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8"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3"/>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3"/>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8" t="s">
        <v>2863</v>
      </c>
      <c r="X11" s="1614" t="s">
        <v>2864</v>
      </c>
      <c r="Y11" s="1615">
        <f>$G$3</f>
        <v>0.03</v>
      </c>
      <c r="Z11" s="1615">
        <f t="shared" ref="Z11:AJ11" si="3">$G$3</f>
        <v>0.03</v>
      </c>
      <c r="AA11" s="1615">
        <f t="shared" si="3"/>
        <v>0.03</v>
      </c>
      <c r="AB11" s="1615">
        <f t="shared" si="3"/>
        <v>0.03</v>
      </c>
      <c r="AC11" s="1615">
        <f t="shared" si="3"/>
        <v>0.03</v>
      </c>
      <c r="AD11" s="1615">
        <f t="shared" si="3"/>
        <v>0.03</v>
      </c>
      <c r="AE11" s="1615">
        <f t="shared" si="3"/>
        <v>0.03</v>
      </c>
      <c r="AF11" s="1615">
        <f t="shared" si="3"/>
        <v>0.03</v>
      </c>
      <c r="AG11" s="1615">
        <f t="shared" si="3"/>
        <v>0.03</v>
      </c>
      <c r="AH11" s="1615">
        <f t="shared" si="3"/>
        <v>0.03</v>
      </c>
      <c r="AI11" s="1615">
        <f t="shared" si="3"/>
        <v>0.03</v>
      </c>
      <c r="AJ11" s="1615">
        <f t="shared" si="3"/>
        <v>0.03</v>
      </c>
    </row>
    <row r="12" spans="1:36" ht="25.5" thickBot="1">
      <c r="A12" s="3303"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4"/>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t="e">
        <f t="shared" si="0"/>
        <v>#DIV/0!</v>
      </c>
      <c r="U13" s="1603"/>
      <c r="V13" s="1602" t="e">
        <f t="shared" si="1"/>
        <v>#DIV/0!</v>
      </c>
      <c r="W13" s="3318"/>
      <c r="X13" s="1616"/>
      <c r="Y13" s="1613">
        <f>(-0.163*(Y12^2)-0.59*Y12+7617)*(10^(-4))/Y11</f>
        <v>25.390000000000004</v>
      </c>
      <c r="Z13" s="1613">
        <f t="shared" ref="Z13:AJ13" si="5">(-0.163*(Z12^2)-0.59*Z12+7617)*(10^(-4))/Z11</f>
        <v>25.390000000000004</v>
      </c>
      <c r="AA13" s="1613">
        <f t="shared" si="5"/>
        <v>25.390000000000004</v>
      </c>
      <c r="AB13" s="1613">
        <f t="shared" si="5"/>
        <v>25.390000000000004</v>
      </c>
      <c r="AC13" s="1613">
        <f t="shared" si="5"/>
        <v>25.390000000000004</v>
      </c>
      <c r="AD13" s="1613">
        <f t="shared" si="5"/>
        <v>25.390000000000004</v>
      </c>
      <c r="AE13" s="1613">
        <f t="shared" si="5"/>
        <v>25.390000000000004</v>
      </c>
      <c r="AF13" s="1613">
        <f t="shared" si="5"/>
        <v>25.390000000000004</v>
      </c>
      <c r="AG13" s="1613">
        <f t="shared" si="5"/>
        <v>25.390000000000004</v>
      </c>
      <c r="AH13" s="1613">
        <f t="shared" si="5"/>
        <v>25.390000000000004</v>
      </c>
      <c r="AI13" s="1613">
        <f t="shared" si="5"/>
        <v>25.390000000000004</v>
      </c>
      <c r="AJ13" s="1613">
        <f t="shared" si="5"/>
        <v>25.390000000000004</v>
      </c>
    </row>
    <row r="14" spans="1:36" ht="15">
      <c r="A14" s="3324"/>
      <c r="B14" s="2770"/>
      <c r="C14" s="2771"/>
      <c r="D14" s="2772"/>
      <c r="E14" s="2772"/>
      <c r="F14" s="2773"/>
      <c r="G14" s="2774" t="s">
        <v>2876</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5"/>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3" t="s">
        <v>2882</v>
      </c>
      <c r="B16" s="2747" t="s">
        <v>2883</v>
      </c>
      <c r="C16" s="2934" t="e">
        <f>ROUND(IF(F17="与级别开发程度一致",0,(G17-E17)/C17),0)</f>
        <v>#DIV/0!</v>
      </c>
      <c r="D16" s="3314" t="s">
        <v>2887</v>
      </c>
      <c r="E16" s="3315"/>
      <c r="F16" s="3314" t="s">
        <v>2884</v>
      </c>
      <c r="G16" s="3315"/>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4"/>
      <c r="B17" s="2945" t="s">
        <v>2886</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2889</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2890</v>
      </c>
      <c r="C19" s="924" t="e">
        <f>ROUND(IF(H19="按公示增长率计算",SUMPRODUCT((地价!A3:A29=YEAR(G19)&amp;"-"&amp;ROUNDUP(MONTH(G19)/3,0))*(地价!X2:AB2=E2)*(地价!X3:AB29)),IF(H19="地价指数",M20/M19,(1+I19)^O19)),4)</f>
        <v>#VALUE!</v>
      </c>
      <c r="D19" s="2791" t="s">
        <v>2891</v>
      </c>
      <c r="E19" s="925">
        <v>41640</v>
      </c>
      <c r="F19" s="2791" t="s">
        <v>2892</v>
      </c>
      <c r="G19" s="926">
        <f>'数据-取费表'!B2</f>
        <v>43845</v>
      </c>
      <c r="H19" s="2792"/>
      <c r="I19" s="927" t="str">
        <f>IF(H19="季度增幅（自定义）",SUMIF(N21:N24,E2,O21:O24),"")</f>
        <v/>
      </c>
      <c r="J19" s="2789"/>
      <c r="K19" s="1377"/>
      <c r="L19" s="2793" t="s">
        <v>2893</v>
      </c>
      <c r="M19" s="1734">
        <f>ROUND(SUMIF(地价!B2:F2,E2,地价!B29:F29),0)</f>
        <v>0</v>
      </c>
      <c r="N19" s="2794"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2895</v>
      </c>
      <c r="C20" s="929" t="e">
        <f>ROUND(POWER(1+G20,J20-I20)*(POWER(1+G20,I20)-1)/(POWER(1+G20,J20)-1),4)</f>
        <v>#DIV/0!</v>
      </c>
      <c r="D20" s="2800" t="s">
        <v>2896</v>
      </c>
      <c r="E20" s="1768">
        <f ca="1">存贷款利率!D4/100</f>
        <v>4.3499999999999997E-2</v>
      </c>
      <c r="F20" s="2800" t="s">
        <v>2888</v>
      </c>
      <c r="G20" s="934">
        <f>SUMIF(M26:P26,E2,M28:P28)</f>
        <v>0</v>
      </c>
      <c r="H20" s="2800" t="s">
        <v>2897</v>
      </c>
      <c r="I20" s="935" t="e">
        <f>SUMIF('数据-取费表'!C6:C15,E2,'数据-取费表'!F6:F15)/COUNTIF('数据-取费表'!C6:C15,E2)</f>
        <v>#DIV/0!</v>
      </c>
      <c r="J20" s="936">
        <f>IF(E2="住宅",70,IF(E2="商业",40,50))</f>
        <v>50</v>
      </c>
      <c r="K20" s="1377"/>
      <c r="L20" s="2801" t="s">
        <v>2898</v>
      </c>
      <c r="M20" s="1735">
        <f>ROUND(SUMPRODUCT((地价!A4:A29=YEAR(G19)&amp;"-"&amp;ROUNDUP(MONTH(G19)/3,0))*(地价!B2:F2=E2)*(地价!B4:F29)),0)</f>
        <v>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2902</v>
      </c>
      <c r="C21" s="937">
        <f>IF(B21="容积率修正",IF(G3&lt;=10,D22,J22),C23)</f>
        <v>0</v>
      </c>
      <c r="D21" s="2807"/>
      <c r="E21" s="2807"/>
      <c r="F21" s="2807"/>
      <c r="G21" s="2807"/>
      <c r="H21" s="2807"/>
      <c r="I21" s="2807"/>
      <c r="J21" s="2808"/>
      <c r="K21" s="1377"/>
      <c r="N21" s="2809" t="s">
        <v>2903</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2904</v>
      </c>
      <c r="B22" s="2810" t="s">
        <v>2905</v>
      </c>
      <c r="C22" s="1810" t="s">
        <v>2906</v>
      </c>
      <c r="D22" s="1810">
        <f>IF(E22=G22,F22,IF(G3&lt;=10,ROUND(F22+(H22-F22)*(G3-E22)/(G22-E22),4),"——"))</f>
        <v>0</v>
      </c>
      <c r="E22" s="916">
        <f>ROUNDDOWN(G3,1)</f>
        <v>0</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2907</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2908</v>
      </c>
      <c r="B23" s="2811" t="s">
        <v>2909</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2910</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2911</v>
      </c>
      <c r="C24" s="924">
        <f>SUMIF(A45:A88,E2,B45:B88)</f>
        <v>0</v>
      </c>
      <c r="D24" s="2788"/>
      <c r="E24" s="2817"/>
      <c r="F24" s="2817"/>
      <c r="G24" s="2817"/>
      <c r="H24" s="2817"/>
      <c r="I24" s="2817"/>
      <c r="J24" s="2818"/>
      <c r="K24" s="1377"/>
      <c r="N24" s="2819" t="s">
        <v>2912</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2913</v>
      </c>
      <c r="C25" s="930"/>
      <c r="D25" s="2750"/>
      <c r="E25" s="2750"/>
      <c r="F25" s="2821"/>
      <c r="G25" s="2750"/>
      <c r="H25" s="2750"/>
      <c r="I25" s="2750"/>
      <c r="J25" s="2751"/>
      <c r="K25" s="1370"/>
      <c r="N25" s="2822" t="s">
        <v>2914</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2915</v>
      </c>
      <c r="C26" s="206" t="e">
        <f>E29+SUM(E33:E39)</f>
        <v>#DIV/0!</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5.75" thickBot="1">
      <c r="A27" s="2823"/>
      <c r="B27" s="2827" t="s">
        <v>2916</v>
      </c>
      <c r="C27" s="931" t="e">
        <f>E30+SUM(I33:I39)</f>
        <v>#DIV/0!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2917</v>
      </c>
      <c r="C28" s="2834" t="s">
        <v>2918</v>
      </c>
      <c r="D28" s="2834" t="s">
        <v>2919</v>
      </c>
      <c r="E28" s="2835" t="s">
        <v>2920</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2921</v>
      </c>
      <c r="C29" s="206" t="e">
        <f>ROUND(C5*C18*C19*C20*C21*C24,0)</f>
        <v>#DIV/0!</v>
      </c>
      <c r="D29" s="2839"/>
      <c r="E29" s="942" t="e">
        <f>ROUND(C29*D29/10000,0)</f>
        <v>#DIV/0!</v>
      </c>
      <c r="F29" s="2840" t="s">
        <v>2922</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2923</v>
      </c>
      <c r="C30" s="229" t="e">
        <f>ROUND(IF(E2="工业",C29*M39,C29*M38),0)</f>
        <v>#DIV/0!</v>
      </c>
      <c r="D30" s="2845"/>
      <c r="E30" s="942" t="e">
        <f>ROUND(C30*D30/10000,0)</f>
        <v>#DIV/0!</v>
      </c>
      <c r="F30" s="2846" t="s">
        <v>2924</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2925</v>
      </c>
      <c r="C31" s="2851" t="s">
        <v>2926</v>
      </c>
      <c r="D31" s="2763"/>
      <c r="E31" s="2851"/>
      <c r="F31" s="2851"/>
      <c r="G31" s="2761" t="s">
        <v>2927</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2918</v>
      </c>
      <c r="D32" s="498" t="s">
        <v>2919</v>
      </c>
      <c r="E32" s="498" t="s">
        <v>2920</v>
      </c>
      <c r="F32" s="388" t="s">
        <v>2928</v>
      </c>
      <c r="G32" s="2854" t="s">
        <v>2918</v>
      </c>
      <c r="H32" s="2854" t="s">
        <v>2919</v>
      </c>
      <c r="I32" s="2854"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11" t="s">
        <v>2929</v>
      </c>
      <c r="B33" s="2855" t="s">
        <v>2930</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2"/>
      <c r="B34" s="2767" t="s">
        <v>2931</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2"/>
      <c r="B35" s="2767" t="s">
        <v>2932</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13"/>
      <c r="B36" s="2767" t="s">
        <v>2933</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2934</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2935</v>
      </c>
      <c r="M37" s="2859"/>
      <c r="N37" s="1370"/>
      <c r="O37" s="1370"/>
      <c r="P37" s="1370"/>
      <c r="Q37" s="1370"/>
      <c r="R37" s="1370"/>
      <c r="S37" s="1370"/>
      <c r="T37" s="1370"/>
      <c r="U37" s="1370"/>
      <c r="V37" s="1370"/>
      <c r="W37" s="1370"/>
      <c r="X37" s="1370"/>
      <c r="Y37" s="1370"/>
      <c r="Z37" s="1371"/>
    </row>
    <row r="38" spans="1:37">
      <c r="A38" s="2857"/>
      <c r="B38" s="2767" t="s">
        <v>2936</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2937</v>
      </c>
      <c r="M38" s="2860">
        <v>0.25</v>
      </c>
      <c r="N38" s="1370"/>
      <c r="O38" s="1370"/>
      <c r="P38" s="1370"/>
      <c r="Q38" s="1370"/>
      <c r="R38" s="1370"/>
      <c r="S38" s="1370"/>
      <c r="T38" s="1370"/>
      <c r="U38" s="1370"/>
      <c r="V38" s="1370"/>
      <c r="W38" s="1370"/>
      <c r="X38" s="1370"/>
      <c r="Y38" s="1370"/>
      <c r="Z38" s="1371"/>
    </row>
    <row r="39" spans="1:37" ht="13.5" thickBot="1">
      <c r="A39" s="2843"/>
      <c r="B39" s="2861" t="s">
        <v>2938</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3045</v>
      </c>
      <c r="C41" s="388" t="e">
        <f>ROUND(POWER(1+E41,H41-G41)*(POWER(1+E41,G41)-1)/(POWER(1+E41,H41)-1),4)</f>
        <v>#DIV/0!</v>
      </c>
      <c r="D41" s="200" t="s">
        <v>2888</v>
      </c>
      <c r="E41" s="2931">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2939</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2940</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2941</v>
      </c>
      <c r="B47" s="1809" t="s">
        <v>2942</v>
      </c>
      <c r="C47" s="1809" t="s">
        <v>2943</v>
      </c>
      <c r="D47" s="1809" t="s">
        <v>2944</v>
      </c>
      <c r="E47" s="819" t="s">
        <v>2945</v>
      </c>
      <c r="F47" s="2873" t="s">
        <v>2946</v>
      </c>
      <c r="G47" s="1809" t="s">
        <v>754</v>
      </c>
      <c r="H47" s="2874"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2949</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2950</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2951</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2952</v>
      </c>
      <c r="B51" s="2877" t="s">
        <v>2953</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2954</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2955</v>
      </c>
      <c r="B53" s="2878" t="s">
        <v>2956</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2957</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2958</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2959</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2960</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2941</v>
      </c>
      <c r="B58" s="1809"/>
      <c r="C58" s="1809" t="s">
        <v>2943</v>
      </c>
      <c r="D58" s="1809" t="s">
        <v>2944</v>
      </c>
      <c r="E58" s="819" t="s">
        <v>2945</v>
      </c>
      <c r="F58" s="2873" t="s">
        <v>2961</v>
      </c>
      <c r="G58" s="1809" t="s">
        <v>754</v>
      </c>
      <c r="H58" s="2874"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2962</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2950</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2951</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2952</v>
      </c>
      <c r="B62" s="2877" t="s">
        <v>2953</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2954</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2955</v>
      </c>
      <c r="B64" s="2878" t="s">
        <v>2956</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2957</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2958</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2959</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2963</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2941</v>
      </c>
      <c r="B69" s="1809"/>
      <c r="C69" s="1809" t="s">
        <v>2943</v>
      </c>
      <c r="D69" s="1809" t="s">
        <v>2944</v>
      </c>
      <c r="E69" s="819" t="s">
        <v>2945</v>
      </c>
      <c r="F69" s="2873" t="s">
        <v>2961</v>
      </c>
      <c r="G69" s="1809" t="s">
        <v>754</v>
      </c>
      <c r="H69" s="2874"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2964</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2950</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2951</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2965</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2957</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2958</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2955</v>
      </c>
      <c r="B76" s="2878" t="s">
        <v>2956</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2959</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2966</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2967</v>
      </c>
      <c r="B79" s="2869">
        <f>1+E81</f>
        <v>1</v>
      </c>
      <c r="C79" s="814"/>
      <c r="D79" s="814"/>
      <c r="E79" s="815"/>
      <c r="F79" s="2871"/>
      <c r="G79" s="6"/>
      <c r="H79" s="6"/>
      <c r="I79" s="6"/>
      <c r="J79" s="7"/>
      <c r="K79" s="7"/>
      <c r="L79" s="7"/>
      <c r="M79" s="7"/>
      <c r="N79" s="7"/>
      <c r="Z79" s="2722"/>
      <c r="AA79" s="2790"/>
      <c r="AG79" s="1372"/>
      <c r="AK79" s="2790"/>
    </row>
    <row r="80" spans="1:37" ht="24.75">
      <c r="A80" s="2872" t="s">
        <v>2941</v>
      </c>
      <c r="B80" s="1809"/>
      <c r="C80" s="1809" t="s">
        <v>2943</v>
      </c>
      <c r="D80" s="1809" t="s">
        <v>2944</v>
      </c>
      <c r="E80" s="819" t="s">
        <v>2945</v>
      </c>
      <c r="F80" s="2873" t="s">
        <v>2961</v>
      </c>
      <c r="G80" s="1809" t="s">
        <v>754</v>
      </c>
      <c r="H80" s="2874" t="s">
        <v>2947</v>
      </c>
      <c r="I80" s="1809" t="s">
        <v>2948</v>
      </c>
      <c r="J80" s="603" t="s">
        <v>2596</v>
      </c>
      <c r="K80" s="603" t="s">
        <v>2597</v>
      </c>
      <c r="L80" s="603" t="s">
        <v>2598</v>
      </c>
      <c r="M80" s="603" t="s">
        <v>2599</v>
      </c>
      <c r="N80" s="603" t="s">
        <v>2600</v>
      </c>
      <c r="Z80" s="2722"/>
      <c r="AA80" s="2790"/>
      <c r="AG80" s="1372"/>
      <c r="AK80" s="2790"/>
    </row>
    <row r="81" spans="1:37" ht="38.25">
      <c r="A81" s="2872" t="s">
        <v>2968</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2950</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2951</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2965</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2957</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2958</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2955</v>
      </c>
      <c r="B87" s="2878" t="s">
        <v>2969</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2970</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05" t="s">
        <v>2971</v>
      </c>
      <c r="B90" s="3305"/>
      <c r="C90" s="3305"/>
      <c r="D90" s="3305"/>
      <c r="E90" s="3305"/>
      <c r="F90" s="3305"/>
      <c r="G90" s="3305"/>
      <c r="H90" s="3305"/>
      <c r="I90" s="3305"/>
      <c r="J90" s="3305"/>
      <c r="K90" s="2886"/>
      <c r="L90" s="2886"/>
      <c r="M90" s="2886"/>
      <c r="N90" s="2886"/>
    </row>
    <row r="91" spans="1:37">
      <c r="A91" s="3307" t="s">
        <v>2972</v>
      </c>
      <c r="B91" s="3307" t="s">
        <v>2973</v>
      </c>
      <c r="C91" s="2840" t="s">
        <v>2974</v>
      </c>
      <c r="D91" s="2841"/>
      <c r="E91" s="2841"/>
      <c r="F91" s="2841"/>
      <c r="G91" s="2841"/>
      <c r="H91" s="2841"/>
      <c r="I91" s="2841"/>
      <c r="J91" s="2887"/>
      <c r="K91" s="2888"/>
      <c r="L91" s="2888"/>
      <c r="M91" s="2888"/>
      <c r="N91" s="2888"/>
    </row>
    <row r="92" spans="1:37">
      <c r="A92" s="3307"/>
      <c r="B92" s="330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08"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9"/>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8" t="s">
        <v>2976</v>
      </c>
      <c r="B101" s="2893" t="s">
        <v>2977</v>
      </c>
      <c r="C101" s="2894">
        <f>$G$3</f>
        <v>0.03</v>
      </c>
      <c r="D101" s="2894">
        <f t="shared" ref="D101:N101" si="31">$G$3</f>
        <v>0.03</v>
      </c>
      <c r="E101" s="2894">
        <f t="shared" si="31"/>
        <v>0.03</v>
      </c>
      <c r="F101" s="2894">
        <f t="shared" si="31"/>
        <v>0.03</v>
      </c>
      <c r="G101" s="2894">
        <f t="shared" si="31"/>
        <v>0.03</v>
      </c>
      <c r="H101" s="2894">
        <f t="shared" si="31"/>
        <v>0.03</v>
      </c>
      <c r="I101" s="2894">
        <f t="shared" si="31"/>
        <v>0.03</v>
      </c>
      <c r="J101" s="2894">
        <f t="shared" si="31"/>
        <v>0.03</v>
      </c>
      <c r="K101" s="2894">
        <f t="shared" si="31"/>
        <v>0.03</v>
      </c>
      <c r="L101" s="2894">
        <f t="shared" si="31"/>
        <v>0.03</v>
      </c>
      <c r="M101" s="2894">
        <f t="shared" si="31"/>
        <v>0.03</v>
      </c>
      <c r="N101" s="2894">
        <f t="shared" si="31"/>
        <v>0.03</v>
      </c>
    </row>
    <row r="102" spans="1:14">
      <c r="A102" s="3309"/>
      <c r="B102" s="2889">
        <v>1</v>
      </c>
      <c r="C102" s="2890">
        <f>1.9362/C101</f>
        <v>64.540000000000006</v>
      </c>
      <c r="D102" s="2890">
        <f>1.9362/D101</f>
        <v>64.540000000000006</v>
      </c>
      <c r="E102" s="2890">
        <f>1.8629/E101</f>
        <v>62.096666666666671</v>
      </c>
      <c r="F102" s="2890">
        <f>1.8629/F101</f>
        <v>62.096666666666671</v>
      </c>
      <c r="G102" s="2890">
        <f>1.8629/G101</f>
        <v>62.096666666666671</v>
      </c>
      <c r="H102" s="2890">
        <f>1.8629/H101</f>
        <v>62.096666666666671</v>
      </c>
      <c r="I102" s="2890">
        <f>1.8629/I101</f>
        <v>62.096666666666671</v>
      </c>
      <c r="J102" s="2890">
        <f>1.942/J101</f>
        <v>64.733333333333334</v>
      </c>
      <c r="K102" s="2890">
        <f>1.942/K101</f>
        <v>64.733333333333334</v>
      </c>
      <c r="L102" s="2890">
        <f>1.942/L101</f>
        <v>64.733333333333334</v>
      </c>
      <c r="M102" s="2890">
        <f>1.942/M101</f>
        <v>64.733333333333334</v>
      </c>
      <c r="N102" s="2890">
        <f>1.942/N101</f>
        <v>64.733333333333334</v>
      </c>
    </row>
    <row r="103" spans="1:14">
      <c r="A103" s="3309"/>
      <c r="B103" s="2889">
        <v>2</v>
      </c>
      <c r="C103" s="2890">
        <f>1.4198/C101</f>
        <v>47.326666666666668</v>
      </c>
      <c r="D103" s="2890">
        <f>1.4198/D101</f>
        <v>47.326666666666668</v>
      </c>
      <c r="E103" s="2890">
        <f>1.3372/E101</f>
        <v>44.573333333333331</v>
      </c>
      <c r="F103" s="2890">
        <f>1.3372/F101</f>
        <v>44.573333333333331</v>
      </c>
      <c r="G103" s="2890">
        <f>1.3372/G101</f>
        <v>44.573333333333331</v>
      </c>
      <c r="H103" s="2890">
        <f>1.3372/H101</f>
        <v>44.573333333333331</v>
      </c>
      <c r="I103" s="2890">
        <f>1.3372/I101</f>
        <v>44.573333333333331</v>
      </c>
      <c r="J103" s="2890">
        <f>1.2799/J101</f>
        <v>42.663333333333334</v>
      </c>
      <c r="K103" s="2890">
        <f>1.2799/K101</f>
        <v>42.663333333333334</v>
      </c>
      <c r="L103" s="2890">
        <f>1.2799/L101</f>
        <v>42.663333333333334</v>
      </c>
      <c r="M103" s="2890">
        <f>1.2799/M101</f>
        <v>42.663333333333334</v>
      </c>
      <c r="N103" s="2890">
        <f>1.2799/N101</f>
        <v>42.663333333333334</v>
      </c>
    </row>
    <row r="104" spans="1:14">
      <c r="A104" s="3309"/>
      <c r="B104" s="2889">
        <v>3</v>
      </c>
      <c r="C104" s="2890">
        <f>1.1594/C101</f>
        <v>38.646666666666668</v>
      </c>
      <c r="D104" s="2890">
        <f>1.1594/D101</f>
        <v>38.646666666666668</v>
      </c>
      <c r="E104" s="2890">
        <f>1.0788/E101</f>
        <v>35.96</v>
      </c>
      <c r="F104" s="2890">
        <f>1.0788/F101</f>
        <v>35.96</v>
      </c>
      <c r="G104" s="2890">
        <f>1.0788/G101</f>
        <v>35.96</v>
      </c>
      <c r="H104" s="2890">
        <f>1.0788/H101</f>
        <v>35.96</v>
      </c>
      <c r="I104" s="2890">
        <f>1.0788/I101</f>
        <v>35.96</v>
      </c>
      <c r="J104" s="2890">
        <f>1.0072/J101</f>
        <v>33.573333333333338</v>
      </c>
      <c r="K104" s="2890">
        <f>1.0072/K101</f>
        <v>33.573333333333338</v>
      </c>
      <c r="L104" s="2890">
        <f>1.0072/L101</f>
        <v>33.573333333333338</v>
      </c>
      <c r="M104" s="2890">
        <f>1.0072/M101</f>
        <v>33.573333333333338</v>
      </c>
      <c r="N104" s="2890">
        <f>1.0072/N101</f>
        <v>33.573333333333338</v>
      </c>
    </row>
    <row r="105" spans="1:14">
      <c r="A105" s="3309"/>
      <c r="B105" s="2889">
        <v>4</v>
      </c>
      <c r="C105" s="2890">
        <f>0.9622/C101</f>
        <v>32.073333333333338</v>
      </c>
      <c r="D105" s="2890">
        <f>0.9622/D101</f>
        <v>32.073333333333338</v>
      </c>
      <c r="E105" s="2890">
        <f>0.8656/E101</f>
        <v>28.853333333333335</v>
      </c>
      <c r="F105" s="2890">
        <f>0.8656/F101</f>
        <v>28.853333333333335</v>
      </c>
      <c r="G105" s="2890">
        <f>0.8656/G101</f>
        <v>28.853333333333335</v>
      </c>
      <c r="H105" s="2890">
        <f>0.8656/H101</f>
        <v>28.853333333333335</v>
      </c>
      <c r="I105" s="2890">
        <f>0.8656/I101</f>
        <v>28.853333333333335</v>
      </c>
      <c r="J105" s="2890">
        <f>0.7525/J101</f>
        <v>25.083333333333332</v>
      </c>
      <c r="K105" s="2890">
        <f>0.7525/K101</f>
        <v>25.083333333333332</v>
      </c>
      <c r="L105" s="2890">
        <f>0.7525/L101</f>
        <v>25.083333333333332</v>
      </c>
      <c r="M105" s="2890">
        <f>0.7525/M101</f>
        <v>25.083333333333332</v>
      </c>
      <c r="N105" s="2890">
        <f>0.7525/N101</f>
        <v>25.083333333333332</v>
      </c>
    </row>
    <row r="106" spans="1:14">
      <c r="A106" s="3309"/>
      <c r="B106" s="2889">
        <v>5</v>
      </c>
      <c r="C106" s="2890">
        <f>0.8417/C101</f>
        <v>28.056666666666668</v>
      </c>
      <c r="D106" s="2890">
        <f>0.8417/D101</f>
        <v>28.056666666666668</v>
      </c>
      <c r="E106" s="2890">
        <f>0.7371/E101</f>
        <v>24.57</v>
      </c>
      <c r="F106" s="2890">
        <f>0.7371/F101</f>
        <v>24.57</v>
      </c>
      <c r="G106" s="2890">
        <f>0.7371/G101</f>
        <v>24.57</v>
      </c>
      <c r="H106" s="2890">
        <f>0.7371/H101</f>
        <v>24.57</v>
      </c>
      <c r="I106" s="2890">
        <f>0.7371/I101</f>
        <v>24.57</v>
      </c>
      <c r="J106" s="2890">
        <f>0.5659/J101</f>
        <v>18.863333333333333</v>
      </c>
      <c r="K106" s="2890">
        <f>0.5659/K101</f>
        <v>18.863333333333333</v>
      </c>
      <c r="L106" s="2890">
        <f>0.5659/L101</f>
        <v>18.863333333333333</v>
      </c>
      <c r="M106" s="2890">
        <f>0.5659/M101</f>
        <v>18.863333333333333</v>
      </c>
      <c r="N106" s="2890">
        <f>0.5659/N101</f>
        <v>18.863333333333333</v>
      </c>
    </row>
    <row r="107" spans="1:14">
      <c r="A107" s="3309"/>
      <c r="B107" s="2889">
        <v>6</v>
      </c>
      <c r="C107" s="2890">
        <f>0.7608/C101</f>
        <v>25.360000000000003</v>
      </c>
      <c r="D107" s="2890">
        <f>0.7608/D101</f>
        <v>25.360000000000003</v>
      </c>
      <c r="E107" s="2890">
        <f>0.6482/E101</f>
        <v>21.606666666666669</v>
      </c>
      <c r="F107" s="2890">
        <f>0.6482/F101</f>
        <v>21.606666666666669</v>
      </c>
      <c r="G107" s="2890">
        <f>0.6482/G101</f>
        <v>21.606666666666669</v>
      </c>
      <c r="H107" s="2890">
        <f>0.6482/H101</f>
        <v>21.606666666666669</v>
      </c>
      <c r="I107" s="2890">
        <f>0.6482/I101</f>
        <v>21.606666666666669</v>
      </c>
      <c r="J107" s="2890">
        <f>0.4525/J101</f>
        <v>15.083333333333334</v>
      </c>
      <c r="K107" s="2890">
        <f>0.4525/K101</f>
        <v>15.083333333333334</v>
      </c>
      <c r="L107" s="2890">
        <f>0.4525/L101</f>
        <v>15.083333333333334</v>
      </c>
      <c r="M107" s="2890">
        <f>0.4525/M101</f>
        <v>15.083333333333334</v>
      </c>
      <c r="N107" s="2890">
        <f>0.4525/N101</f>
        <v>15.083333333333334</v>
      </c>
    </row>
    <row r="108" spans="1:14">
      <c r="A108" s="3309"/>
      <c r="B108" s="3132" t="s">
        <v>2978</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0"/>
      <c r="B109" s="3133"/>
      <c r="C109" s="2892">
        <f>(-0.163*(C108^2)-0.59*C108+7617)*(10^(-4))/C101</f>
        <v>25.390000000000004</v>
      </c>
      <c r="D109" s="2892">
        <f>(-0.163*(D108^2)-0.59*D108+7617)*(10^(-4))/D101</f>
        <v>25.390000000000004</v>
      </c>
      <c r="E109" s="2892">
        <f>(-0.161*(E108^2)-7.509*E108+6533)*(10^(-4))/E101</f>
        <v>21.776666666666667</v>
      </c>
      <c r="F109" s="2892">
        <f>(-0.161*(F108^2)-7.509*F108+6533)*(10^(-4))/F101</f>
        <v>21.776666666666667</v>
      </c>
      <c r="G109" s="2892">
        <f>(-0.161*(G108^2)-7.509*G108+6533)*(10^(-4))/G101</f>
        <v>21.776666666666667</v>
      </c>
      <c r="H109" s="2892">
        <f>(-0.161*(H108^2)-7.509*H108+6533)*(10^(-4))/H101</f>
        <v>21.776666666666667</v>
      </c>
      <c r="I109" s="2892">
        <f>(-0.161*(I108^2)-7.509*I108+6533)*(10^(-4))/I101</f>
        <v>21.776666666666667</v>
      </c>
      <c r="J109" s="2892">
        <f>(-0.214*(J108^2)-21.991*J108+4665)*(10^(-4))/J101</f>
        <v>15.55</v>
      </c>
      <c r="K109" s="2892">
        <f>(-0.214*(K108^2)-21.991*K108+4665)*(10^(-4))/K101</f>
        <v>15.55</v>
      </c>
      <c r="L109" s="2892">
        <f>(-0.214*(L108^2)-21.991*L108+4665)*(10^(-4))/L101</f>
        <v>15.55</v>
      </c>
      <c r="M109" s="2892">
        <f>(-0.214*(M108^2)-21.991*M108+4665)*(10^(-4))/M101</f>
        <v>15.55</v>
      </c>
      <c r="N109" s="2892">
        <f>(-0.214*(N108^2)-21.991*N108+4665)*(10^(-4))/N101</f>
        <v>15.55</v>
      </c>
    </row>
    <row r="110" spans="1:14">
      <c r="A110" s="3306" t="s">
        <v>2979</v>
      </c>
      <c r="B110" s="3306"/>
      <c r="C110" s="3306"/>
      <c r="D110" s="3306"/>
      <c r="E110" s="3306"/>
      <c r="F110" s="3306"/>
      <c r="G110" s="3306"/>
      <c r="H110" s="3306"/>
      <c r="I110" s="3306"/>
      <c r="J110" s="3306"/>
      <c r="K110" s="2895"/>
      <c r="L110" s="2895"/>
      <c r="M110" s="2895"/>
      <c r="N110" s="2895"/>
    </row>
    <row r="112" spans="1:14" ht="13.5" thickBot="1"/>
    <row r="113" spans="1:13" ht="25.5" thickBot="1">
      <c r="A113" s="903" t="s">
        <v>2980</v>
      </c>
      <c r="B113" s="1287">
        <f>G3</f>
        <v>0.03</v>
      </c>
      <c r="C113" s="904" t="s">
        <v>2981</v>
      </c>
      <c r="D113" s="905">
        <f>SUMPRODUCT((A115:A118=F113)*(B114:M114=H113)*B115:M118)</f>
        <v>0</v>
      </c>
      <c r="E113" s="2726" t="s">
        <v>2813</v>
      </c>
      <c r="F113" s="2897">
        <f>E2</f>
        <v>0</v>
      </c>
      <c r="G113" s="2726" t="s">
        <v>2814</v>
      </c>
      <c r="H113" s="2897">
        <f>G2</f>
        <v>0</v>
      </c>
      <c r="I113" s="2726"/>
      <c r="J113" s="2898"/>
      <c r="K113" s="2898"/>
      <c r="L113" s="2898"/>
      <c r="M113" s="2898"/>
    </row>
    <row r="114" spans="1:13">
      <c r="A114" s="908"/>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c r="A115" s="909" t="s">
        <v>2878</v>
      </c>
      <c r="B115" s="910">
        <f>ROUND(0.9335-0.0094*B113,4)</f>
        <v>0.93320000000000003</v>
      </c>
      <c r="C115" s="910">
        <f>B115</f>
        <v>0.93320000000000003</v>
      </c>
      <c r="D115" s="910">
        <f>ROUND(0.8331-0.0109*B113,4)</f>
        <v>0.83279999999999998</v>
      </c>
      <c r="E115" s="910">
        <f>D115</f>
        <v>0.83279999999999998</v>
      </c>
      <c r="F115" s="910">
        <f>E115</f>
        <v>0.83279999999999998</v>
      </c>
      <c r="G115" s="910">
        <f>F115</f>
        <v>0.83279999999999998</v>
      </c>
      <c r="H115" s="910">
        <f>G115</f>
        <v>0.83279999999999998</v>
      </c>
      <c r="I115" s="910">
        <f>ROUND(0.689-0.0155*B113,4)</f>
        <v>0.6885</v>
      </c>
      <c r="J115" s="910">
        <f t="shared" ref="J115:M118" si="33">I115</f>
        <v>0.6885</v>
      </c>
      <c r="K115" s="910">
        <f t="shared" si="33"/>
        <v>0.6885</v>
      </c>
      <c r="L115" s="910">
        <f t="shared" si="33"/>
        <v>0.6885</v>
      </c>
      <c r="M115" s="911">
        <f t="shared" si="33"/>
        <v>0.6885</v>
      </c>
    </row>
    <row r="116" spans="1:13">
      <c r="A116" s="909" t="s">
        <v>2879</v>
      </c>
      <c r="B116" s="910">
        <f>ROUND(0.949-0.012*B113,4)</f>
        <v>0.9486</v>
      </c>
      <c r="C116" s="910">
        <f>B116</f>
        <v>0.9486</v>
      </c>
      <c r="D116" s="910">
        <f>ROUND(0.8567-0.013*B113,4)</f>
        <v>0.85629999999999995</v>
      </c>
      <c r="E116" s="910">
        <f t="shared" ref="E116:H117" si="34">D116</f>
        <v>0.85629999999999995</v>
      </c>
      <c r="F116" s="910">
        <f t="shared" si="34"/>
        <v>0.85629999999999995</v>
      </c>
      <c r="G116" s="910">
        <f t="shared" si="34"/>
        <v>0.85629999999999995</v>
      </c>
      <c r="H116" s="910">
        <f t="shared" si="34"/>
        <v>0.85629999999999995</v>
      </c>
      <c r="I116" s="910">
        <f>ROUND(0.7694-0.014*B113,4)</f>
        <v>0.76900000000000002</v>
      </c>
      <c r="J116" s="910">
        <f t="shared" si="33"/>
        <v>0.76900000000000002</v>
      </c>
      <c r="K116" s="910">
        <f t="shared" si="33"/>
        <v>0.76900000000000002</v>
      </c>
      <c r="L116" s="910">
        <f t="shared" si="33"/>
        <v>0.76900000000000002</v>
      </c>
      <c r="M116" s="911">
        <f t="shared" si="33"/>
        <v>0.76900000000000002</v>
      </c>
    </row>
    <row r="117" spans="1:13">
      <c r="A117" s="909" t="s">
        <v>2880</v>
      </c>
      <c r="B117" s="910">
        <f>ROUND(0.8808-0.006*B113,4)</f>
        <v>0.88060000000000005</v>
      </c>
      <c r="C117" s="910">
        <f>B117</f>
        <v>0.88060000000000005</v>
      </c>
      <c r="D117" s="910">
        <f>ROUND(0.8748-0.008*B113,4)</f>
        <v>0.87460000000000004</v>
      </c>
      <c r="E117" s="910">
        <f t="shared" si="34"/>
        <v>0.87460000000000004</v>
      </c>
      <c r="F117" s="910">
        <f t="shared" si="34"/>
        <v>0.87460000000000004</v>
      </c>
      <c r="G117" s="910">
        <f t="shared" si="34"/>
        <v>0.87460000000000004</v>
      </c>
      <c r="H117" s="910">
        <f t="shared" si="34"/>
        <v>0.87460000000000004</v>
      </c>
      <c r="I117" s="910">
        <f>ROUND(0.7412-0.0095*B113,4)</f>
        <v>0.7409</v>
      </c>
      <c r="J117" s="910">
        <f t="shared" si="33"/>
        <v>0.7409</v>
      </c>
      <c r="K117" s="910">
        <f t="shared" si="33"/>
        <v>0.7409</v>
      </c>
      <c r="L117" s="910">
        <f t="shared" si="33"/>
        <v>0.7409</v>
      </c>
      <c r="M117" s="911">
        <f t="shared" si="33"/>
        <v>0.7409</v>
      </c>
    </row>
    <row r="118" spans="1:13" ht="13.5" thickBot="1">
      <c r="A118" s="714" t="s">
        <v>2881</v>
      </c>
      <c r="B118" s="912">
        <f>ROUND(0.7275-0.01*B113,4)</f>
        <v>0.72719999999999996</v>
      </c>
      <c r="C118" s="912">
        <f>B118</f>
        <v>0.72719999999999996</v>
      </c>
      <c r="D118" s="912">
        <f>ROUND(0.7043-0.012*B113,4)</f>
        <v>0.70389999999999997</v>
      </c>
      <c r="E118" s="912">
        <f>D118</f>
        <v>0.70389999999999997</v>
      </c>
      <c r="F118" s="912">
        <f>E118</f>
        <v>0.70389999999999997</v>
      </c>
      <c r="G118" s="912">
        <f>ROUND(0.6299-0.0122*B113,4)</f>
        <v>0.62949999999999995</v>
      </c>
      <c r="H118" s="912">
        <f>G118</f>
        <v>0.62949999999999995</v>
      </c>
      <c r="I118" s="912">
        <f>ROUND(0.5667-0.0136*B113,4)</f>
        <v>0.56630000000000003</v>
      </c>
      <c r="J118" s="912">
        <f t="shared" si="33"/>
        <v>0.56630000000000003</v>
      </c>
      <c r="K118" s="912">
        <f t="shared" si="33"/>
        <v>0.56630000000000003</v>
      </c>
      <c r="L118" s="912">
        <f t="shared" si="33"/>
        <v>0.56630000000000003</v>
      </c>
      <c r="M118" s="913">
        <f t="shared" si="33"/>
        <v>0.56630000000000003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6" t="s">
        <v>183</v>
      </c>
      <c r="B18" s="882" t="s">
        <v>560</v>
      </c>
      <c r="C18" s="883" t="s">
        <v>561</v>
      </c>
      <c r="D18" s="884"/>
      <c r="E18" s="882">
        <v>1</v>
      </c>
      <c r="F18" s="885" t="s">
        <v>562</v>
      </c>
      <c r="G18" s="886"/>
      <c r="H18" s="878"/>
      <c r="I18" s="878"/>
    </row>
    <row r="19" spans="1:9" s="887" customFormat="1" ht="19.5" customHeight="1">
      <c r="A19" s="3326"/>
      <c r="B19" s="3326" t="s">
        <v>563</v>
      </c>
      <c r="C19" s="883" t="s">
        <v>564</v>
      </c>
      <c r="D19" s="884"/>
      <c r="E19" s="882">
        <v>0.9</v>
      </c>
      <c r="F19" s="885" t="s">
        <v>565</v>
      </c>
      <c r="G19" s="886"/>
      <c r="H19" s="878"/>
      <c r="I19" s="878"/>
    </row>
    <row r="20" spans="1:9" s="887" customFormat="1" ht="19.5" customHeight="1">
      <c r="A20" s="3326"/>
      <c r="B20" s="3326"/>
      <c r="C20" s="883" t="s">
        <v>566</v>
      </c>
      <c r="D20" s="884"/>
      <c r="E20" s="882">
        <v>1.1000000000000001</v>
      </c>
      <c r="F20" s="885" t="s">
        <v>567</v>
      </c>
      <c r="G20" s="886"/>
      <c r="H20" s="878"/>
      <c r="I20" s="878"/>
    </row>
    <row r="21" spans="1:9" s="887" customFormat="1" ht="19.5" customHeight="1">
      <c r="A21" s="3326"/>
      <c r="B21" s="3326"/>
      <c r="C21" s="883" t="s">
        <v>568</v>
      </c>
      <c r="D21" s="884"/>
      <c r="E21" s="882">
        <v>0.8</v>
      </c>
      <c r="F21" s="885" t="s">
        <v>569</v>
      </c>
      <c r="G21" s="886"/>
      <c r="H21" s="878"/>
      <c r="I21" s="878"/>
    </row>
    <row r="22" spans="1:9" s="887" customFormat="1" ht="19.5" customHeight="1">
      <c r="A22" s="3326"/>
      <c r="B22" s="3326"/>
      <c r="C22" s="883" t="s">
        <v>570</v>
      </c>
      <c r="D22" s="884"/>
      <c r="E22" s="882">
        <v>0.5</v>
      </c>
      <c r="F22" s="885"/>
      <c r="G22" s="886"/>
      <c r="H22" s="878"/>
      <c r="I22" s="878"/>
    </row>
    <row r="23" spans="1:9" s="887" customFormat="1" ht="19.5" customHeight="1">
      <c r="A23" s="3326" t="s">
        <v>184</v>
      </c>
      <c r="B23" s="882" t="s">
        <v>560</v>
      </c>
      <c r="C23" s="883" t="s">
        <v>571</v>
      </c>
      <c r="D23" s="884"/>
      <c r="E23" s="882">
        <v>1</v>
      </c>
      <c r="F23" s="885" t="s">
        <v>572</v>
      </c>
      <c r="G23" s="886"/>
      <c r="H23" s="878"/>
      <c r="I23" s="878"/>
    </row>
    <row r="24" spans="1:9" s="887" customFormat="1" ht="19.5" customHeight="1">
      <c r="A24" s="3326"/>
      <c r="B24" s="3326" t="s">
        <v>563</v>
      </c>
      <c r="C24" s="883" t="s">
        <v>573</v>
      </c>
      <c r="D24" s="884"/>
      <c r="E24" s="882">
        <v>0.5</v>
      </c>
      <c r="F24" s="885"/>
      <c r="G24" s="886"/>
      <c r="H24" s="878"/>
      <c r="I24" s="878"/>
    </row>
    <row r="25" spans="1:9" s="887" customFormat="1" ht="19.5" customHeight="1">
      <c r="A25" s="3326"/>
      <c r="B25" s="3326"/>
      <c r="C25" s="883" t="s">
        <v>574</v>
      </c>
      <c r="D25" s="884"/>
      <c r="E25" s="882">
        <v>1.1000000000000001</v>
      </c>
      <c r="F25" s="885"/>
      <c r="G25" s="886"/>
      <c r="H25" s="878"/>
      <c r="I25" s="878"/>
    </row>
    <row r="26" spans="1:9" s="887" customFormat="1" ht="19.5" customHeight="1">
      <c r="A26" s="3326"/>
      <c r="B26" s="3326"/>
      <c r="C26" s="883" t="s">
        <v>575</v>
      </c>
      <c r="D26" s="884"/>
      <c r="E26" s="882">
        <v>1.1000000000000001</v>
      </c>
      <c r="F26" s="885"/>
      <c r="G26" s="886"/>
      <c r="H26" s="878"/>
      <c r="I26" s="878"/>
    </row>
    <row r="27" spans="1:9" s="887" customFormat="1" ht="19.5" customHeight="1">
      <c r="A27" s="3326"/>
      <c r="B27" s="3326"/>
      <c r="C27" s="883" t="s">
        <v>576</v>
      </c>
      <c r="D27" s="884"/>
      <c r="E27" s="882">
        <v>0.9</v>
      </c>
      <c r="F27" s="885" t="s">
        <v>577</v>
      </c>
      <c r="G27" s="886"/>
      <c r="H27" s="878"/>
      <c r="I27" s="878"/>
    </row>
    <row r="28" spans="1:9" s="887" customFormat="1" ht="19.5" customHeight="1">
      <c r="A28" s="3326"/>
      <c r="B28" s="3326"/>
      <c r="C28" s="883" t="s">
        <v>578</v>
      </c>
      <c r="D28" s="884"/>
      <c r="E28" s="882">
        <v>0.9</v>
      </c>
      <c r="F28" s="885" t="s">
        <v>579</v>
      </c>
      <c r="G28" s="886"/>
      <c r="H28" s="878"/>
      <c r="I28" s="878"/>
    </row>
    <row r="29" spans="1:9" s="887" customFormat="1" ht="19.5" customHeight="1">
      <c r="A29" s="3326"/>
      <c r="B29" s="3326"/>
      <c r="C29" s="883" t="s">
        <v>580</v>
      </c>
      <c r="D29" s="884"/>
      <c r="E29" s="882">
        <v>0.9</v>
      </c>
      <c r="F29" s="885" t="s">
        <v>581</v>
      </c>
      <c r="G29" s="886"/>
      <c r="H29" s="878"/>
      <c r="I29" s="878"/>
    </row>
    <row r="30" spans="1:9" s="887" customFormat="1" ht="19.5" customHeight="1">
      <c r="A30" s="3326"/>
      <c r="B30" s="3326"/>
      <c r="C30" s="883" t="s">
        <v>582</v>
      </c>
      <c r="D30" s="884"/>
      <c r="E30" s="882">
        <v>0.9</v>
      </c>
      <c r="F30" s="885" t="s">
        <v>583</v>
      </c>
      <c r="G30" s="886"/>
      <c r="H30" s="878"/>
      <c r="I30" s="878"/>
    </row>
    <row r="31" spans="1:9" s="887" customFormat="1" ht="19.5" customHeight="1">
      <c r="A31" s="3326"/>
      <c r="B31" s="3326"/>
      <c r="C31" s="883" t="s">
        <v>584</v>
      </c>
      <c r="D31" s="884"/>
      <c r="E31" s="882">
        <v>0.8</v>
      </c>
      <c r="F31" s="885" t="s">
        <v>585</v>
      </c>
      <c r="G31" s="886"/>
      <c r="H31" s="878"/>
      <c r="I31" s="878"/>
    </row>
    <row r="32" spans="1:9" s="887" customFormat="1" ht="19.5" customHeight="1">
      <c r="A32" s="3326"/>
      <c r="B32" s="3326"/>
      <c r="C32" s="883" t="s">
        <v>586</v>
      </c>
      <c r="D32" s="884"/>
      <c r="E32" s="882">
        <v>0.8</v>
      </c>
      <c r="F32" s="885" t="s">
        <v>587</v>
      </c>
      <c r="G32" s="886"/>
      <c r="H32" s="878"/>
      <c r="I32" s="878"/>
    </row>
    <row r="33" spans="1:9" s="887" customFormat="1" ht="19.5" customHeight="1">
      <c r="A33" s="3326" t="s">
        <v>185</v>
      </c>
      <c r="B33" s="882" t="s">
        <v>560</v>
      </c>
      <c r="C33" s="883" t="s">
        <v>588</v>
      </c>
      <c r="D33" s="884"/>
      <c r="E33" s="882">
        <v>1</v>
      </c>
      <c r="F33" s="885" t="s">
        <v>589</v>
      </c>
      <c r="G33" s="886"/>
      <c r="H33" s="878"/>
      <c r="I33" s="878"/>
    </row>
    <row r="34" spans="1:9" s="887" customFormat="1" ht="19.5" customHeight="1">
      <c r="A34" s="3326"/>
      <c r="B34" s="882" t="s">
        <v>563</v>
      </c>
      <c r="C34" s="883" t="s">
        <v>590</v>
      </c>
      <c r="D34" s="884"/>
      <c r="E34" s="882">
        <v>1.5</v>
      </c>
      <c r="F34" s="885" t="s">
        <v>591</v>
      </c>
      <c r="G34" s="886"/>
      <c r="H34" s="878"/>
      <c r="I34" s="878"/>
    </row>
    <row r="35" spans="1:9" s="887" customFormat="1" ht="19.5" customHeight="1">
      <c r="A35" s="3326" t="s">
        <v>186</v>
      </c>
      <c r="B35" s="882" t="s">
        <v>560</v>
      </c>
      <c r="C35" s="883" t="s">
        <v>592</v>
      </c>
      <c r="D35" s="884"/>
      <c r="E35" s="882">
        <v>1</v>
      </c>
      <c r="F35" s="885" t="s">
        <v>593</v>
      </c>
      <c r="G35" s="886"/>
      <c r="H35" s="878"/>
      <c r="I35" s="878"/>
    </row>
    <row r="36" spans="1:9" s="887" customFormat="1" ht="19.5" customHeight="1">
      <c r="A36" s="3326"/>
      <c r="B36" s="3326" t="s">
        <v>563</v>
      </c>
      <c r="C36" s="883" t="s">
        <v>594</v>
      </c>
      <c r="D36" s="884"/>
      <c r="E36" s="882">
        <v>1</v>
      </c>
      <c r="F36" s="885" t="s">
        <v>595</v>
      </c>
      <c r="G36" s="886"/>
      <c r="H36" s="878"/>
      <c r="I36" s="878"/>
    </row>
    <row r="37" spans="1:9" s="887" customFormat="1" ht="19.5" customHeight="1">
      <c r="A37" s="3326"/>
      <c r="B37" s="3326"/>
      <c r="C37" s="883" t="s">
        <v>596</v>
      </c>
      <c r="D37" s="884"/>
      <c r="E37" s="882">
        <v>1.5</v>
      </c>
      <c r="F37" s="885" t="s">
        <v>597</v>
      </c>
      <c r="G37" s="886"/>
      <c r="H37" s="878"/>
      <c r="I37" s="878"/>
    </row>
    <row r="38" spans="1:9" s="887" customFormat="1" ht="19.5" customHeight="1">
      <c r="A38" s="3326"/>
      <c r="B38" s="3326"/>
      <c r="C38" s="883" t="s">
        <v>598</v>
      </c>
      <c r="D38" s="884"/>
      <c r="E38" s="882">
        <v>1</v>
      </c>
      <c r="F38" s="885" t="s">
        <v>599</v>
      </c>
      <c r="G38" s="886"/>
      <c r="H38" s="878"/>
      <c r="I38" s="878"/>
    </row>
    <row r="39" spans="1:9" s="887" customFormat="1" ht="19.5" customHeight="1">
      <c r="A39" s="3326"/>
      <c r="B39" s="332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6" t="s">
        <v>614</v>
      </c>
      <c r="C61" s="818" t="s">
        <v>615</v>
      </c>
      <c r="D61" s="818" t="s">
        <v>616</v>
      </c>
      <c r="E61" s="895">
        <v>0.5</v>
      </c>
      <c r="F61" s="882">
        <v>80</v>
      </c>
    </row>
    <row r="62" spans="1:8" s="878" customFormat="1" ht="24">
      <c r="A62" s="882">
        <v>2</v>
      </c>
      <c r="B62" s="3326"/>
      <c r="C62" s="818" t="s">
        <v>617</v>
      </c>
      <c r="D62" s="818" t="s">
        <v>618</v>
      </c>
      <c r="E62" s="895">
        <v>0.5</v>
      </c>
      <c r="F62" s="882">
        <v>80</v>
      </c>
    </row>
    <row r="63" spans="1:8" s="878" customFormat="1" ht="36">
      <c r="A63" s="882">
        <v>3</v>
      </c>
      <c r="B63" s="3326"/>
      <c r="C63" s="818" t="s">
        <v>619</v>
      </c>
      <c r="D63" s="818" t="s">
        <v>620</v>
      </c>
      <c r="E63" s="895">
        <v>0.5</v>
      </c>
      <c r="F63" s="882">
        <v>80</v>
      </c>
    </row>
    <row r="64" spans="1:8" s="878" customFormat="1" ht="36">
      <c r="A64" s="882">
        <v>4</v>
      </c>
      <c r="B64" s="3326"/>
      <c r="C64" s="818" t="s">
        <v>621</v>
      </c>
      <c r="D64" s="818" t="s">
        <v>622</v>
      </c>
      <c r="E64" s="895">
        <v>0.4</v>
      </c>
      <c r="F64" s="882">
        <v>60</v>
      </c>
    </row>
    <row r="65" spans="1:6" s="878" customFormat="1" ht="36">
      <c r="A65" s="882">
        <v>5</v>
      </c>
      <c r="B65" s="3326"/>
      <c r="C65" s="818" t="s">
        <v>623</v>
      </c>
      <c r="D65" s="818" t="s">
        <v>624</v>
      </c>
      <c r="E65" s="895">
        <v>0.2</v>
      </c>
      <c r="F65" s="882">
        <v>30</v>
      </c>
    </row>
    <row r="66" spans="1:6" s="878" customFormat="1" ht="36">
      <c r="A66" s="882">
        <v>6</v>
      </c>
      <c r="B66" s="3326"/>
      <c r="C66" s="818" t="s">
        <v>625</v>
      </c>
      <c r="D66" s="818" t="s">
        <v>626</v>
      </c>
      <c r="E66" s="895">
        <v>0.3</v>
      </c>
      <c r="F66" s="882">
        <v>50</v>
      </c>
    </row>
    <row r="67" spans="1:6" s="878" customFormat="1" ht="36">
      <c r="A67" s="882">
        <v>7</v>
      </c>
      <c r="B67" s="3326"/>
      <c r="C67" s="818" t="s">
        <v>627</v>
      </c>
      <c r="D67" s="818" t="s">
        <v>628</v>
      </c>
      <c r="E67" s="895">
        <v>0.2</v>
      </c>
      <c r="F67" s="882">
        <v>30</v>
      </c>
    </row>
    <row r="68" spans="1:6" s="878" customFormat="1" ht="36">
      <c r="A68" s="882">
        <v>8</v>
      </c>
      <c r="B68" s="3326"/>
      <c r="C68" s="818" t="s">
        <v>629</v>
      </c>
      <c r="D68" s="818" t="s">
        <v>630</v>
      </c>
      <c r="E68" s="895">
        <v>0.2</v>
      </c>
      <c r="F68" s="882">
        <v>30</v>
      </c>
    </row>
    <row r="69" spans="1:6" s="878" customFormat="1" ht="36">
      <c r="A69" s="882">
        <v>9</v>
      </c>
      <c r="B69" s="3326"/>
      <c r="C69" s="818" t="s">
        <v>631</v>
      </c>
      <c r="D69" s="818" t="s">
        <v>632</v>
      </c>
      <c r="E69" s="895">
        <v>0.2</v>
      </c>
      <c r="F69" s="882">
        <v>30</v>
      </c>
    </row>
    <row r="70" spans="1:6" s="878" customFormat="1" ht="48">
      <c r="A70" s="882">
        <v>10</v>
      </c>
      <c r="B70" s="3326"/>
      <c r="C70" s="818" t="s">
        <v>633</v>
      </c>
      <c r="D70" s="818" t="s">
        <v>634</v>
      </c>
      <c r="E70" s="895">
        <v>0.2</v>
      </c>
      <c r="F70" s="882">
        <v>30</v>
      </c>
    </row>
    <row r="71" spans="1:6" s="878" customFormat="1" ht="48">
      <c r="A71" s="882">
        <v>11</v>
      </c>
      <c r="B71" s="3326"/>
      <c r="C71" s="818" t="s">
        <v>635</v>
      </c>
      <c r="D71" s="818" t="s">
        <v>636</v>
      </c>
      <c r="E71" s="895">
        <v>0.2</v>
      </c>
      <c r="F71" s="882">
        <v>30</v>
      </c>
    </row>
    <row r="72" spans="1:6" s="878" customFormat="1" ht="36">
      <c r="A72" s="882">
        <v>12</v>
      </c>
      <c r="B72" s="3326"/>
      <c r="C72" s="818" t="s">
        <v>637</v>
      </c>
      <c r="D72" s="818" t="s">
        <v>638</v>
      </c>
      <c r="E72" s="895">
        <v>0.5</v>
      </c>
      <c r="F72" s="882">
        <v>80</v>
      </c>
    </row>
    <row r="73" spans="1:6" s="878" customFormat="1" ht="24">
      <c r="A73" s="882">
        <v>13</v>
      </c>
      <c r="B73" s="3326"/>
      <c r="C73" s="818" t="s">
        <v>639</v>
      </c>
      <c r="D73" s="818" t="s">
        <v>640</v>
      </c>
      <c r="E73" s="895">
        <v>0.4</v>
      </c>
      <c r="F73" s="882">
        <v>60</v>
      </c>
    </row>
    <row r="74" spans="1:6" s="878" customFormat="1" ht="24">
      <c r="A74" s="882">
        <v>14</v>
      </c>
      <c r="B74" s="3326"/>
      <c r="C74" s="818" t="s">
        <v>641</v>
      </c>
      <c r="D74" s="818" t="s">
        <v>642</v>
      </c>
      <c r="E74" s="895">
        <v>0.2</v>
      </c>
      <c r="F74" s="882">
        <v>30</v>
      </c>
    </row>
    <row r="75" spans="1:6" s="878" customFormat="1" ht="24">
      <c r="A75" s="882">
        <v>15</v>
      </c>
      <c r="B75" s="3326"/>
      <c r="C75" s="818" t="s">
        <v>643</v>
      </c>
      <c r="D75" s="818" t="s">
        <v>644</v>
      </c>
      <c r="E75" s="895">
        <v>0.2</v>
      </c>
      <c r="F75" s="882">
        <v>30</v>
      </c>
    </row>
    <row r="76" spans="1:6" s="878" customFormat="1" ht="24">
      <c r="A76" s="882">
        <v>16</v>
      </c>
      <c r="B76" s="3326" t="s">
        <v>645</v>
      </c>
      <c r="C76" s="818" t="s">
        <v>646</v>
      </c>
      <c r="D76" s="818" t="s">
        <v>647</v>
      </c>
      <c r="E76" s="895">
        <v>0.5</v>
      </c>
      <c r="F76" s="882">
        <v>80</v>
      </c>
    </row>
    <row r="77" spans="1:6" s="878" customFormat="1" ht="24">
      <c r="A77" s="882">
        <v>17</v>
      </c>
      <c r="B77" s="3326"/>
      <c r="C77" s="818" t="s">
        <v>648</v>
      </c>
      <c r="D77" s="818" t="s">
        <v>649</v>
      </c>
      <c r="E77" s="895">
        <v>0.5</v>
      </c>
      <c r="F77" s="882">
        <v>80</v>
      </c>
    </row>
    <row r="78" spans="1:6" s="878" customFormat="1" ht="24">
      <c r="A78" s="882">
        <v>18</v>
      </c>
      <c r="B78" s="3326"/>
      <c r="C78" s="818" t="s">
        <v>650</v>
      </c>
      <c r="D78" s="818" t="s">
        <v>651</v>
      </c>
      <c r="E78" s="895">
        <v>0.2</v>
      </c>
      <c r="F78" s="882">
        <v>30</v>
      </c>
    </row>
    <row r="79" spans="1:6" s="878" customFormat="1" ht="24">
      <c r="A79" s="882">
        <v>19</v>
      </c>
      <c r="B79" s="3326"/>
      <c r="C79" s="818" t="s">
        <v>652</v>
      </c>
      <c r="D79" s="818" t="s">
        <v>653</v>
      </c>
      <c r="E79" s="895">
        <v>0.5</v>
      </c>
      <c r="F79" s="882">
        <v>80</v>
      </c>
    </row>
    <row r="80" spans="1:6" s="878" customFormat="1" ht="36">
      <c r="A80" s="882">
        <v>20</v>
      </c>
      <c r="B80" s="3326"/>
      <c r="C80" s="818" t="s">
        <v>654</v>
      </c>
      <c r="D80" s="818" t="s">
        <v>655</v>
      </c>
      <c r="E80" s="895">
        <v>0.2</v>
      </c>
      <c r="F80" s="882">
        <v>30</v>
      </c>
    </row>
    <row r="81" spans="1:6" s="878" customFormat="1" ht="36">
      <c r="A81" s="882">
        <v>21</v>
      </c>
      <c r="B81" s="3326"/>
      <c r="C81" s="818" t="s">
        <v>656</v>
      </c>
      <c r="D81" s="818" t="s">
        <v>657</v>
      </c>
      <c r="E81" s="895">
        <v>0.2</v>
      </c>
      <c r="F81" s="882">
        <v>30</v>
      </c>
    </row>
    <row r="82" spans="1:6" s="878" customFormat="1" ht="48">
      <c r="A82" s="882">
        <v>22</v>
      </c>
      <c r="B82" s="3326"/>
      <c r="C82" s="818" t="s">
        <v>658</v>
      </c>
      <c r="D82" s="818" t="s">
        <v>659</v>
      </c>
      <c r="E82" s="895">
        <v>0.2</v>
      </c>
      <c r="F82" s="882">
        <v>30</v>
      </c>
    </row>
    <row r="83" spans="1:6" s="878" customFormat="1" ht="48">
      <c r="A83" s="882">
        <v>23</v>
      </c>
      <c r="B83" s="3326"/>
      <c r="C83" s="818" t="s">
        <v>660</v>
      </c>
      <c r="D83" s="818" t="s">
        <v>661</v>
      </c>
      <c r="E83" s="895">
        <v>0.2</v>
      </c>
      <c r="F83" s="882">
        <v>30</v>
      </c>
    </row>
    <row r="84" spans="1:6" s="878" customFormat="1" ht="36">
      <c r="A84" s="882">
        <v>24</v>
      </c>
      <c r="B84" s="3326"/>
      <c r="C84" s="818" t="s">
        <v>662</v>
      </c>
      <c r="D84" s="818" t="s">
        <v>663</v>
      </c>
      <c r="E84" s="895">
        <v>0.2</v>
      </c>
      <c r="F84" s="882">
        <v>30</v>
      </c>
    </row>
    <row r="85" spans="1:6" s="878" customFormat="1" ht="36">
      <c r="A85" s="882">
        <v>25</v>
      </c>
      <c r="B85" s="3326"/>
      <c r="C85" s="818" t="s">
        <v>664</v>
      </c>
      <c r="D85" s="818" t="s">
        <v>665</v>
      </c>
      <c r="E85" s="895">
        <v>0.5</v>
      </c>
      <c r="F85" s="882">
        <v>80</v>
      </c>
    </row>
    <row r="86" spans="1:6" s="878" customFormat="1" ht="36">
      <c r="A86" s="882">
        <v>26</v>
      </c>
      <c r="B86" s="3326"/>
      <c r="C86" s="818" t="s">
        <v>666</v>
      </c>
      <c r="D86" s="818" t="s">
        <v>667</v>
      </c>
      <c r="E86" s="895">
        <v>0.2</v>
      </c>
      <c r="F86" s="882">
        <v>30</v>
      </c>
    </row>
    <row r="87" spans="1:6" s="878" customFormat="1" ht="36">
      <c r="A87" s="882">
        <v>27</v>
      </c>
      <c r="B87" s="3326"/>
      <c r="C87" s="818" t="s">
        <v>668</v>
      </c>
      <c r="D87" s="818" t="s">
        <v>669</v>
      </c>
      <c r="E87" s="895">
        <v>0.2</v>
      </c>
      <c r="F87" s="882">
        <v>30</v>
      </c>
    </row>
    <row r="88" spans="1:6" s="878" customFormat="1" ht="36">
      <c r="A88" s="882">
        <v>28</v>
      </c>
      <c r="B88" s="3326"/>
      <c r="C88" s="818" t="s">
        <v>670</v>
      </c>
      <c r="D88" s="818" t="s">
        <v>671</v>
      </c>
      <c r="E88" s="895">
        <v>0.2</v>
      </c>
      <c r="F88" s="882">
        <v>30</v>
      </c>
    </row>
    <row r="89" spans="1:6" s="878" customFormat="1" ht="24">
      <c r="A89" s="882">
        <v>29</v>
      </c>
      <c r="B89" s="3326"/>
      <c r="C89" s="818" t="s">
        <v>672</v>
      </c>
      <c r="D89" s="818" t="s">
        <v>673</v>
      </c>
      <c r="E89" s="895">
        <v>0.2</v>
      </c>
      <c r="F89" s="882">
        <v>30</v>
      </c>
    </row>
    <row r="90" spans="1:6" s="878" customFormat="1" ht="24">
      <c r="A90" s="882">
        <v>30</v>
      </c>
      <c r="B90" s="3326"/>
      <c r="C90" s="818" t="s">
        <v>674</v>
      </c>
      <c r="D90" s="818" t="s">
        <v>675</v>
      </c>
      <c r="E90" s="895">
        <v>0.2</v>
      </c>
      <c r="F90" s="882">
        <v>30</v>
      </c>
    </row>
    <row r="91" spans="1:6" s="878" customFormat="1" ht="36">
      <c r="A91" s="882">
        <v>31</v>
      </c>
      <c r="B91" s="3326"/>
      <c r="C91" s="818" t="s">
        <v>676</v>
      </c>
      <c r="D91" s="818" t="s">
        <v>677</v>
      </c>
      <c r="E91" s="895">
        <v>0.2</v>
      </c>
      <c r="F91" s="882">
        <v>30</v>
      </c>
    </row>
    <row r="92" spans="1:6" s="878" customFormat="1" ht="24">
      <c r="A92" s="882">
        <v>32</v>
      </c>
      <c r="B92" s="3326" t="s">
        <v>678</v>
      </c>
      <c r="C92" s="882" t="s">
        <v>679</v>
      </c>
      <c r="D92" s="818" t="s">
        <v>680</v>
      </c>
      <c r="E92" s="895">
        <v>0.2</v>
      </c>
      <c r="F92" s="882">
        <v>30</v>
      </c>
    </row>
    <row r="93" spans="1:6" s="878" customFormat="1" ht="36">
      <c r="A93" s="882">
        <v>33</v>
      </c>
      <c r="B93" s="3326"/>
      <c r="C93" s="882" t="s">
        <v>681</v>
      </c>
      <c r="D93" s="818" t="s">
        <v>682</v>
      </c>
      <c r="E93" s="895">
        <v>0.2</v>
      </c>
      <c r="F93" s="882">
        <v>30</v>
      </c>
    </row>
    <row r="94" spans="1:6" s="878" customFormat="1" ht="48">
      <c r="A94" s="882">
        <v>34</v>
      </c>
      <c r="B94" s="3326"/>
      <c r="C94" s="882" t="s">
        <v>683</v>
      </c>
      <c r="D94" s="818" t="s">
        <v>684</v>
      </c>
      <c r="E94" s="895">
        <v>0.2</v>
      </c>
      <c r="F94" s="882">
        <v>30</v>
      </c>
    </row>
    <row r="95" spans="1:6" s="878" customFormat="1" ht="36">
      <c r="A95" s="882">
        <v>35</v>
      </c>
      <c r="B95" s="3326"/>
      <c r="C95" s="882" t="s">
        <v>685</v>
      </c>
      <c r="D95" s="818" t="s">
        <v>686</v>
      </c>
      <c r="E95" s="895">
        <v>0.2</v>
      </c>
      <c r="F95" s="882">
        <v>30</v>
      </c>
    </row>
    <row r="96" spans="1:6" s="878" customFormat="1" ht="48">
      <c r="A96" s="882">
        <v>36</v>
      </c>
      <c r="B96" s="3326"/>
      <c r="C96" s="818" t="s">
        <v>687</v>
      </c>
      <c r="D96" s="818" t="s">
        <v>688</v>
      </c>
      <c r="E96" s="895">
        <v>0.2</v>
      </c>
      <c r="F96" s="882">
        <v>30</v>
      </c>
    </row>
    <row r="97" spans="1:6" s="878" customFormat="1" ht="36">
      <c r="A97" s="882">
        <v>37</v>
      </c>
      <c r="B97" s="3326"/>
      <c r="C97" s="882" t="s">
        <v>689</v>
      </c>
      <c r="D97" s="818" t="s">
        <v>690</v>
      </c>
      <c r="E97" s="895">
        <v>0.2</v>
      </c>
      <c r="F97" s="882">
        <v>30</v>
      </c>
    </row>
    <row r="98" spans="1:6" s="878" customFormat="1" ht="36">
      <c r="A98" s="882">
        <v>38</v>
      </c>
      <c r="B98" s="3326"/>
      <c r="C98" s="882" t="s">
        <v>691</v>
      </c>
      <c r="D98" s="818" t="s">
        <v>692</v>
      </c>
      <c r="E98" s="895">
        <v>0.2</v>
      </c>
      <c r="F98" s="882">
        <v>30</v>
      </c>
    </row>
    <row r="99" spans="1:6" s="878" customFormat="1" ht="36">
      <c r="A99" s="882">
        <v>39</v>
      </c>
      <c r="B99" s="3326" t="s">
        <v>693</v>
      </c>
      <c r="C99" s="882" t="s">
        <v>694</v>
      </c>
      <c r="D99" s="818" t="s">
        <v>695</v>
      </c>
      <c r="E99" s="895">
        <v>0.3</v>
      </c>
      <c r="F99" s="882">
        <v>50</v>
      </c>
    </row>
    <row r="100" spans="1:6" s="878" customFormat="1" ht="24">
      <c r="A100" s="882">
        <v>40</v>
      </c>
      <c r="B100" s="3326"/>
      <c r="C100" s="882" t="s">
        <v>696</v>
      </c>
      <c r="D100" s="818" t="s">
        <v>697</v>
      </c>
      <c r="E100" s="895">
        <v>0.2</v>
      </c>
      <c r="F100" s="882">
        <v>30</v>
      </c>
    </row>
    <row r="101" spans="1:6" s="878" customFormat="1" ht="36">
      <c r="A101" s="882">
        <v>41</v>
      </c>
      <c r="B101" s="332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6" t="s">
        <v>708</v>
      </c>
      <c r="C105" s="882" t="s">
        <v>709</v>
      </c>
      <c r="D105" s="818" t="s">
        <v>710</v>
      </c>
      <c r="E105" s="895">
        <v>0.2</v>
      </c>
      <c r="F105" s="882">
        <v>30</v>
      </c>
    </row>
    <row r="106" spans="1:6" s="878" customFormat="1" ht="36">
      <c r="A106" s="882">
        <v>46</v>
      </c>
      <c r="B106" s="3326"/>
      <c r="C106" s="882" t="s">
        <v>711</v>
      </c>
      <c r="D106" s="818" t="s">
        <v>712</v>
      </c>
      <c r="E106" s="895">
        <v>0.2</v>
      </c>
      <c r="F106" s="882">
        <v>30</v>
      </c>
    </row>
    <row r="107" spans="1:6" s="878" customFormat="1" ht="36">
      <c r="A107" s="882">
        <v>47</v>
      </c>
      <c r="B107" s="3326" t="s">
        <v>713</v>
      </c>
      <c r="C107" s="882" t="s">
        <v>714</v>
      </c>
      <c r="D107" s="818" t="s">
        <v>715</v>
      </c>
      <c r="E107" s="895">
        <v>0.3</v>
      </c>
      <c r="F107" s="882">
        <v>50</v>
      </c>
    </row>
    <row r="108" spans="1:6" s="878" customFormat="1" ht="36">
      <c r="A108" s="882">
        <v>48</v>
      </c>
      <c r="B108" s="332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6" t="s">
        <v>724</v>
      </c>
      <c r="C111" s="882" t="s">
        <v>725</v>
      </c>
      <c r="D111" s="818" t="s">
        <v>726</v>
      </c>
      <c r="E111" s="895">
        <v>0.2</v>
      </c>
      <c r="F111" s="882">
        <v>30</v>
      </c>
    </row>
    <row r="112" spans="1:6" s="878" customFormat="1" ht="24">
      <c r="A112" s="882">
        <v>52</v>
      </c>
      <c r="B112" s="3326"/>
      <c r="C112" s="882" t="s">
        <v>727</v>
      </c>
      <c r="D112" s="818" t="s">
        <v>728</v>
      </c>
      <c r="E112" s="895">
        <v>0.2</v>
      </c>
      <c r="F112" s="882">
        <v>30</v>
      </c>
    </row>
    <row r="113" spans="1:6" s="878" customFormat="1" ht="24">
      <c r="A113" s="882">
        <v>53</v>
      </c>
      <c r="B113" s="332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6" t="s">
        <v>737</v>
      </c>
      <c r="C116" s="882" t="s">
        <v>738</v>
      </c>
      <c r="D116" s="818" t="s">
        <v>739</v>
      </c>
      <c r="E116" s="895">
        <v>0.2</v>
      </c>
      <c r="F116" s="882">
        <v>30</v>
      </c>
    </row>
    <row r="117" spans="1:6" ht="36">
      <c r="A117" s="882">
        <v>57</v>
      </c>
      <c r="B117" s="332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0"/>
      <c r="B4" s="3012" t="s">
        <v>1624</v>
      </c>
      <c r="C4" s="3012"/>
      <c r="D4" s="3012"/>
      <c r="E4" s="1960"/>
    </row>
    <row r="5" spans="1:5" ht="16.5" thickTop="1">
      <c r="A5" s="1958"/>
      <c r="B5" s="3010" t="s">
        <v>1616</v>
      </c>
      <c r="C5" s="1961" t="s">
        <v>1617</v>
      </c>
      <c r="D5" s="1040">
        <f ca="1">结果表!H101</f>
        <v>2386</v>
      </c>
      <c r="E5" s="1958"/>
    </row>
    <row r="6" spans="1:5" ht="15.75">
      <c r="A6" s="1958"/>
      <c r="B6" s="3010"/>
      <c r="C6" s="1961" t="s">
        <v>1618</v>
      </c>
      <c r="D6" s="1040" t="str">
        <f ca="1">NUMBERSTRING(INT(D5*10000),2)&amp;"元整"</f>
        <v>贰仟叁佰捌拾陆万元整</v>
      </c>
      <c r="E6" s="1958"/>
    </row>
    <row r="7" spans="1:5" ht="15.75">
      <c r="A7" s="1958"/>
      <c r="B7" s="3015"/>
      <c r="C7" s="1962" t="s">
        <v>1619</v>
      </c>
      <c r="D7" s="1041">
        <f ca="1">结果表!H102</f>
        <v>47809</v>
      </c>
      <c r="E7" s="1958"/>
    </row>
    <row r="8" spans="1:5" ht="15.75">
      <c r="A8" s="1958"/>
      <c r="B8" s="3016" t="str">
        <f>结果表!E103</f>
        <v>2.估价师知悉的法定优先受偿款</v>
      </c>
      <c r="C8" s="1963" t="s">
        <v>1620</v>
      </c>
      <c r="D8" s="1041">
        <f>结果表!H103</f>
        <v>0</v>
      </c>
      <c r="E8" s="1958"/>
    </row>
    <row r="9" spans="1:5" ht="15.75">
      <c r="A9" s="1958"/>
      <c r="B9" s="301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09" t="str">
        <f>结果表!E107</f>
        <v>3.房地产抵押价值</v>
      </c>
      <c r="C13" s="1966" t="s">
        <v>1617</v>
      </c>
      <c r="D13" s="1043">
        <f ca="1">结果表!H107</f>
        <v>2386</v>
      </c>
      <c r="E13" s="1958"/>
    </row>
    <row r="14" spans="1:5" ht="15.75">
      <c r="A14" s="1958"/>
      <c r="B14" s="3010"/>
      <c r="C14" s="1961" t="s">
        <v>1618</v>
      </c>
      <c r="D14" s="1040" t="str">
        <f ca="1">NUMBERSTRING(INT(D13*10000),2)&amp;"元整"</f>
        <v>贰仟叁佰捌拾陆万元整</v>
      </c>
      <c r="E14" s="1958"/>
    </row>
    <row r="15" spans="1:5" ht="15">
      <c r="A15" s="1958"/>
      <c r="B15" s="3015"/>
      <c r="C15" s="1962" t="s">
        <v>1628</v>
      </c>
      <c r="D15" s="1052">
        <f ca="1">结果表!H108</f>
        <v>47809</v>
      </c>
      <c r="E15" s="1958"/>
    </row>
    <row r="16" spans="1:5" ht="15">
      <c r="A16" s="1958"/>
      <c r="B16" s="3016" t="str">
        <f>结果表!E109</f>
        <v>——</v>
      </c>
      <c r="C16" s="1966" t="s">
        <v>1629</v>
      </c>
      <c r="D16" s="1967" t="str">
        <f>结果表!H109</f>
        <v>——</v>
      </c>
      <c r="E16" s="1958"/>
    </row>
    <row r="17" spans="1:5" ht="15.75">
      <c r="A17" s="1958"/>
      <c r="B17" s="3017"/>
      <c r="C17" s="1961" t="s">
        <v>1630</v>
      </c>
      <c r="D17" s="1040" t="e">
        <f>NUMBERSTRING(INT(D16*10000),2)&amp;"元整"</f>
        <v>#VALUE!</v>
      </c>
      <c r="E17" s="1958"/>
    </row>
    <row r="18" spans="1:5" ht="15">
      <c r="A18" s="1958"/>
      <c r="B18" s="3018"/>
      <c r="C18" s="1962" t="s">
        <v>1619</v>
      </c>
      <c r="D18" s="1052" t="str">
        <f>结果表!H110</f>
        <v>——</v>
      </c>
      <c r="E18" s="1958"/>
    </row>
    <row r="19" spans="1:5" ht="15.75">
      <c r="A19" s="1958"/>
      <c r="B19" s="3009" t="str">
        <f>结果表!E111</f>
        <v>——</v>
      </c>
      <c r="C19" s="1966" t="s">
        <v>1617</v>
      </c>
      <c r="D19" s="1041" t="str">
        <f>结果表!H111</f>
        <v>——</v>
      </c>
      <c r="E19" s="1958"/>
    </row>
    <row r="20" spans="1:5" ht="15.75">
      <c r="A20" s="1958"/>
      <c r="B20" s="3010"/>
      <c r="C20" s="1961" t="s">
        <v>1630</v>
      </c>
      <c r="D20" s="1040" t="e">
        <f>NUMBERSTRING(INT(D19*10000),2)&amp;"元整"</f>
        <v>#VALUE!</v>
      </c>
      <c r="E20" s="1958"/>
    </row>
    <row r="21" spans="1:5" ht="15.75" thickBot="1">
      <c r="A21" s="1958"/>
      <c r="B21" s="3011"/>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3002</v>
      </c>
    </row>
    <row r="2" spans="1:5" ht="15.75">
      <c r="A2" s="2904" t="s">
        <v>2994</v>
      </c>
      <c r="B2" s="2905" t="e">
        <f ca="1">SUMIF(B6:B13,"&lt;&gt;#ref!",B6:B13)</f>
        <v>#DIV/0!</v>
      </c>
      <c r="C2" s="2904" t="s">
        <v>2995</v>
      </c>
      <c r="D2" s="2904" t="s">
        <v>2996</v>
      </c>
      <c r="E2" s="2905">
        <f ca="1">SUMIF(E6:E13,"&lt;&gt;#ref!",E6:E13)</f>
        <v>0</v>
      </c>
    </row>
    <row r="3" spans="1:5" ht="15.75">
      <c r="A3" s="2904" t="s">
        <v>2997</v>
      </c>
      <c r="B3" s="2905" t="e">
        <f ca="1">ROUND(B2*10000/E2,0)</f>
        <v>#DIV/0!</v>
      </c>
      <c r="C3" s="2904" t="s">
        <v>3003</v>
      </c>
      <c r="D3" s="2906"/>
      <c r="E3" s="2906"/>
    </row>
    <row r="4" spans="1:5" ht="15.75">
      <c r="A4" s="2907"/>
      <c r="B4" s="2906"/>
      <c r="C4" s="2906"/>
      <c r="D4" s="2906"/>
      <c r="E4" s="2906"/>
    </row>
    <row r="5" spans="1:5" ht="28.5">
      <c r="A5" s="2908" t="s">
        <v>2998</v>
      </c>
      <c r="B5" s="2904" t="s">
        <v>2999</v>
      </c>
      <c r="C5" s="2905"/>
      <c r="D5" s="2906"/>
      <c r="E5" s="2904" t="s">
        <v>3000</v>
      </c>
    </row>
    <row r="6" spans="1:5" ht="15.75">
      <c r="A6" s="2909" t="s">
        <v>3001</v>
      </c>
      <c r="B6" s="2905" t="e">
        <f ca="1">SUMIF(INDIRECT("'"&amp;A6&amp;"'"&amp;"!A:A"),"总价",INDIRECT("'"&amp;A6&amp;"'"&amp;"!B:B"))</f>
        <v>#DIV/0!</v>
      </c>
      <c r="C6" s="2904" t="s">
        <v>2995</v>
      </c>
      <c r="D6" s="2906"/>
      <c r="E6" s="2577">
        <f ca="1">SUMIF(INDIRECT("'"&amp;A6&amp;"'"&amp;"!C:C"),"建筑面积",INDIRECT("'"&amp;A6&amp;"'"&amp;"!D:D"))</f>
        <v>0</v>
      </c>
    </row>
    <row r="7" spans="1:5" ht="15.75">
      <c r="A7" s="2909"/>
      <c r="B7" s="2905" t="e">
        <f ca="1">SUMIF(INDIRECT("'"&amp;A7&amp;"'"&amp;"!A:A"),"总价",INDIRECT("'"&amp;A7&amp;"'"&amp;"!B:B"))</f>
        <v>#REF!</v>
      </c>
      <c r="C7" s="2904" t="s">
        <v>2995</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2995</v>
      </c>
      <c r="D8" s="2906"/>
      <c r="E8" s="2577" t="e">
        <f t="shared" ca="1" si="0"/>
        <v>#REF!</v>
      </c>
    </row>
    <row r="9" spans="1:5" ht="15.75">
      <c r="A9" s="2909"/>
      <c r="B9" s="2905" t="e">
        <f t="shared" ca="1" si="1"/>
        <v>#REF!</v>
      </c>
      <c r="C9" s="2904" t="s">
        <v>2995</v>
      </c>
      <c r="D9" s="2906"/>
      <c r="E9" s="2577" t="e">
        <f t="shared" ca="1" si="0"/>
        <v>#REF!</v>
      </c>
    </row>
    <row r="10" spans="1:5" ht="15.75">
      <c r="A10" s="2909"/>
      <c r="B10" s="2905" t="e">
        <f t="shared" ca="1" si="1"/>
        <v>#REF!</v>
      </c>
      <c r="C10" s="2904" t="s">
        <v>2995</v>
      </c>
      <c r="D10" s="2906"/>
      <c r="E10" s="2577" t="e">
        <f t="shared" ca="1" si="0"/>
        <v>#REF!</v>
      </c>
    </row>
    <row r="11" spans="1:5" ht="15.75">
      <c r="A11" s="2909"/>
      <c r="B11" s="2905" t="e">
        <f t="shared" ca="1" si="1"/>
        <v>#REF!</v>
      </c>
      <c r="C11" s="2904" t="s">
        <v>2995</v>
      </c>
      <c r="D11" s="2906"/>
      <c r="E11" s="2577" t="e">
        <f t="shared" ca="1" si="0"/>
        <v>#REF!</v>
      </c>
    </row>
    <row r="12" spans="1:5" ht="15.75">
      <c r="A12" s="2909"/>
      <c r="B12" s="2905" t="e">
        <f t="shared" ca="1" si="1"/>
        <v>#REF!</v>
      </c>
      <c r="C12" s="2904" t="s">
        <v>2995</v>
      </c>
      <c r="D12" s="2906"/>
      <c r="E12" s="2577" t="e">
        <f t="shared" ca="1" si="0"/>
        <v>#REF!</v>
      </c>
    </row>
    <row r="13" spans="1:5" ht="15.7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2" t="s">
        <v>1145</v>
      </c>
      <c r="C1" s="3332"/>
      <c r="D1" s="3332"/>
      <c r="E1" s="3332"/>
      <c r="F1" s="3332"/>
      <c r="G1" s="3328" t="s">
        <v>1146</v>
      </c>
      <c r="H1" s="3328"/>
      <c r="I1" s="3328"/>
      <c r="J1" s="3328"/>
      <c r="K1" s="3328"/>
      <c r="L1" s="3328"/>
      <c r="N1" s="3328" t="s">
        <v>1147</v>
      </c>
      <c r="O1" s="3328"/>
      <c r="P1" s="3328"/>
      <c r="Q1" s="3328"/>
      <c r="R1" s="1446"/>
      <c r="S1" s="3328" t="s">
        <v>1148</v>
      </c>
      <c r="T1" s="3328"/>
      <c r="U1" s="3328"/>
      <c r="V1" s="3328"/>
      <c r="X1" s="3327" t="s">
        <v>1149</v>
      </c>
      <c r="Y1" s="3328"/>
      <c r="Z1" s="3328"/>
      <c r="AA1" s="3328"/>
      <c r="AB1" s="3328"/>
      <c r="AD1" s="3327" t="s">
        <v>1150</v>
      </c>
      <c r="AE1" s="3328"/>
      <c r="AF1" s="3328"/>
      <c r="AG1" s="3328"/>
      <c r="AH1" s="332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3036</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3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3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3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33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3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3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3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3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3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3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3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3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3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3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3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3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3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3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3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3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3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3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3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3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3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3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3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3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3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3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3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3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3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3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3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3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3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3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3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3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3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3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3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3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3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3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3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3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3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7" sqref="K37"/>
    </sheetView>
  </sheetViews>
  <sheetFormatPr defaultRowHeight="13.5"/>
  <sheetData/>
  <phoneticPr fontId="14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4" sqref="K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27</v>
      </c>
      <c r="D1" s="1820" t="s">
        <v>70</v>
      </c>
      <c r="E1" s="1821" t="s">
        <v>1381</v>
      </c>
      <c r="F1" s="1283">
        <f ca="1">J53</f>
        <v>50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309</v>
      </c>
      <c r="C2" s="1845" t="s">
        <v>1510</v>
      </c>
      <c r="D2" s="1845"/>
      <c r="E2" s="1846"/>
      <c r="F2" s="1847"/>
      <c r="G2" s="1848"/>
      <c r="H2" s="1840"/>
      <c r="I2" s="1840"/>
      <c r="J2" s="1840"/>
      <c r="K2" s="1841"/>
      <c r="L2" s="1840"/>
      <c r="M2" s="1840"/>
    </row>
    <row r="3" spans="1:37" ht="18" customHeight="1" thickBot="1">
      <c r="A3" s="1849" t="s">
        <v>1511</v>
      </c>
      <c r="B3" s="1850">
        <f ca="1">IF(ISERROR(B2*10000/F43),0,ROUND(B2*10000/F43,0))</f>
        <v>55716</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15</v>
      </c>
      <c r="D5" s="1822" t="s">
        <v>1396</v>
      </c>
      <c r="E5" s="1293"/>
      <c r="F5" s="1294"/>
      <c r="G5" s="1851"/>
      <c r="H5" s="344">
        <v>1</v>
      </c>
      <c r="I5" s="345" t="s">
        <v>1395</v>
      </c>
      <c r="J5" s="1292">
        <f ca="1">J6+J10+J12</f>
        <v>0</v>
      </c>
      <c r="K5" s="1822" t="s">
        <v>1396</v>
      </c>
      <c r="L5" s="1293"/>
      <c r="M5" s="1294"/>
    </row>
    <row r="6" spans="1:37" ht="18" customHeight="1">
      <c r="A6" s="1291" t="s">
        <v>1031</v>
      </c>
      <c r="B6" s="3244" t="s">
        <v>1397</v>
      </c>
      <c r="C6" s="1296">
        <f ca="1">ROUND(F6*F8*F7*(1-F9)/10000,0)</f>
        <v>15</v>
      </c>
      <c r="D6" s="164" t="s">
        <v>3030</v>
      </c>
      <c r="E6" s="347" t="s">
        <v>1399</v>
      </c>
      <c r="F6" s="348">
        <f ca="1">INDIRECT("'数据-取费表'!u"&amp;$G$1)</f>
        <v>8</v>
      </c>
      <c r="G6" s="1851"/>
      <c r="H6" s="1291" t="s">
        <v>1031</v>
      </c>
      <c r="I6" s="3244" t="s">
        <v>1397</v>
      </c>
      <c r="J6" s="346">
        <f ca="1">ROUND(M6*M8*M7*(1-M9)/10000,0)</f>
        <v>0</v>
      </c>
      <c r="K6" s="164" t="s">
        <v>3029</v>
      </c>
      <c r="L6" s="347" t="s">
        <v>1399</v>
      </c>
      <c r="M6" s="348">
        <f ca="1">INDIRECT("'数据-取费表'!z"&amp;$G$1)</f>
        <v>0</v>
      </c>
    </row>
    <row r="7" spans="1:37" ht="18" customHeight="1">
      <c r="A7" s="1295"/>
      <c r="B7" s="3245"/>
      <c r="C7" s="1297"/>
      <c r="D7" s="352"/>
      <c r="E7" s="2962" t="s">
        <v>1400</v>
      </c>
      <c r="F7" s="348">
        <f ca="1">IF(INDIRECT("'数据-取费表'!ah"&amp;$G$1)="",INDIRECT("'数据-取费表'!k"&amp;$G$1),INDIRECT("'数据-取费表'!ah"&amp;$G$1))</f>
        <v>55.46</v>
      </c>
      <c r="G7" s="1851"/>
      <c r="H7" s="349"/>
      <c r="I7" s="3245"/>
      <c r="J7" s="351"/>
      <c r="K7" s="352"/>
      <c r="L7" s="347" t="s">
        <v>1400</v>
      </c>
      <c r="M7" s="348">
        <f ca="1">F7</f>
        <v>55.46</v>
      </c>
    </row>
    <row r="8" spans="1:37" ht="18" customHeight="1">
      <c r="A8" s="349"/>
      <c r="B8" s="3245"/>
      <c r="C8" s="351"/>
      <c r="D8" s="352"/>
      <c r="E8" s="347" t="s">
        <v>1401</v>
      </c>
      <c r="F8" s="348">
        <f ca="1">INDIRECT("'数据-取费表'!ai"&amp;$G$1)</f>
        <v>365</v>
      </c>
      <c r="G8" s="1851"/>
      <c r="H8" s="349"/>
      <c r="I8" s="3245"/>
      <c r="J8" s="351"/>
      <c r="K8" s="352"/>
      <c r="L8" s="347" t="s">
        <v>1401</v>
      </c>
      <c r="M8" s="348">
        <f ca="1">INDIRECT("'数据-取费表'!ai"&amp;$G$1)</f>
        <v>365</v>
      </c>
    </row>
    <row r="9" spans="1:37" ht="18" customHeight="1">
      <c r="A9" s="349"/>
      <c r="B9" s="3246"/>
      <c r="C9" s="351"/>
      <c r="D9" s="352"/>
      <c r="E9" s="347" t="s">
        <v>1402</v>
      </c>
      <c r="F9" s="357">
        <f ca="1">INDIRECT("'数据-取费表'!w"&amp;$G$1)</f>
        <v>0.1</v>
      </c>
      <c r="G9" s="1851"/>
      <c r="H9" s="349"/>
      <c r="I9" s="32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3116</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23</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22</v>
      </c>
      <c r="D14" s="2971" t="s">
        <v>1412</v>
      </c>
      <c r="E14" s="2970"/>
      <c r="F14" s="364"/>
      <c r="G14" s="1851"/>
      <c r="H14" s="1201" t="s">
        <v>1031</v>
      </c>
      <c r="I14" s="347" t="s">
        <v>1413</v>
      </c>
      <c r="J14" s="24">
        <f ca="1">C29</f>
        <v>29</v>
      </c>
      <c r="K14" s="2961"/>
      <c r="L14" s="979"/>
      <c r="M14" s="980"/>
    </row>
    <row r="15" spans="1:37" s="1858" customFormat="1" ht="18" customHeight="1" thickBot="1">
      <c r="A15" s="1201" t="s">
        <v>1032</v>
      </c>
      <c r="B15" s="347" t="s">
        <v>1414</v>
      </c>
      <c r="C15" s="24">
        <f ca="1">ROUND(C14*F15,0)</f>
        <v>1</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3</v>
      </c>
      <c r="K16" s="1337" t="s">
        <v>1419</v>
      </c>
      <c r="L16" s="2974"/>
      <c r="M16" s="1294"/>
    </row>
    <row r="17" spans="1:37" s="1858" customFormat="1" ht="18" customHeight="1">
      <c r="A17" s="1201" t="s">
        <v>1384</v>
      </c>
      <c r="B17" s="347" t="s">
        <v>1420</v>
      </c>
      <c r="C17" s="24">
        <f ca="1">ROUND(F17*(F43+INDIRECT("'数据-取费表'!S"&amp;$G$1))/10000,0)</f>
        <v>1</v>
      </c>
      <c r="D17" s="347" t="s">
        <v>1421</v>
      </c>
      <c r="E17" s="347" t="s">
        <v>1422</v>
      </c>
      <c r="F17" s="26">
        <f>'数据-取费表'!B35</f>
        <v>200</v>
      </c>
      <c r="G17" s="1854"/>
      <c r="H17" s="1201" t="s">
        <v>1031</v>
      </c>
      <c r="I17" s="347" t="s">
        <v>1423</v>
      </c>
      <c r="J17" s="24">
        <f ca="1">ROUND(IF(项目基本情况!B11="自然人",J6*M17/(1+'数据-取费表'!C42),J18+J19+J20),1)</f>
        <v>2.7</v>
      </c>
      <c r="K17" s="2971" t="s">
        <v>1424</v>
      </c>
      <c r="L17" s="2973"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2973"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24</v>
      </c>
      <c r="D19" s="140" t="s">
        <v>1430</v>
      </c>
      <c r="E19" s="2959"/>
      <c r="F19" s="26"/>
      <c r="G19" s="1851"/>
      <c r="H19" s="1201" t="s">
        <v>1032</v>
      </c>
      <c r="I19" s="347" t="s">
        <v>1431</v>
      </c>
      <c r="J19" s="24">
        <f ca="1">IF(K19="按租金收入计税",ROUND(J6*M19/(1+'数据-取费表'!C42),2),ROUND(C29*M19*0.7,2))</f>
        <v>0.24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2.42</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1616.12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9"/>
      <c r="F22" s="26"/>
      <c r="G22" s="1851"/>
      <c r="H22" s="1201" t="s">
        <v>1035</v>
      </c>
      <c r="I22" s="347" t="s">
        <v>1443</v>
      </c>
      <c r="J22" s="24">
        <f ca="1">ROUND(J14*M22,1)</f>
        <v>0.4</v>
      </c>
      <c r="K22" s="2973"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73"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9"/>
      <c r="F25" s="26"/>
      <c r="G25" s="1851"/>
      <c r="H25" s="1329" t="s">
        <v>1027</v>
      </c>
      <c r="I25" s="1344" t="s">
        <v>1457</v>
      </c>
      <c r="J25" s="355">
        <f ca="1">J5-J16</f>
        <v>-3</v>
      </c>
      <c r="K25" s="1345" t="s">
        <v>1458</v>
      </c>
      <c r="L25" s="1346"/>
      <c r="M25" s="1347"/>
    </row>
    <row r="26" spans="1:37">
      <c r="A26" s="1201" t="s">
        <v>1030</v>
      </c>
      <c r="B26" s="347" t="s">
        <v>1459</v>
      </c>
      <c r="C26" s="24">
        <f ca="1">ROUND((C19+C20)*F26,0)</f>
        <v>2</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29</v>
      </c>
      <c r="D29" s="1342"/>
      <c r="E29" s="1340"/>
      <c r="F29" s="1343"/>
      <c r="G29" s="1854"/>
      <c r="H29" s="380" t="s">
        <v>1029</v>
      </c>
      <c r="I29" s="381" t="s">
        <v>1473</v>
      </c>
      <c r="J29" s="382">
        <f ca="1">ROUND(J26/(1+F40)^F41,0)</f>
        <v>0</v>
      </c>
      <c r="K29" s="383" t="s">
        <v>1474</v>
      </c>
      <c r="L29" s="384"/>
      <c r="M29" s="385">
        <f ca="1">INDIRECT("'数据-取费表'!k"&amp;$G$1)</f>
        <v>55.46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6</v>
      </c>
      <c r="D30" s="1337" t="s">
        <v>1419</v>
      </c>
      <c r="E30" s="2974"/>
      <c r="F30" s="1294"/>
      <c r="G30" s="1851"/>
      <c r="H30" s="745"/>
      <c r="I30" s="746"/>
      <c r="J30" s="747"/>
      <c r="K30" s="748"/>
      <c r="L30" s="749"/>
      <c r="M30" s="750"/>
    </row>
    <row r="31" spans="1:37" ht="18" customHeight="1">
      <c r="A31" s="1201" t="s">
        <v>1031</v>
      </c>
      <c r="B31" s="347" t="s">
        <v>1423</v>
      </c>
      <c r="C31" s="24">
        <f ca="1">ROUND(IF(项目基本情况!B11="自然人",C6*F31/(1+'数据-取费表'!C42),C32+C33+C34),1)</f>
        <v>4.9000000000000004</v>
      </c>
      <c r="D31" s="2971" t="s">
        <v>1424</v>
      </c>
      <c r="E31" s="2973"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IF(项目基本情况!B11="自然人","——",ROUND(C6*F32/(1+'数据-取费表'!C42),2))</f>
        <v>0.8</v>
      </c>
      <c r="D32" s="2973"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1.71</v>
      </c>
      <c r="D33" s="1828" t="s">
        <v>3115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2.42</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1616.12</v>
      </c>
      <c r="G35" s="1851"/>
      <c r="H35" s="745"/>
      <c r="I35" s="1860"/>
      <c r="J35" s="1861"/>
      <c r="K35" s="1862"/>
      <c r="L35" s="1859"/>
      <c r="M35" s="1859"/>
    </row>
    <row r="36" spans="1:18" ht="18" customHeight="1">
      <c r="A36" s="1352" t="s">
        <v>1035</v>
      </c>
      <c r="B36" s="347" t="s">
        <v>1443</v>
      </c>
      <c r="C36" s="24">
        <f ca="1">ROUND(C29*F36,1)</f>
        <v>0.4</v>
      </c>
      <c r="D36" s="2973"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v>
      </c>
      <c r="D37" s="2973"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0.2</v>
      </c>
      <c r="D38" s="1342" t="s">
        <v>1453</v>
      </c>
      <c r="E38" s="1340" t="s">
        <v>1416</v>
      </c>
      <c r="F38" s="1336">
        <f ca="1">INDIRECT("'数据-取费表'!Am"&amp;$G$1)</f>
        <v>0.01</v>
      </c>
      <c r="G38" s="1851"/>
      <c r="H38" s="1859"/>
      <c r="I38" s="1860"/>
      <c r="J38" s="1861"/>
      <c r="K38" s="1865"/>
      <c r="L38" s="1859"/>
      <c r="M38" s="1859"/>
    </row>
    <row r="39" spans="1:18" ht="24.6" customHeight="1" thickTop="1">
      <c r="A39" s="1329" t="s">
        <v>1027</v>
      </c>
      <c r="B39" s="1344" t="s">
        <v>1457</v>
      </c>
      <c r="C39" s="355">
        <f ca="1">C5-C30</f>
        <v>9</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309</v>
      </c>
      <c r="D40" s="370" t="s">
        <v>1463</v>
      </c>
      <c r="E40" s="347" t="s">
        <v>1464</v>
      </c>
      <c r="F40" s="357">
        <f ca="1">INDIRECT("'数据-取费表'!I"&amp;$G$1)</f>
        <v>4.4999999999999998E-2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50</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55716</v>
      </c>
      <c r="D43" s="383" t="s">
        <v>1482</v>
      </c>
      <c r="E43" s="384" t="s">
        <v>1483</v>
      </c>
      <c r="F43" s="385">
        <f ca="1">INDIRECT("'数据-取费表'!k"&amp;$G$1)</f>
        <v>55.46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-408</v>
      </c>
      <c r="D46" s="1872" t="str">
        <f>C2</f>
        <v>万元</v>
      </c>
      <c r="E46" s="1866"/>
      <c r="F46" s="1866"/>
      <c r="I46" s="1873" t="s">
        <v>1515</v>
      </c>
      <c r="J46" s="1874"/>
      <c r="K46" s="1875"/>
      <c r="L46" s="1876">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3103</v>
      </c>
      <c r="K47" s="1882" t="s">
        <v>1521</v>
      </c>
      <c r="L47" s="1883">
        <f ca="1">INDIRECT("'数据-取费表'!d"&amp;$G$1)</f>
        <v>50</v>
      </c>
      <c r="M47" s="1838" t="str">
        <f>IF(ISNUMBER(FIND("住宅",C1)),"住宅","非住宅")</f>
        <v>非住宅</v>
      </c>
      <c r="O47" s="1884" t="s">
        <v>1036</v>
      </c>
      <c r="P47" s="1885" t="s">
        <v>1522</v>
      </c>
      <c r="Q47" s="1886">
        <f ca="1">C40+J29</f>
        <v>309</v>
      </c>
      <c r="R47" s="1886" t="s">
        <v>1523</v>
      </c>
    </row>
    <row r="48" spans="1:18" s="1842" customFormat="1" ht="28.5" thickBot="1">
      <c r="A48" s="1360" t="s">
        <v>1131</v>
      </c>
      <c r="B48" s="345" t="s">
        <v>1395</v>
      </c>
      <c r="C48" s="2958">
        <f ca="1">C49+C53+C55</f>
        <v>0</v>
      </c>
      <c r="D48" s="1362"/>
      <c r="E48" s="1363"/>
      <c r="F48" s="1181"/>
      <c r="G48" s="792"/>
      <c r="H48" s="793"/>
      <c r="I48" s="1887" t="s">
        <v>1524</v>
      </c>
      <c r="J48" s="1888" t="s">
        <v>3104</v>
      </c>
      <c r="K48" s="1889" t="s">
        <v>1525</v>
      </c>
      <c r="L48" s="1890">
        <f ca="1">INDIRECT("'数据-取费表'!f"&amp;$G$1)</f>
        <v>50</v>
      </c>
      <c r="O48" s="1884" t="s">
        <v>1037</v>
      </c>
      <c r="P48" s="1885" t="s">
        <v>1526</v>
      </c>
      <c r="Q48" s="1886">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c r="K49" s="1889" t="s">
        <v>1529</v>
      </c>
      <c r="L49" s="1893"/>
      <c r="O49" s="1894" t="s">
        <v>1038</v>
      </c>
      <c r="P49" s="1885" t="s">
        <v>1530</v>
      </c>
      <c r="Q49" s="1886">
        <f ca="1">C29</f>
        <v>29</v>
      </c>
      <c r="R49" s="1886" t="s">
        <v>1523</v>
      </c>
    </row>
    <row r="50" spans="1:18" s="1842" customFormat="1" ht="13.5" thickBot="1">
      <c r="A50" s="1195"/>
      <c r="B50" s="1198"/>
      <c r="C50" s="1368"/>
      <c r="D50" s="1172"/>
      <c r="E50" s="1277" t="s">
        <v>1400</v>
      </c>
      <c r="F50" s="1278">
        <f ca="1">F7</f>
        <v>55.46</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151</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50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50</v>
      </c>
      <c r="K53" s="3247" t="s">
        <v>1542</v>
      </c>
      <c r="L53" s="3248"/>
      <c r="O53" s="1884" t="s">
        <v>1042</v>
      </c>
      <c r="P53" s="1885" t="s">
        <v>1543</v>
      </c>
      <c r="Q53" s="1886">
        <f ca="1">Q47+Q48</f>
        <v>309</v>
      </c>
      <c r="R53" s="1886" t="s">
        <v>1043</v>
      </c>
    </row>
    <row r="54" spans="1:18" s="1842" customFormat="1" ht="13.5" thickBot="1">
      <c r="A54" s="1406"/>
      <c r="B54" s="1825" t="s">
        <v>1382</v>
      </c>
      <c r="C54" s="1178"/>
      <c r="D54" s="1824"/>
      <c r="E54" s="296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3"/>
      <c r="F55" s="1906"/>
      <c r="I55" s="1909" t="s">
        <v>1545</v>
      </c>
      <c r="J55" s="1910">
        <f ca="1">ROUND(IF(J47="钢混",J57/J50,1-(1-2%)*(J50-J57)/J50),3)</f>
        <v>0.16700000000000001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23</v>
      </c>
      <c r="D56" s="1913"/>
      <c r="E56" s="1914"/>
      <c r="F56" s="1906"/>
      <c r="I56" s="1915" t="s">
        <v>1548</v>
      </c>
      <c r="J56" s="1916" t="s">
        <v>3105</v>
      </c>
      <c r="K56" s="1887" t="s">
        <v>1549</v>
      </c>
      <c r="L56" s="1890" t="str">
        <f ca="1">IF(L48&lt;J51,"——",L48-J53)</f>
        <v>——</v>
      </c>
      <c r="O56" s="1884" t="s">
        <v>1036</v>
      </c>
      <c r="P56" s="1885" t="s">
        <v>1522</v>
      </c>
      <c r="Q56" s="1886">
        <f ca="1">C40+J29</f>
        <v>309</v>
      </c>
      <c r="R56" s="1886" t="s">
        <v>1523</v>
      </c>
    </row>
    <row r="57" spans="1:18" s="1842" customFormat="1" ht="24.75" thickBot="1">
      <c r="A57" s="1917"/>
      <c r="B57" s="1169" t="s">
        <v>1472</v>
      </c>
      <c r="C57" s="282">
        <f ca="1">C29</f>
        <v>29</v>
      </c>
      <c r="D57" s="1918"/>
      <c r="E57" s="1919"/>
      <c r="F57" s="1920"/>
      <c r="I57" s="1921" t="s">
        <v>1550</v>
      </c>
      <c r="J57" s="1922">
        <f ca="1">IF(OR(M47="住宅",J51&lt;L48,J56="是"),"——",J51-L48)</f>
        <v>10</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5</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4.9000000000000004</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12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2.44</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2.42</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309</v>
      </c>
      <c r="R62" s="1886" t="s">
        <v>1043</v>
      </c>
    </row>
    <row r="63" spans="1:18" s="1842" customFormat="1" ht="13.5" thickBot="1">
      <c r="A63" s="372"/>
      <c r="B63" s="1175"/>
      <c r="C63" s="29"/>
      <c r="D63" s="1185"/>
      <c r="E63" s="1169" t="s">
        <v>1441</v>
      </c>
      <c r="F63" s="348">
        <f t="shared" ca="1" si="0"/>
        <v>1616.12</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0.4</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1416</v>
      </c>
      <c r="F65" s="376">
        <f t="shared" ca="1" si="0"/>
        <v>1.5E-3</v>
      </c>
      <c r="I65" s="1928" t="s">
        <v>1573</v>
      </c>
      <c r="J65" s="1929">
        <v>40</v>
      </c>
      <c r="K65" s="1929">
        <v>30</v>
      </c>
      <c r="L65" s="1929">
        <v>50</v>
      </c>
      <c r="M65" s="1931">
        <v>0.02</v>
      </c>
      <c r="O65" s="1884" t="s">
        <v>1036</v>
      </c>
      <c r="P65" s="1885" t="s">
        <v>1522</v>
      </c>
      <c r="Q65" s="1886">
        <f ca="1">C40+J29</f>
        <v>309</v>
      </c>
      <c r="R65" s="1886" t="s">
        <v>1523</v>
      </c>
    </row>
    <row r="66" spans="1:18" s="1842" customFormat="1" ht="16.5"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-5</v>
      </c>
      <c r="D67" s="1182" t="s">
        <v>1458</v>
      </c>
      <c r="E67" s="1187"/>
      <c r="F67" s="1188"/>
      <c r="O67" s="1894" t="s">
        <v>1038</v>
      </c>
      <c r="P67" s="1885" t="s">
        <v>1556</v>
      </c>
      <c r="Q67" s="1932">
        <f ca="1">L51</f>
        <v>151</v>
      </c>
      <c r="R67" s="1886" t="s">
        <v>1576</v>
      </c>
    </row>
    <row r="68" spans="1:18" s="1842" customFormat="1" ht="16.5" thickBot="1">
      <c r="A68" s="1166" t="s">
        <v>1028</v>
      </c>
      <c r="B68" s="1167" t="s">
        <v>1479</v>
      </c>
      <c r="C68" s="346">
        <f ca="1">ROUND(C67*(1-((1+F70)/(1+F68))^F69)/(F68-F70),0)</f>
        <v>-99</v>
      </c>
      <c r="D68" s="1184" t="s">
        <v>1463</v>
      </c>
      <c r="E68" s="1169" t="s">
        <v>1464</v>
      </c>
      <c r="F68" s="357">
        <f ca="1">F40</f>
        <v>4.4999999999999998E-2</v>
      </c>
      <c r="O68" s="1894" t="s">
        <v>1039</v>
      </c>
      <c r="P68" s="1933" t="s">
        <v>1577</v>
      </c>
      <c r="Q68" s="1886">
        <f ca="1">ROUND(Q69-Q70*Q71,0)</f>
        <v>7</v>
      </c>
      <c r="R68" s="1886" t="s">
        <v>1047</v>
      </c>
    </row>
    <row r="69" spans="1:18" s="1842" customFormat="1" ht="13.5" thickBot="1">
      <c r="A69" s="1170"/>
      <c r="B69" s="1171"/>
      <c r="C69" s="351"/>
      <c r="D69" s="1189" t="s">
        <v>1467</v>
      </c>
      <c r="E69" s="1169" t="s">
        <v>1468</v>
      </c>
      <c r="F69" s="379">
        <f ca="1">F41</f>
        <v>50</v>
      </c>
      <c r="O69" s="1894" t="s">
        <v>1044</v>
      </c>
      <c r="P69" s="1933" t="s">
        <v>1578</v>
      </c>
      <c r="Q69" s="1886">
        <f ca="1">C39</f>
        <v>9</v>
      </c>
      <c r="R69" s="1886" t="s">
        <v>1523</v>
      </c>
    </row>
    <row r="70" spans="1:18" s="1842" customFormat="1" ht="13.5" thickBot="1">
      <c r="A70" s="1173"/>
      <c r="B70" s="1174"/>
      <c r="C70" s="355"/>
      <c r="D70" s="1185"/>
      <c r="E70" s="1169" t="s">
        <v>1471</v>
      </c>
      <c r="F70" s="1275"/>
      <c r="O70" s="1894" t="s">
        <v>1045</v>
      </c>
      <c r="P70" s="1933" t="s">
        <v>1579</v>
      </c>
      <c r="Q70" s="1886">
        <f ca="1">C13</f>
        <v>23</v>
      </c>
      <c r="R70" s="1886" t="s">
        <v>1523</v>
      </c>
    </row>
    <row r="71" spans="1:18" s="1842" customFormat="1" ht="13.5" thickBot="1">
      <c r="A71" s="1190" t="s">
        <v>1029</v>
      </c>
      <c r="B71" s="1191" t="s">
        <v>1481</v>
      </c>
      <c r="C71" s="382">
        <f ca="1">ROUND(C68*10000/F71,0)</f>
        <v>-17851</v>
      </c>
      <c r="D71" s="1192" t="s">
        <v>1482</v>
      </c>
      <c r="E71" s="1193" t="s">
        <v>1483</v>
      </c>
      <c r="F71" s="385">
        <f ca="1">F43</f>
        <v>55.46</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v>
      </c>
      <c r="D75" s="1842"/>
      <c r="E75" s="1842"/>
      <c r="F75" s="1842"/>
      <c r="K75" s="1868"/>
      <c r="L75" s="1842"/>
      <c r="O75" s="1884" t="s">
        <v>1042</v>
      </c>
      <c r="P75" s="1885" t="s">
        <v>1543</v>
      </c>
      <c r="Q75" s="1886">
        <f ca="1">Q65+Q66</f>
        <v>309</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0.77800000000000002</v>
      </c>
    </row>
    <row r="80" spans="1:18">
      <c r="B80" s="386" t="s">
        <v>1505</v>
      </c>
      <c r="C80" s="318">
        <f ca="1">ROUND(C75/C39,3)</f>
        <v>0.222</v>
      </c>
    </row>
    <row r="81" spans="2:3">
      <c r="B81" s="314" t="s">
        <v>1506</v>
      </c>
      <c r="C81" s="282"/>
    </row>
    <row r="82" spans="2:3">
      <c r="B82" s="317" t="s">
        <v>1507</v>
      </c>
      <c r="C82" s="319">
        <f ca="1">1-C83</f>
        <v>0.92600000000000005</v>
      </c>
    </row>
    <row r="83" spans="2:3">
      <c r="B83" s="317" t="s">
        <v>1508</v>
      </c>
      <c r="C83" s="318">
        <f ca="1">ROUND(C13/C40,3)</f>
        <v>7.3999999999999996E-2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8" t="s">
        <v>3005</v>
      </c>
      <c r="D1" s="3279"/>
      <c r="E1" s="3279"/>
      <c r="F1" s="3279"/>
      <c r="G1" s="3279"/>
      <c r="H1" s="3279"/>
      <c r="I1" s="3279"/>
      <c r="J1" s="3279"/>
      <c r="K1" s="3279"/>
      <c r="L1" s="3279"/>
      <c r="M1" s="3279"/>
      <c r="N1" s="3279"/>
      <c r="O1" s="3279"/>
      <c r="P1" s="3279"/>
      <c r="Q1" s="3279"/>
      <c r="R1" s="3279"/>
      <c r="S1" s="3280"/>
      <c r="T1" s="1204" t="s">
        <v>3006</v>
      </c>
    </row>
    <row r="2" spans="1:45" s="707" customFormat="1" ht="38.25">
      <c r="A2" s="1205"/>
      <c r="B2" s="703" t="s">
        <v>3007</v>
      </c>
      <c r="C2" s="704" t="str">
        <f t="shared" ref="C2:L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704">
        <v>150</v>
      </c>
      <c r="G3" s="1704">
        <v>200</v>
      </c>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v>92</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3014</v>
      </c>
      <c r="B17" s="2911"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3" t="s">
        <v>3018</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 ca="1">R22</f>
        <v>75063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14362.359999999961</v>
      </c>
      <c r="C22" s="3113" t="s">
        <v>33</v>
      </c>
      <c r="D22" s="3114"/>
      <c r="E22" s="3114"/>
      <c r="F22" s="3114"/>
      <c r="G22" s="3114"/>
      <c r="H22" s="3114"/>
      <c r="I22" s="3114"/>
      <c r="J22" s="3114"/>
      <c r="K22" s="3114"/>
      <c r="L22" s="3114"/>
      <c r="M22" s="3114"/>
      <c r="N22" s="3114"/>
      <c r="O22" s="3114"/>
      <c r="P22" s="3114"/>
      <c r="Q22" s="3281"/>
      <c r="R22" s="716">
        <f ca="1">ROUND(S22*10000/B22,0)</f>
        <v>75063</v>
      </c>
      <c r="S22" s="24">
        <f ca="1">SUM(S24:S10000)</f>
        <v>107808</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301</v>
      </c>
      <c r="B24" s="718">
        <f>'数据-基础表'!I13</f>
        <v>55.46</v>
      </c>
      <c r="C24" s="719">
        <v>1</v>
      </c>
      <c r="D24" s="720"/>
      <c r="E24" s="719">
        <v>1</v>
      </c>
      <c r="F24" s="720"/>
      <c r="G24" s="719">
        <v>1</v>
      </c>
      <c r="H24" s="720"/>
      <c r="I24" s="719">
        <v>1</v>
      </c>
      <c r="J24" s="720"/>
      <c r="K24" s="719">
        <v>1</v>
      </c>
      <c r="L24" s="720"/>
      <c r="M24" s="719">
        <v>1</v>
      </c>
      <c r="N24" s="720"/>
      <c r="O24" s="719">
        <v>1</v>
      </c>
      <c r="P24" s="720"/>
      <c r="Q24" s="719">
        <v>1</v>
      </c>
      <c r="R24" s="721">
        <f ca="1">'结果表 (办公)'!G20</f>
        <v>75356</v>
      </c>
      <c r="S24" s="719">
        <f t="shared" ref="S24:S54" ca="1" si="11">ROUND(R24*B24/10000,0)</f>
        <v>418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302</v>
      </c>
      <c r="B25" s="59">
        <v>53.04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75356</v>
      </c>
      <c r="S25" s="361">
        <f t="shared" ca="1" si="11"/>
        <v>400</v>
      </c>
    </row>
    <row r="26" spans="1:45">
      <c r="A26" s="159">
        <v>303</v>
      </c>
      <c r="B26" s="59">
        <v>63.92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75356</v>
      </c>
      <c r="S26" s="361">
        <f t="shared" ca="1" si="11"/>
        <v>482</v>
      </c>
    </row>
    <row r="27" spans="1:45">
      <c r="A27" s="159">
        <v>305</v>
      </c>
      <c r="B27" s="59">
        <v>63.71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75356</v>
      </c>
      <c r="S27" s="361">
        <f t="shared" ca="1" si="11"/>
        <v>480</v>
      </c>
    </row>
    <row r="28" spans="1:45">
      <c r="A28" s="159">
        <v>306</v>
      </c>
      <c r="B28" s="59">
        <v>64.39</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75356</v>
      </c>
      <c r="S28" s="361">
        <f t="shared" ca="1" si="11"/>
        <v>485</v>
      </c>
    </row>
    <row r="29" spans="1:45">
      <c r="A29" s="159">
        <v>307</v>
      </c>
      <c r="B29" s="59">
        <v>102.3</v>
      </c>
      <c r="C29" s="24">
        <f t="shared" si="12"/>
        <v>0.98</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73849</v>
      </c>
      <c r="S29" s="361">
        <f t="shared" ca="1" si="11"/>
        <v>755</v>
      </c>
    </row>
    <row r="30" spans="1:45">
      <c r="A30" s="159">
        <v>308</v>
      </c>
      <c r="B30" s="59">
        <v>62.25</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75356</v>
      </c>
      <c r="S30" s="361">
        <f t="shared" ca="1" si="11"/>
        <v>469</v>
      </c>
    </row>
    <row r="31" spans="1:45">
      <c r="A31" s="159">
        <v>501</v>
      </c>
      <c r="B31" s="59">
        <v>55.46</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75356</v>
      </c>
      <c r="S31" s="361">
        <f t="shared" ca="1" si="11"/>
        <v>418</v>
      </c>
    </row>
    <row r="32" spans="1:45">
      <c r="A32" s="159">
        <v>502</v>
      </c>
      <c r="B32" s="59">
        <v>53.04</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75356</v>
      </c>
      <c r="S32" s="361">
        <f t="shared" ca="1" si="11"/>
        <v>400</v>
      </c>
    </row>
    <row r="33" spans="1:19">
      <c r="A33" s="159">
        <v>503</v>
      </c>
      <c r="B33" s="59">
        <v>63.92</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75356</v>
      </c>
      <c r="S33" s="361">
        <f t="shared" ca="1" si="11"/>
        <v>482</v>
      </c>
    </row>
    <row r="34" spans="1:19">
      <c r="A34" s="159">
        <v>505</v>
      </c>
      <c r="B34" s="59">
        <v>63.71</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75356</v>
      </c>
      <c r="S34" s="361">
        <f t="shared" ca="1" si="11"/>
        <v>480</v>
      </c>
    </row>
    <row r="35" spans="1:19">
      <c r="A35" s="159">
        <v>506</v>
      </c>
      <c r="B35" s="59">
        <v>64.39</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75356</v>
      </c>
      <c r="S35" s="361">
        <f t="shared" ca="1" si="11"/>
        <v>485</v>
      </c>
    </row>
    <row r="36" spans="1:19">
      <c r="A36" s="159">
        <v>507</v>
      </c>
      <c r="B36" s="59">
        <v>102.3</v>
      </c>
      <c r="C36" s="24">
        <f t="shared" si="12"/>
        <v>0.98</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73849</v>
      </c>
      <c r="S36" s="361">
        <f t="shared" ca="1" si="11"/>
        <v>755</v>
      </c>
    </row>
    <row r="37" spans="1:19">
      <c r="A37" s="159">
        <v>508</v>
      </c>
      <c r="B37" s="59">
        <v>62.25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75356</v>
      </c>
      <c r="S37" s="361">
        <f t="shared" ca="1" si="11"/>
        <v>469</v>
      </c>
    </row>
    <row r="38" spans="1:19">
      <c r="A38" s="159">
        <v>601</v>
      </c>
      <c r="B38" s="59">
        <v>55.46</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75356</v>
      </c>
      <c r="S38" s="361">
        <f t="shared" ca="1" si="11"/>
        <v>418</v>
      </c>
    </row>
    <row r="39" spans="1:19">
      <c r="A39" s="159">
        <v>602</v>
      </c>
      <c r="B39" s="59">
        <v>53.04</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75356</v>
      </c>
      <c r="S39" s="361">
        <f t="shared" ca="1" si="11"/>
        <v>400</v>
      </c>
    </row>
    <row r="40" spans="1:19">
      <c r="A40" s="159">
        <v>603</v>
      </c>
      <c r="B40" s="59">
        <v>63.92</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75356</v>
      </c>
      <c r="S40" s="361">
        <f t="shared" ca="1" si="11"/>
        <v>482</v>
      </c>
    </row>
    <row r="41" spans="1:19">
      <c r="A41" s="159">
        <v>605</v>
      </c>
      <c r="B41" s="59">
        <v>63.71</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75356</v>
      </c>
      <c r="S41" s="361">
        <f t="shared" ca="1" si="11"/>
        <v>480</v>
      </c>
    </row>
    <row r="42" spans="1:19">
      <c r="A42" s="159">
        <v>606</v>
      </c>
      <c r="B42" s="59">
        <v>64.39</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75356</v>
      </c>
      <c r="S42" s="361">
        <f t="shared" ca="1" si="11"/>
        <v>485</v>
      </c>
    </row>
    <row r="43" spans="1:19">
      <c r="A43" s="159">
        <v>607</v>
      </c>
      <c r="B43" s="59">
        <v>102.3</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73849</v>
      </c>
      <c r="S43" s="361">
        <f t="shared" ca="1" si="11"/>
        <v>755</v>
      </c>
    </row>
    <row r="44" spans="1:19">
      <c r="A44" s="159">
        <v>608</v>
      </c>
      <c r="B44" s="59">
        <v>62.25</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75356</v>
      </c>
      <c r="S44" s="361">
        <f t="shared" ca="1" si="11"/>
        <v>469</v>
      </c>
    </row>
    <row r="45" spans="1:19">
      <c r="A45" s="159">
        <v>701</v>
      </c>
      <c r="B45" s="59">
        <v>55.46</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75356</v>
      </c>
      <c r="S45" s="361">
        <f t="shared" ca="1" si="11"/>
        <v>418</v>
      </c>
    </row>
    <row r="46" spans="1:19">
      <c r="A46" s="159">
        <v>702</v>
      </c>
      <c r="B46" s="59">
        <v>53.04</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ca="1" si="20"/>
        <v>75356</v>
      </c>
      <c r="S46" s="361">
        <f t="shared" ca="1" si="11"/>
        <v>400</v>
      </c>
    </row>
    <row r="47" spans="1:19">
      <c r="A47" s="159">
        <v>703</v>
      </c>
      <c r="B47" s="59">
        <v>63.92</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75356</v>
      </c>
      <c r="S47" s="361">
        <f t="shared" ca="1" si="11"/>
        <v>482</v>
      </c>
    </row>
    <row r="48" spans="1:19">
      <c r="A48" s="159">
        <v>705</v>
      </c>
      <c r="B48" s="59">
        <v>63.71</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75356</v>
      </c>
      <c r="S48" s="361">
        <f t="shared" ca="1" si="11"/>
        <v>480</v>
      </c>
    </row>
    <row r="49" spans="1:19">
      <c r="A49" s="159">
        <v>706</v>
      </c>
      <c r="B49" s="59">
        <v>64.39</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75356</v>
      </c>
      <c r="S49" s="361">
        <f t="shared" ca="1" si="11"/>
        <v>485</v>
      </c>
    </row>
    <row r="50" spans="1:19">
      <c r="A50" s="159">
        <v>707</v>
      </c>
      <c r="B50" s="59">
        <v>102.3</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73849</v>
      </c>
      <c r="S50" s="361">
        <f t="shared" ca="1" si="11"/>
        <v>755</v>
      </c>
    </row>
    <row r="51" spans="1:19">
      <c r="A51" s="159">
        <v>708</v>
      </c>
      <c r="B51" s="59">
        <v>62.25</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75356</v>
      </c>
      <c r="S51" s="361">
        <f t="shared" ca="1" si="11"/>
        <v>469</v>
      </c>
    </row>
    <row r="52" spans="1:19">
      <c r="A52" s="159">
        <v>801</v>
      </c>
      <c r="B52" s="59">
        <v>55.46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75356</v>
      </c>
      <c r="S52" s="361">
        <f t="shared" ca="1" si="11"/>
        <v>418</v>
      </c>
    </row>
    <row r="53" spans="1:19">
      <c r="A53" s="159">
        <v>802</v>
      </c>
      <c r="B53" s="59">
        <v>53.04</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75356</v>
      </c>
      <c r="S53" s="361">
        <f t="shared" ca="1" si="11"/>
        <v>400</v>
      </c>
    </row>
    <row r="54" spans="1:19">
      <c r="A54" s="159">
        <v>803</v>
      </c>
      <c r="B54" s="59">
        <v>63.92</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75356</v>
      </c>
      <c r="S54" s="361">
        <f t="shared" ca="1" si="11"/>
        <v>482</v>
      </c>
    </row>
    <row r="55" spans="1:19">
      <c r="A55" s="159">
        <v>805</v>
      </c>
      <c r="B55" s="59">
        <v>63.71</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75356</v>
      </c>
      <c r="S55" s="361">
        <f t="shared" ref="S55:S77" ca="1" si="21">ROUND(R55*B55/10000,0)</f>
        <v>480</v>
      </c>
    </row>
    <row r="56" spans="1:19">
      <c r="A56" s="159">
        <v>806</v>
      </c>
      <c r="B56" s="59">
        <v>64.39</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75356</v>
      </c>
      <c r="S56" s="361">
        <f t="shared" ca="1" si="21"/>
        <v>485</v>
      </c>
    </row>
    <row r="57" spans="1:19">
      <c r="A57" s="159">
        <v>807</v>
      </c>
      <c r="B57" s="59">
        <v>102.3</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73849</v>
      </c>
      <c r="S57" s="361">
        <f t="shared" ca="1" si="21"/>
        <v>755</v>
      </c>
    </row>
    <row r="58" spans="1:19">
      <c r="A58" s="159">
        <v>808</v>
      </c>
      <c r="B58" s="59">
        <v>62.25</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75356</v>
      </c>
      <c r="S58" s="361">
        <f t="shared" ca="1" si="21"/>
        <v>469</v>
      </c>
    </row>
    <row r="59" spans="1:19">
      <c r="A59" s="159">
        <v>901</v>
      </c>
      <c r="B59" s="59">
        <v>55.46</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75356</v>
      </c>
      <c r="S59" s="361">
        <f t="shared" ca="1" si="21"/>
        <v>418</v>
      </c>
    </row>
    <row r="60" spans="1:19">
      <c r="A60" s="159">
        <v>902</v>
      </c>
      <c r="B60" s="59">
        <v>53.04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75356</v>
      </c>
      <c r="S60" s="361">
        <f t="shared" ca="1" si="21"/>
        <v>400</v>
      </c>
    </row>
    <row r="61" spans="1:19">
      <c r="A61" s="159">
        <v>903</v>
      </c>
      <c r="B61" s="59">
        <v>63.92</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75356</v>
      </c>
      <c r="S61" s="361">
        <f t="shared" ca="1" si="21"/>
        <v>482</v>
      </c>
    </row>
    <row r="62" spans="1:19">
      <c r="A62" s="159">
        <v>905</v>
      </c>
      <c r="B62" s="59">
        <v>63.71</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75356</v>
      </c>
      <c r="S62" s="361">
        <f t="shared" ca="1" si="21"/>
        <v>480</v>
      </c>
    </row>
    <row r="63" spans="1:19">
      <c r="A63" s="159">
        <v>906</v>
      </c>
      <c r="B63" s="59">
        <v>64.39</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75356</v>
      </c>
      <c r="S63" s="361">
        <f t="shared" ca="1" si="21"/>
        <v>485</v>
      </c>
    </row>
    <row r="64" spans="1:19">
      <c r="A64" s="159">
        <v>907</v>
      </c>
      <c r="B64" s="59">
        <v>102.3</v>
      </c>
      <c r="C64" s="24">
        <f t="shared" si="12"/>
        <v>0.98</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73849</v>
      </c>
      <c r="S64" s="361">
        <f t="shared" ca="1" si="21"/>
        <v>755</v>
      </c>
    </row>
    <row r="65" spans="1:19">
      <c r="A65" s="159">
        <v>908</v>
      </c>
      <c r="B65" s="59">
        <v>62.25</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75356</v>
      </c>
      <c r="S65" s="361">
        <f t="shared" ca="1" si="21"/>
        <v>469</v>
      </c>
    </row>
    <row r="66" spans="1:19">
      <c r="A66" s="159">
        <v>1001</v>
      </c>
      <c r="B66" s="59">
        <v>55.46</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75356</v>
      </c>
      <c r="S66" s="361">
        <f t="shared" ca="1" si="21"/>
        <v>418</v>
      </c>
    </row>
    <row r="67" spans="1:19">
      <c r="A67" s="159">
        <v>1002</v>
      </c>
      <c r="B67" s="59">
        <v>53.04</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75356</v>
      </c>
      <c r="S67" s="361">
        <f t="shared" ca="1" si="21"/>
        <v>400</v>
      </c>
    </row>
    <row r="68" spans="1:19">
      <c r="A68" s="159">
        <v>1003</v>
      </c>
      <c r="B68" s="59">
        <v>63.92</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75356</v>
      </c>
      <c r="S68" s="361">
        <f t="shared" ca="1" si="21"/>
        <v>482</v>
      </c>
    </row>
    <row r="69" spans="1:19">
      <c r="A69" s="159">
        <v>1005</v>
      </c>
      <c r="B69" s="59">
        <v>63.71</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75356</v>
      </c>
      <c r="S69" s="361">
        <f t="shared" ca="1" si="21"/>
        <v>480</v>
      </c>
    </row>
    <row r="70" spans="1:19">
      <c r="A70" s="159">
        <v>1006</v>
      </c>
      <c r="B70" s="59">
        <v>64.39</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75356</v>
      </c>
      <c r="S70" s="361">
        <f t="shared" ca="1" si="21"/>
        <v>485</v>
      </c>
    </row>
    <row r="71" spans="1:19">
      <c r="A71" s="159">
        <v>1007</v>
      </c>
      <c r="B71" s="59">
        <v>102.3</v>
      </c>
      <c r="C71" s="24">
        <f t="shared" si="12"/>
        <v>0.98</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73849</v>
      </c>
      <c r="S71" s="361">
        <f t="shared" ca="1" si="21"/>
        <v>755</v>
      </c>
    </row>
    <row r="72" spans="1:19">
      <c r="A72" s="159">
        <v>1008</v>
      </c>
      <c r="B72" s="59">
        <v>62.25</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75356</v>
      </c>
      <c r="S72" s="361">
        <f t="shared" ca="1" si="21"/>
        <v>469</v>
      </c>
    </row>
    <row r="73" spans="1:19">
      <c r="A73" s="159">
        <v>1101</v>
      </c>
      <c r="B73" s="59">
        <v>55.46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75356</v>
      </c>
      <c r="S73" s="361">
        <f t="shared" ca="1" si="21"/>
        <v>418</v>
      </c>
    </row>
    <row r="74" spans="1:19">
      <c r="A74" s="159">
        <v>1102</v>
      </c>
      <c r="B74" s="59">
        <v>53.04</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75356</v>
      </c>
      <c r="S74" s="361">
        <f t="shared" ca="1" si="21"/>
        <v>400</v>
      </c>
    </row>
    <row r="75" spans="1:19">
      <c r="A75" s="159">
        <v>1103</v>
      </c>
      <c r="B75" s="59">
        <v>63.92</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75356</v>
      </c>
      <c r="S75" s="361">
        <f t="shared" ca="1" si="21"/>
        <v>482</v>
      </c>
    </row>
    <row r="76" spans="1:19">
      <c r="A76" s="159">
        <v>1105</v>
      </c>
      <c r="B76" s="59">
        <v>63.71</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75356</v>
      </c>
      <c r="S76" s="361">
        <f t="shared" ca="1" si="21"/>
        <v>480</v>
      </c>
    </row>
    <row r="77" spans="1:19">
      <c r="A77" s="159">
        <v>1106</v>
      </c>
      <c r="B77" s="59">
        <v>64.39</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75356</v>
      </c>
      <c r="S77" s="361">
        <f t="shared" ca="1" si="21"/>
        <v>485</v>
      </c>
    </row>
    <row r="78" spans="1:19">
      <c r="A78" s="159">
        <v>1107</v>
      </c>
      <c r="B78" s="59">
        <v>102.3</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73849</v>
      </c>
      <c r="S78" s="361">
        <f t="shared" ref="S78:S122" ca="1" si="22">ROUND(R78*B78/10000,0)</f>
        <v>755</v>
      </c>
    </row>
    <row r="79" spans="1:19">
      <c r="A79" s="159">
        <v>1108</v>
      </c>
      <c r="B79" s="59">
        <v>62.25</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75356</v>
      </c>
      <c r="S79" s="361">
        <f t="shared" ca="1" si="22"/>
        <v>469</v>
      </c>
    </row>
    <row r="80" spans="1:19">
      <c r="A80" s="159">
        <v>1201</v>
      </c>
      <c r="B80" s="59">
        <v>55.46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75356</v>
      </c>
      <c r="S80" s="361">
        <f t="shared" ca="1" si="22"/>
        <v>418</v>
      </c>
    </row>
    <row r="81" spans="1:19">
      <c r="A81" s="159">
        <v>1202</v>
      </c>
      <c r="B81" s="59">
        <v>53.04</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75356</v>
      </c>
      <c r="S81" s="361">
        <f t="shared" ca="1" si="22"/>
        <v>400</v>
      </c>
    </row>
    <row r="82" spans="1:19">
      <c r="A82" s="159">
        <v>1203</v>
      </c>
      <c r="B82" s="59">
        <v>63.92</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75356</v>
      </c>
      <c r="S82" s="361">
        <f t="shared" ca="1" si="22"/>
        <v>482</v>
      </c>
    </row>
    <row r="83" spans="1:19">
      <c r="A83" s="159">
        <v>1205</v>
      </c>
      <c r="B83" s="59">
        <v>63.71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75356</v>
      </c>
      <c r="S83" s="361">
        <f t="shared" ca="1" si="22"/>
        <v>480</v>
      </c>
    </row>
    <row r="84" spans="1:19">
      <c r="A84" s="159">
        <v>1206</v>
      </c>
      <c r="B84" s="59">
        <v>64.39</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75356</v>
      </c>
      <c r="S84" s="361">
        <f t="shared" ca="1" si="22"/>
        <v>485</v>
      </c>
    </row>
    <row r="85" spans="1:19">
      <c r="A85" s="159">
        <v>1207</v>
      </c>
      <c r="B85" s="59">
        <v>102.3</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73849</v>
      </c>
      <c r="S85" s="361">
        <f t="shared" ca="1" si="22"/>
        <v>755</v>
      </c>
    </row>
    <row r="86" spans="1:19">
      <c r="A86" s="159">
        <v>1208</v>
      </c>
      <c r="B86" s="59">
        <v>62.25</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75356</v>
      </c>
      <c r="S86" s="361">
        <f t="shared" ca="1" si="22"/>
        <v>469</v>
      </c>
    </row>
    <row r="87" spans="1:19">
      <c r="A87" s="159">
        <v>1301</v>
      </c>
      <c r="B87" s="59">
        <v>55.46</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75356</v>
      </c>
      <c r="S87" s="361">
        <f t="shared" ca="1" si="22"/>
        <v>418</v>
      </c>
    </row>
    <row r="88" spans="1:19">
      <c r="A88" s="159">
        <v>1302</v>
      </c>
      <c r="B88" s="59">
        <v>53.04</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75356</v>
      </c>
      <c r="S88" s="361">
        <f t="shared" ca="1" si="22"/>
        <v>400</v>
      </c>
    </row>
    <row r="89" spans="1:19">
      <c r="A89" s="159">
        <v>1303</v>
      </c>
      <c r="B89" s="59">
        <v>63.92</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75356</v>
      </c>
      <c r="S89" s="361">
        <f t="shared" ca="1" si="22"/>
        <v>482</v>
      </c>
    </row>
    <row r="90" spans="1:19">
      <c r="A90" s="159">
        <v>1305</v>
      </c>
      <c r="B90" s="59">
        <v>63.71</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75356</v>
      </c>
      <c r="S90" s="361">
        <f t="shared" ca="1" si="22"/>
        <v>480</v>
      </c>
    </row>
    <row r="91" spans="1:19">
      <c r="A91" s="159">
        <v>1306</v>
      </c>
      <c r="B91" s="59">
        <v>64.39</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75356</v>
      </c>
      <c r="S91" s="361">
        <f t="shared" ca="1" si="22"/>
        <v>485</v>
      </c>
    </row>
    <row r="92" spans="1:19">
      <c r="A92" s="159">
        <v>1307</v>
      </c>
      <c r="B92" s="59">
        <v>102.3</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73849</v>
      </c>
      <c r="S92" s="361">
        <f t="shared" ca="1" si="22"/>
        <v>755</v>
      </c>
    </row>
    <row r="93" spans="1:19">
      <c r="A93" s="159">
        <v>1308</v>
      </c>
      <c r="B93" s="59">
        <v>62.25</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75356</v>
      </c>
      <c r="S93" s="361">
        <f t="shared" ca="1" si="22"/>
        <v>469</v>
      </c>
    </row>
    <row r="94" spans="1:19">
      <c r="A94" s="159">
        <v>1501</v>
      </c>
      <c r="B94" s="59">
        <v>55.46</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75356</v>
      </c>
      <c r="S94" s="361">
        <f t="shared" ca="1" si="22"/>
        <v>418</v>
      </c>
    </row>
    <row r="95" spans="1:19">
      <c r="A95" s="159">
        <v>1502</v>
      </c>
      <c r="B95" s="59">
        <v>53.04</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75356</v>
      </c>
      <c r="S95" s="361">
        <f t="shared" ca="1" si="22"/>
        <v>400</v>
      </c>
    </row>
    <row r="96" spans="1:19">
      <c r="A96" s="159">
        <v>1503</v>
      </c>
      <c r="B96" s="59">
        <v>63.92</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75356</v>
      </c>
      <c r="S96" s="361">
        <f t="shared" ca="1" si="22"/>
        <v>482</v>
      </c>
    </row>
    <row r="97" spans="1:19">
      <c r="A97" s="159">
        <v>1505</v>
      </c>
      <c r="B97" s="59">
        <v>63.71</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75356</v>
      </c>
      <c r="S97" s="361">
        <f t="shared" ca="1" si="22"/>
        <v>480</v>
      </c>
    </row>
    <row r="98" spans="1:19">
      <c r="A98" s="159">
        <v>1506</v>
      </c>
      <c r="B98" s="59">
        <v>64.39</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75356</v>
      </c>
      <c r="S98" s="361">
        <f t="shared" ca="1" si="22"/>
        <v>485</v>
      </c>
    </row>
    <row r="99" spans="1:19">
      <c r="A99" s="159">
        <v>1507</v>
      </c>
      <c r="B99" s="59">
        <v>102.3</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73849</v>
      </c>
      <c r="S99" s="361">
        <f t="shared" ca="1" si="22"/>
        <v>755</v>
      </c>
    </row>
    <row r="100" spans="1:19">
      <c r="A100" s="159">
        <v>1508</v>
      </c>
      <c r="B100" s="59">
        <v>62.25</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75356</v>
      </c>
      <c r="S100" s="361">
        <f t="shared" ca="1" si="22"/>
        <v>469</v>
      </c>
    </row>
    <row r="101" spans="1:19">
      <c r="A101" s="159">
        <v>1601</v>
      </c>
      <c r="B101" s="59">
        <v>55.46</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75356</v>
      </c>
      <c r="S101" s="361">
        <f t="shared" ca="1" si="22"/>
        <v>418</v>
      </c>
    </row>
    <row r="102" spans="1:19">
      <c r="A102" s="159">
        <v>1602</v>
      </c>
      <c r="B102" s="59">
        <v>53.04</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75356</v>
      </c>
      <c r="S102" s="361">
        <f t="shared" ca="1" si="22"/>
        <v>400</v>
      </c>
    </row>
    <row r="103" spans="1:19">
      <c r="A103" s="159">
        <v>1603</v>
      </c>
      <c r="B103" s="59">
        <v>63.92</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75356</v>
      </c>
      <c r="S103" s="361">
        <f t="shared" ca="1" si="22"/>
        <v>482</v>
      </c>
    </row>
    <row r="104" spans="1:19">
      <c r="A104" s="159">
        <v>1605</v>
      </c>
      <c r="B104" s="59">
        <v>63.71</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75356</v>
      </c>
      <c r="S104" s="361">
        <f t="shared" ca="1" si="22"/>
        <v>480</v>
      </c>
    </row>
    <row r="105" spans="1:19">
      <c r="A105" s="159">
        <v>1606</v>
      </c>
      <c r="B105" s="59">
        <v>64.39</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75356</v>
      </c>
      <c r="S105" s="361">
        <f t="shared" ca="1" si="22"/>
        <v>485</v>
      </c>
    </row>
    <row r="106" spans="1:19">
      <c r="A106" s="159">
        <v>1607</v>
      </c>
      <c r="B106" s="59">
        <v>102.3</v>
      </c>
      <c r="C106" s="24">
        <f t="shared" si="23"/>
        <v>0.98</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73849</v>
      </c>
      <c r="S106" s="361">
        <f t="shared" ca="1" si="22"/>
        <v>755</v>
      </c>
    </row>
    <row r="107" spans="1:19">
      <c r="A107" s="159">
        <v>1608</v>
      </c>
      <c r="B107" s="59">
        <v>62.25</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75356</v>
      </c>
      <c r="S107" s="361">
        <f t="shared" ca="1" si="22"/>
        <v>469</v>
      </c>
    </row>
    <row r="108" spans="1:19">
      <c r="A108" s="159">
        <v>1701</v>
      </c>
      <c r="B108" s="59">
        <v>55.46</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75356</v>
      </c>
      <c r="S108" s="361">
        <f t="shared" ca="1" si="22"/>
        <v>418</v>
      </c>
    </row>
    <row r="109" spans="1:19">
      <c r="A109" s="159">
        <v>1702</v>
      </c>
      <c r="B109" s="59">
        <v>53.04</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75356</v>
      </c>
      <c r="S109" s="361">
        <f t="shared" ca="1" si="22"/>
        <v>400</v>
      </c>
    </row>
    <row r="110" spans="1:19">
      <c r="A110" s="159">
        <v>1703</v>
      </c>
      <c r="B110" s="59">
        <v>63.92</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75356</v>
      </c>
      <c r="S110" s="361">
        <f t="shared" ca="1" si="22"/>
        <v>482</v>
      </c>
    </row>
    <row r="111" spans="1:19">
      <c r="A111" s="159">
        <v>1705</v>
      </c>
      <c r="B111" s="59">
        <v>63.71</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ca="1" si="31"/>
        <v>75356</v>
      </c>
      <c r="S111" s="361">
        <f t="shared" ca="1" si="22"/>
        <v>480</v>
      </c>
    </row>
    <row r="112" spans="1:19">
      <c r="A112" s="159">
        <v>1706</v>
      </c>
      <c r="B112" s="59">
        <v>64.39</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ca="1" si="31"/>
        <v>75356</v>
      </c>
      <c r="S112" s="361">
        <f t="shared" ca="1" si="22"/>
        <v>485</v>
      </c>
    </row>
    <row r="113" spans="1:19">
      <c r="A113" s="159">
        <v>1707</v>
      </c>
      <c r="B113" s="59">
        <v>102.3</v>
      </c>
      <c r="C113" s="24">
        <f t="shared" si="23"/>
        <v>0.98</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ca="1" si="31"/>
        <v>73849</v>
      </c>
      <c r="S113" s="361">
        <f t="shared" ca="1" si="22"/>
        <v>755</v>
      </c>
    </row>
    <row r="114" spans="1:19">
      <c r="A114" s="159">
        <v>1708</v>
      </c>
      <c r="B114" s="59">
        <v>62.25</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ca="1" si="31"/>
        <v>75356</v>
      </c>
      <c r="S114" s="361">
        <f t="shared" ca="1" si="22"/>
        <v>469</v>
      </c>
    </row>
    <row r="115" spans="1:19">
      <c r="A115" s="159">
        <v>1801</v>
      </c>
      <c r="B115" s="59">
        <v>55.46</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ca="1" si="31"/>
        <v>75356</v>
      </c>
      <c r="S115" s="361">
        <f t="shared" ca="1" si="22"/>
        <v>418</v>
      </c>
    </row>
    <row r="116" spans="1:19">
      <c r="A116" s="159">
        <v>1802</v>
      </c>
      <c r="B116" s="59">
        <v>53.04</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ca="1" si="31"/>
        <v>75356</v>
      </c>
      <c r="S116" s="361">
        <f t="shared" ca="1" si="22"/>
        <v>400</v>
      </c>
    </row>
    <row r="117" spans="1:19">
      <c r="A117" s="159">
        <v>1803</v>
      </c>
      <c r="B117" s="59">
        <v>63.92</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ca="1" si="31"/>
        <v>75356</v>
      </c>
      <c r="S117" s="361">
        <f t="shared" ca="1" si="22"/>
        <v>482</v>
      </c>
    </row>
    <row r="118" spans="1:19">
      <c r="A118" s="159">
        <v>1805</v>
      </c>
      <c r="B118" s="59">
        <v>63.71</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ca="1" si="31"/>
        <v>75356</v>
      </c>
      <c r="S118" s="361">
        <f t="shared" ca="1" si="22"/>
        <v>480</v>
      </c>
    </row>
    <row r="119" spans="1:19">
      <c r="A119" s="159">
        <v>1806</v>
      </c>
      <c r="B119" s="59">
        <v>64.39</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ca="1" si="31"/>
        <v>75356</v>
      </c>
      <c r="S119" s="361">
        <f t="shared" ca="1" si="22"/>
        <v>485</v>
      </c>
    </row>
    <row r="120" spans="1:19">
      <c r="A120" s="159">
        <v>1807</v>
      </c>
      <c r="B120" s="59">
        <v>102.3</v>
      </c>
      <c r="C120" s="24">
        <f t="shared" si="23"/>
        <v>0.98</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ca="1" si="31"/>
        <v>73849</v>
      </c>
      <c r="S120" s="361">
        <f t="shared" ca="1" si="22"/>
        <v>755</v>
      </c>
    </row>
    <row r="121" spans="1:19">
      <c r="A121" s="159">
        <v>1808</v>
      </c>
      <c r="B121" s="59">
        <v>62.25</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ca="1" si="31"/>
        <v>75356</v>
      </c>
      <c r="S121" s="361">
        <f t="shared" ca="1" si="22"/>
        <v>469</v>
      </c>
    </row>
    <row r="122" spans="1:19">
      <c r="A122" s="159">
        <v>1901</v>
      </c>
      <c r="B122" s="59">
        <v>55.46</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ca="1" si="31"/>
        <v>75356</v>
      </c>
      <c r="S122" s="361">
        <f t="shared" ca="1" si="22"/>
        <v>418</v>
      </c>
    </row>
    <row r="123" spans="1:19">
      <c r="A123" s="159">
        <v>1902</v>
      </c>
      <c r="B123" s="59">
        <v>53.04</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ca="1" si="31"/>
        <v>75356</v>
      </c>
      <c r="S123" s="361">
        <f t="shared" ref="S123:S186" ca="1" si="32">ROUND(R123*B123/10000,0)</f>
        <v>400</v>
      </c>
    </row>
    <row r="124" spans="1:19">
      <c r="A124" s="159">
        <v>1903</v>
      </c>
      <c r="B124" s="59">
        <v>63.92</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ca="1" si="31"/>
        <v>75356</v>
      </c>
      <c r="S124" s="361">
        <f t="shared" ca="1" si="32"/>
        <v>482</v>
      </c>
    </row>
    <row r="125" spans="1:19">
      <c r="A125" s="159">
        <v>1905</v>
      </c>
      <c r="B125" s="59">
        <v>63.71</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ca="1" si="31"/>
        <v>75356</v>
      </c>
      <c r="S125" s="361">
        <f t="shared" ca="1" si="32"/>
        <v>480</v>
      </c>
    </row>
    <row r="126" spans="1:19">
      <c r="A126" s="159">
        <v>1906</v>
      </c>
      <c r="B126" s="59">
        <v>64.39</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ca="1" si="31"/>
        <v>75356</v>
      </c>
      <c r="S126" s="361">
        <f t="shared" ca="1" si="32"/>
        <v>485</v>
      </c>
    </row>
    <row r="127" spans="1:19">
      <c r="A127" s="159">
        <v>1907</v>
      </c>
      <c r="B127" s="59">
        <v>102.3</v>
      </c>
      <c r="C127" s="24">
        <f t="shared" si="23"/>
        <v>0.98</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ca="1" si="31"/>
        <v>73849</v>
      </c>
      <c r="S127" s="361">
        <f t="shared" ca="1" si="32"/>
        <v>755</v>
      </c>
    </row>
    <row r="128" spans="1:19">
      <c r="A128" s="159">
        <v>1908</v>
      </c>
      <c r="B128" s="59">
        <v>62.25</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ca="1" si="31"/>
        <v>75356</v>
      </c>
      <c r="S128" s="361">
        <f t="shared" ca="1" si="32"/>
        <v>469</v>
      </c>
    </row>
    <row r="129" spans="1:19">
      <c r="A129" s="159">
        <v>2001</v>
      </c>
      <c r="B129" s="59">
        <v>55.46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ca="1" si="31"/>
        <v>75356</v>
      </c>
      <c r="S129" s="361">
        <f t="shared" ca="1" si="32"/>
        <v>418</v>
      </c>
    </row>
    <row r="130" spans="1:19">
      <c r="A130" s="159">
        <v>2002</v>
      </c>
      <c r="B130" s="59">
        <v>53.04</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ca="1" si="31"/>
        <v>75356</v>
      </c>
      <c r="S130" s="361">
        <f t="shared" ca="1" si="32"/>
        <v>400</v>
      </c>
    </row>
    <row r="131" spans="1:19">
      <c r="A131" s="159">
        <v>2003</v>
      </c>
      <c r="B131" s="59">
        <v>63.92</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ca="1" si="31"/>
        <v>75356</v>
      </c>
      <c r="S131" s="361">
        <f t="shared" ca="1" si="32"/>
        <v>482</v>
      </c>
    </row>
    <row r="132" spans="1:19">
      <c r="A132" s="159">
        <v>2005</v>
      </c>
      <c r="B132" s="59">
        <v>63.71</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ca="1" si="31"/>
        <v>75356</v>
      </c>
      <c r="S132" s="361">
        <f t="shared" ca="1" si="32"/>
        <v>480</v>
      </c>
    </row>
    <row r="133" spans="1:19">
      <c r="A133" s="159">
        <v>2006</v>
      </c>
      <c r="B133" s="59">
        <v>64.39</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ca="1" si="31"/>
        <v>75356</v>
      </c>
      <c r="S133" s="361">
        <f t="shared" ca="1" si="32"/>
        <v>485</v>
      </c>
    </row>
    <row r="134" spans="1:19">
      <c r="A134" s="159">
        <v>2007</v>
      </c>
      <c r="B134" s="59">
        <v>102.3</v>
      </c>
      <c r="C134" s="24">
        <f t="shared" si="23"/>
        <v>0.98</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ca="1" si="31"/>
        <v>73849</v>
      </c>
      <c r="S134" s="361">
        <f t="shared" ca="1" si="32"/>
        <v>755</v>
      </c>
    </row>
    <row r="135" spans="1:19">
      <c r="A135" s="159">
        <v>2008</v>
      </c>
      <c r="B135" s="59">
        <v>62.25</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ca="1" si="31"/>
        <v>75356</v>
      </c>
      <c r="S135" s="361">
        <f t="shared" ca="1" si="32"/>
        <v>469</v>
      </c>
    </row>
    <row r="136" spans="1:19">
      <c r="A136" s="159">
        <v>2101</v>
      </c>
      <c r="B136" s="59">
        <v>55.46</v>
      </c>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ca="1" si="31"/>
        <v>75356</v>
      </c>
      <c r="S136" s="361">
        <f t="shared" ca="1" si="32"/>
        <v>418</v>
      </c>
    </row>
    <row r="137" spans="1:19">
      <c r="A137" s="159">
        <v>2102</v>
      </c>
      <c r="B137" s="59">
        <v>53.04</v>
      </c>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ca="1" si="31"/>
        <v>75356</v>
      </c>
      <c r="S137" s="361">
        <f t="shared" ca="1" si="32"/>
        <v>400</v>
      </c>
    </row>
    <row r="138" spans="1:19">
      <c r="A138" s="159">
        <v>2103</v>
      </c>
      <c r="B138" s="59">
        <v>63.92</v>
      </c>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ca="1" si="31"/>
        <v>75356</v>
      </c>
      <c r="S138" s="361">
        <f t="shared" ca="1" si="32"/>
        <v>482</v>
      </c>
    </row>
    <row r="139" spans="1:19">
      <c r="A139" s="159">
        <v>2105</v>
      </c>
      <c r="B139" s="59">
        <v>63.71</v>
      </c>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ca="1" si="31"/>
        <v>75356</v>
      </c>
      <c r="S139" s="361">
        <f t="shared" ca="1" si="32"/>
        <v>480</v>
      </c>
    </row>
    <row r="140" spans="1:19">
      <c r="A140" s="159">
        <v>2106</v>
      </c>
      <c r="B140" s="59">
        <v>64.39</v>
      </c>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ca="1" si="31"/>
        <v>75356</v>
      </c>
      <c r="S140" s="361">
        <f t="shared" ca="1" si="32"/>
        <v>485</v>
      </c>
    </row>
    <row r="141" spans="1:19">
      <c r="A141" s="159">
        <v>2107</v>
      </c>
      <c r="B141" s="59">
        <v>102.3</v>
      </c>
      <c r="C141" s="24">
        <f t="shared" si="23"/>
        <v>0.98</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ca="1" si="31"/>
        <v>73849</v>
      </c>
      <c r="S141" s="361">
        <f t="shared" ca="1" si="32"/>
        <v>755</v>
      </c>
    </row>
    <row r="142" spans="1:19">
      <c r="A142" s="159">
        <v>2108</v>
      </c>
      <c r="B142" s="59">
        <v>62.25</v>
      </c>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ca="1" si="31"/>
        <v>75356</v>
      </c>
      <c r="S142" s="361">
        <f t="shared" ca="1" si="32"/>
        <v>469</v>
      </c>
    </row>
    <row r="143" spans="1:19">
      <c r="A143" s="159">
        <v>2201</v>
      </c>
      <c r="B143" s="59">
        <v>55.46</v>
      </c>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ca="1" si="31"/>
        <v>75356</v>
      </c>
      <c r="S143" s="361">
        <f t="shared" ca="1" si="32"/>
        <v>418</v>
      </c>
    </row>
    <row r="144" spans="1:19">
      <c r="A144" s="159">
        <v>2202</v>
      </c>
      <c r="B144" s="59">
        <v>53.04</v>
      </c>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ca="1" si="31"/>
        <v>75356</v>
      </c>
      <c r="S144" s="361">
        <f t="shared" ca="1" si="32"/>
        <v>400</v>
      </c>
    </row>
    <row r="145" spans="1:19">
      <c r="A145" s="159">
        <v>2203</v>
      </c>
      <c r="B145" s="59">
        <v>63.92</v>
      </c>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ca="1" si="31"/>
        <v>75356</v>
      </c>
      <c r="S145" s="361">
        <f t="shared" ca="1" si="32"/>
        <v>482</v>
      </c>
    </row>
    <row r="146" spans="1:19">
      <c r="A146" s="159">
        <v>2205</v>
      </c>
      <c r="B146" s="59">
        <v>63.71</v>
      </c>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ca="1" si="31"/>
        <v>75356</v>
      </c>
      <c r="S146" s="361">
        <f t="shared" ca="1" si="32"/>
        <v>480</v>
      </c>
    </row>
    <row r="147" spans="1:19">
      <c r="A147" s="159">
        <v>2206</v>
      </c>
      <c r="B147" s="59">
        <v>64.39</v>
      </c>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ca="1" si="31"/>
        <v>75356</v>
      </c>
      <c r="S147" s="361">
        <f t="shared" ca="1" si="32"/>
        <v>485</v>
      </c>
    </row>
    <row r="148" spans="1:19">
      <c r="A148" s="159">
        <v>2207</v>
      </c>
      <c r="B148" s="59">
        <v>102.3</v>
      </c>
      <c r="C148" s="24">
        <f t="shared" si="23"/>
        <v>0.98</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ca="1" si="31"/>
        <v>73849</v>
      </c>
      <c r="S148" s="361">
        <f t="shared" ca="1" si="32"/>
        <v>755</v>
      </c>
    </row>
    <row r="149" spans="1:19">
      <c r="A149" s="159">
        <v>2208</v>
      </c>
      <c r="B149" s="59">
        <v>62.25</v>
      </c>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ca="1" si="31"/>
        <v>75356</v>
      </c>
      <c r="S149" s="361">
        <f t="shared" ca="1" si="32"/>
        <v>469</v>
      </c>
    </row>
    <row r="150" spans="1:19">
      <c r="A150" s="159">
        <v>2301</v>
      </c>
      <c r="B150" s="59">
        <v>55.46</v>
      </c>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ca="1" si="31"/>
        <v>75356</v>
      </c>
      <c r="S150" s="361">
        <f t="shared" ca="1" si="32"/>
        <v>418</v>
      </c>
    </row>
    <row r="151" spans="1:19">
      <c r="A151" s="159">
        <v>2302</v>
      </c>
      <c r="B151" s="59">
        <v>53.04</v>
      </c>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ca="1" si="31"/>
        <v>75356</v>
      </c>
      <c r="S151" s="361">
        <f t="shared" ca="1" si="32"/>
        <v>400</v>
      </c>
    </row>
    <row r="152" spans="1:19">
      <c r="A152" s="159">
        <v>2303</v>
      </c>
      <c r="B152" s="59">
        <v>63.92</v>
      </c>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ca="1" si="31"/>
        <v>75356</v>
      </c>
      <c r="S152" s="361">
        <f t="shared" ca="1" si="32"/>
        <v>482</v>
      </c>
    </row>
    <row r="153" spans="1:19">
      <c r="A153" s="159">
        <v>2305</v>
      </c>
      <c r="B153" s="59">
        <v>63.71</v>
      </c>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ca="1" si="31"/>
        <v>75356</v>
      </c>
      <c r="S153" s="361">
        <f t="shared" ca="1" si="32"/>
        <v>480</v>
      </c>
    </row>
    <row r="154" spans="1:19">
      <c r="A154" s="159">
        <v>2306</v>
      </c>
      <c r="B154" s="59">
        <v>64.39</v>
      </c>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ca="1" si="41">IF(B154="",0,ROUND($R$24*C154*E154*G154*I154*K154*M154*O154*Q154,0))</f>
        <v>75356</v>
      </c>
      <c r="S154" s="361">
        <f t="shared" ca="1" si="32"/>
        <v>485</v>
      </c>
    </row>
    <row r="155" spans="1:19">
      <c r="A155" s="159">
        <v>2307</v>
      </c>
      <c r="B155" s="59">
        <v>102.3</v>
      </c>
      <c r="C155" s="24">
        <f t="shared" si="33"/>
        <v>0.98</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ca="1" si="41"/>
        <v>73849</v>
      </c>
      <c r="S155" s="361">
        <f t="shared" ca="1" si="32"/>
        <v>755</v>
      </c>
    </row>
    <row r="156" spans="1:19">
      <c r="A156" s="159">
        <v>2308</v>
      </c>
      <c r="B156" s="59">
        <v>62.25</v>
      </c>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ca="1" si="41"/>
        <v>75356</v>
      </c>
      <c r="S156" s="361">
        <f t="shared" ca="1" si="32"/>
        <v>469</v>
      </c>
    </row>
    <row r="157" spans="1:19">
      <c r="A157" s="159">
        <v>2501</v>
      </c>
      <c r="B157" s="59">
        <v>55.46</v>
      </c>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ca="1" si="41"/>
        <v>75356</v>
      </c>
      <c r="S157" s="361">
        <f t="shared" ca="1" si="32"/>
        <v>418</v>
      </c>
    </row>
    <row r="158" spans="1:19">
      <c r="A158" s="159">
        <v>2502</v>
      </c>
      <c r="B158" s="59">
        <v>53.04</v>
      </c>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ca="1" si="41"/>
        <v>75356</v>
      </c>
      <c r="S158" s="361">
        <f t="shared" ca="1" si="32"/>
        <v>400</v>
      </c>
    </row>
    <row r="159" spans="1:19">
      <c r="A159" s="159">
        <v>2503</v>
      </c>
      <c r="B159" s="59">
        <v>63.92</v>
      </c>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ca="1" si="41"/>
        <v>75356</v>
      </c>
      <c r="S159" s="361">
        <f t="shared" ca="1" si="32"/>
        <v>482</v>
      </c>
    </row>
    <row r="160" spans="1:19">
      <c r="A160" s="159">
        <v>2505</v>
      </c>
      <c r="B160" s="59">
        <v>63.71</v>
      </c>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ca="1" si="41"/>
        <v>75356</v>
      </c>
      <c r="S160" s="361">
        <f t="shared" ca="1" si="32"/>
        <v>480</v>
      </c>
    </row>
    <row r="161" spans="1:19">
      <c r="A161" s="159">
        <v>2506</v>
      </c>
      <c r="B161" s="59">
        <v>64.39</v>
      </c>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ca="1" si="41"/>
        <v>75356</v>
      </c>
      <c r="S161" s="361">
        <f t="shared" ca="1" si="32"/>
        <v>485</v>
      </c>
    </row>
    <row r="162" spans="1:19">
      <c r="A162" s="159">
        <v>2507</v>
      </c>
      <c r="B162" s="59">
        <v>102.3</v>
      </c>
      <c r="C162" s="24">
        <f t="shared" si="33"/>
        <v>0.98</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ca="1" si="41"/>
        <v>73849</v>
      </c>
      <c r="S162" s="361">
        <f t="shared" ca="1" si="32"/>
        <v>755</v>
      </c>
    </row>
    <row r="163" spans="1:19">
      <c r="A163" s="159">
        <v>2508</v>
      </c>
      <c r="B163" s="59">
        <v>62.25</v>
      </c>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ca="1" si="41"/>
        <v>75356</v>
      </c>
      <c r="S163" s="361">
        <f t="shared" ca="1" si="32"/>
        <v>469</v>
      </c>
    </row>
    <row r="164" spans="1:19">
      <c r="A164" s="159">
        <v>2601</v>
      </c>
      <c r="B164" s="59">
        <v>55.46</v>
      </c>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ca="1" si="41"/>
        <v>75356</v>
      </c>
      <c r="S164" s="361">
        <f t="shared" ca="1" si="32"/>
        <v>418</v>
      </c>
    </row>
    <row r="165" spans="1:19">
      <c r="A165" s="159">
        <v>2602</v>
      </c>
      <c r="B165" s="59">
        <v>53.04</v>
      </c>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ca="1" si="41"/>
        <v>75356</v>
      </c>
      <c r="S165" s="361">
        <f t="shared" ca="1" si="32"/>
        <v>400</v>
      </c>
    </row>
    <row r="166" spans="1:19">
      <c r="A166" s="159">
        <v>2603</v>
      </c>
      <c r="B166" s="59">
        <v>63.92</v>
      </c>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ca="1" si="41"/>
        <v>75356</v>
      </c>
      <c r="S166" s="361">
        <f t="shared" ca="1" si="32"/>
        <v>482</v>
      </c>
    </row>
    <row r="167" spans="1:19">
      <c r="A167" s="159">
        <v>2605</v>
      </c>
      <c r="B167" s="59">
        <v>63.71</v>
      </c>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ca="1" si="41"/>
        <v>75356</v>
      </c>
      <c r="S167" s="361">
        <f t="shared" ca="1" si="32"/>
        <v>480</v>
      </c>
    </row>
    <row r="168" spans="1:19">
      <c r="A168" s="159">
        <v>2606</v>
      </c>
      <c r="B168" s="59">
        <v>64.39</v>
      </c>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ca="1" si="41"/>
        <v>75356</v>
      </c>
      <c r="S168" s="361">
        <f t="shared" ca="1" si="32"/>
        <v>485</v>
      </c>
    </row>
    <row r="169" spans="1:19">
      <c r="A169" s="159">
        <v>2607</v>
      </c>
      <c r="B169" s="59">
        <v>102.3</v>
      </c>
      <c r="C169" s="24">
        <f t="shared" si="33"/>
        <v>0.98</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ca="1" si="41"/>
        <v>73849</v>
      </c>
      <c r="S169" s="361">
        <f t="shared" ca="1" si="32"/>
        <v>755</v>
      </c>
    </row>
    <row r="170" spans="1:19">
      <c r="A170" s="159">
        <v>2608</v>
      </c>
      <c r="B170" s="59">
        <v>62.25</v>
      </c>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ca="1" si="41"/>
        <v>75356</v>
      </c>
      <c r="S170" s="361">
        <f t="shared" ca="1" si="32"/>
        <v>469</v>
      </c>
    </row>
    <row r="171" spans="1:19">
      <c r="A171" s="159">
        <v>2701</v>
      </c>
      <c r="B171" s="59">
        <v>55.46</v>
      </c>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ca="1" si="41"/>
        <v>75356</v>
      </c>
      <c r="S171" s="361">
        <f t="shared" ca="1" si="32"/>
        <v>418</v>
      </c>
    </row>
    <row r="172" spans="1:19">
      <c r="A172" s="159">
        <v>2702</v>
      </c>
      <c r="B172" s="59">
        <v>53.04</v>
      </c>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ca="1" si="41"/>
        <v>75356</v>
      </c>
      <c r="S172" s="361">
        <f t="shared" ca="1" si="32"/>
        <v>400</v>
      </c>
    </row>
    <row r="173" spans="1:19">
      <c r="A173" s="159">
        <v>2703</v>
      </c>
      <c r="B173" s="59">
        <v>63.92</v>
      </c>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ca="1" si="41"/>
        <v>75356</v>
      </c>
      <c r="S173" s="361">
        <f t="shared" ca="1" si="32"/>
        <v>482</v>
      </c>
    </row>
    <row r="174" spans="1:19">
      <c r="A174" s="159">
        <v>2705</v>
      </c>
      <c r="B174" s="59">
        <v>63.71</v>
      </c>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ca="1" si="41"/>
        <v>75356</v>
      </c>
      <c r="S174" s="361">
        <f t="shared" ca="1" si="32"/>
        <v>480</v>
      </c>
    </row>
    <row r="175" spans="1:19">
      <c r="A175" s="159">
        <v>2706</v>
      </c>
      <c r="B175" s="59">
        <v>64.39</v>
      </c>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ca="1" si="41"/>
        <v>75356</v>
      </c>
      <c r="S175" s="361">
        <f t="shared" ca="1" si="32"/>
        <v>485</v>
      </c>
    </row>
    <row r="176" spans="1:19">
      <c r="A176" s="159">
        <v>2707</v>
      </c>
      <c r="B176" s="59">
        <v>102.3</v>
      </c>
      <c r="C176" s="24">
        <f t="shared" si="33"/>
        <v>0.98</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ca="1" si="41"/>
        <v>73849</v>
      </c>
      <c r="S176" s="361">
        <f t="shared" ca="1" si="32"/>
        <v>755</v>
      </c>
    </row>
    <row r="177" spans="1:19">
      <c r="A177" s="159">
        <v>2708</v>
      </c>
      <c r="B177" s="59">
        <v>62.25</v>
      </c>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ca="1" si="41"/>
        <v>75356</v>
      </c>
      <c r="S177" s="361">
        <f t="shared" ca="1" si="32"/>
        <v>469</v>
      </c>
    </row>
    <row r="178" spans="1:19">
      <c r="A178" s="159">
        <v>2801</v>
      </c>
      <c r="B178" s="59">
        <v>55.46</v>
      </c>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ca="1" si="41"/>
        <v>75356</v>
      </c>
      <c r="S178" s="361">
        <f t="shared" ca="1" si="32"/>
        <v>418</v>
      </c>
    </row>
    <row r="179" spans="1:19">
      <c r="A179" s="159">
        <v>2802</v>
      </c>
      <c r="B179" s="59">
        <v>49.99</v>
      </c>
      <c r="C179" s="24">
        <f t="shared" si="33"/>
        <v>1.02</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ca="1" si="41"/>
        <v>76863</v>
      </c>
      <c r="S179" s="361">
        <f t="shared" ca="1" si="32"/>
        <v>384</v>
      </c>
    </row>
    <row r="180" spans="1:19">
      <c r="A180" s="159">
        <v>2803</v>
      </c>
      <c r="B180" s="59">
        <v>60.88</v>
      </c>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ca="1" si="41"/>
        <v>75356</v>
      </c>
      <c r="S180" s="361">
        <f t="shared" ca="1" si="32"/>
        <v>459</v>
      </c>
    </row>
    <row r="181" spans="1:19">
      <c r="A181" s="159">
        <v>2805</v>
      </c>
      <c r="B181" s="59">
        <v>63.71</v>
      </c>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ca="1" si="41"/>
        <v>75356</v>
      </c>
      <c r="S181" s="361">
        <f t="shared" ca="1" si="32"/>
        <v>480</v>
      </c>
    </row>
    <row r="182" spans="1:19">
      <c r="A182" s="159">
        <v>2806</v>
      </c>
      <c r="B182" s="59">
        <v>64.39</v>
      </c>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ca="1" si="41"/>
        <v>75356</v>
      </c>
      <c r="S182" s="361">
        <f t="shared" ca="1" si="32"/>
        <v>485</v>
      </c>
    </row>
    <row r="183" spans="1:19">
      <c r="A183" s="159">
        <v>2807</v>
      </c>
      <c r="B183" s="59">
        <v>102.3</v>
      </c>
      <c r="C183" s="24">
        <f t="shared" si="33"/>
        <v>0.98</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ca="1" si="41"/>
        <v>73849</v>
      </c>
      <c r="S183" s="361">
        <f t="shared" ca="1" si="32"/>
        <v>755</v>
      </c>
    </row>
    <row r="184" spans="1:19">
      <c r="A184" s="159">
        <v>2808</v>
      </c>
      <c r="B184" s="59">
        <v>62.25</v>
      </c>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ca="1" si="41"/>
        <v>75356</v>
      </c>
      <c r="S184" s="361">
        <f t="shared" ca="1" si="32"/>
        <v>469</v>
      </c>
    </row>
    <row r="185" spans="1:19">
      <c r="A185" s="159">
        <v>2901</v>
      </c>
      <c r="B185" s="59">
        <v>55.46</v>
      </c>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ca="1" si="41"/>
        <v>75356</v>
      </c>
      <c r="S185" s="361">
        <f t="shared" ca="1" si="32"/>
        <v>418</v>
      </c>
    </row>
    <row r="186" spans="1:19">
      <c r="A186" s="159">
        <v>2902</v>
      </c>
      <c r="B186" s="59">
        <v>49.99</v>
      </c>
      <c r="C186" s="24">
        <f t="shared" si="33"/>
        <v>1.02</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ca="1" si="41"/>
        <v>76863</v>
      </c>
      <c r="S186" s="361">
        <f t="shared" ca="1" si="32"/>
        <v>384</v>
      </c>
    </row>
    <row r="187" spans="1:19">
      <c r="A187" s="159">
        <v>2903</v>
      </c>
      <c r="B187" s="59">
        <v>60.88</v>
      </c>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ca="1" si="41"/>
        <v>75356</v>
      </c>
      <c r="S187" s="361">
        <f t="shared" ref="S187:S222" ca="1" si="42">ROUND(R187*B187/10000,0)</f>
        <v>459</v>
      </c>
    </row>
    <row r="188" spans="1:19">
      <c r="A188" s="159">
        <v>2905</v>
      </c>
      <c r="B188" s="59">
        <v>63.71</v>
      </c>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ca="1" si="41"/>
        <v>75356</v>
      </c>
      <c r="S188" s="361">
        <f t="shared" ca="1" si="42"/>
        <v>480</v>
      </c>
    </row>
    <row r="189" spans="1:19">
      <c r="A189" s="159">
        <v>2906</v>
      </c>
      <c r="B189" s="59">
        <v>64.39</v>
      </c>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ca="1" si="41"/>
        <v>75356</v>
      </c>
      <c r="S189" s="361">
        <f t="shared" ca="1" si="42"/>
        <v>485</v>
      </c>
    </row>
    <row r="190" spans="1:19">
      <c r="A190" s="159">
        <v>2907</v>
      </c>
      <c r="B190" s="59">
        <v>102.3</v>
      </c>
      <c r="C190" s="24">
        <f t="shared" si="33"/>
        <v>0.98</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ca="1" si="41"/>
        <v>73849</v>
      </c>
      <c r="S190" s="361">
        <f t="shared" ca="1" si="42"/>
        <v>755</v>
      </c>
    </row>
    <row r="191" spans="1:19">
      <c r="A191" s="159">
        <v>2908</v>
      </c>
      <c r="B191" s="59">
        <v>62.25</v>
      </c>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ca="1" si="41"/>
        <v>75356</v>
      </c>
      <c r="S191" s="361">
        <f t="shared" ca="1" si="42"/>
        <v>469</v>
      </c>
    </row>
    <row r="192" spans="1:19">
      <c r="A192" s="159">
        <v>3001</v>
      </c>
      <c r="B192" s="59">
        <v>55.46</v>
      </c>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ca="1" si="41"/>
        <v>75356</v>
      </c>
      <c r="S192" s="361">
        <f t="shared" ca="1" si="42"/>
        <v>418</v>
      </c>
    </row>
    <row r="193" spans="1:19">
      <c r="A193" s="159">
        <v>3002</v>
      </c>
      <c r="B193" s="59">
        <v>49.99</v>
      </c>
      <c r="C193" s="24">
        <f t="shared" si="33"/>
        <v>1.02</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ca="1" si="41"/>
        <v>76863</v>
      </c>
      <c r="S193" s="361">
        <f t="shared" ca="1" si="42"/>
        <v>384</v>
      </c>
    </row>
    <row r="194" spans="1:19">
      <c r="A194" s="159">
        <v>3003</v>
      </c>
      <c r="B194" s="59">
        <v>60.88</v>
      </c>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ca="1" si="41"/>
        <v>75356</v>
      </c>
      <c r="S194" s="361">
        <f t="shared" ca="1" si="42"/>
        <v>459</v>
      </c>
    </row>
    <row r="195" spans="1:19">
      <c r="A195" s="159">
        <v>3005</v>
      </c>
      <c r="B195" s="59">
        <v>63.71</v>
      </c>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ca="1" si="41"/>
        <v>75356</v>
      </c>
      <c r="S195" s="361">
        <f t="shared" ca="1" si="42"/>
        <v>480</v>
      </c>
    </row>
    <row r="196" spans="1:19">
      <c r="A196" s="159">
        <v>3006</v>
      </c>
      <c r="B196" s="59">
        <v>64.39</v>
      </c>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ca="1" si="41"/>
        <v>75356</v>
      </c>
      <c r="S196" s="361">
        <f t="shared" ca="1" si="42"/>
        <v>485</v>
      </c>
    </row>
    <row r="197" spans="1:19">
      <c r="A197" s="159">
        <v>3007</v>
      </c>
      <c r="B197" s="59">
        <v>102.3</v>
      </c>
      <c r="C197" s="24">
        <f t="shared" si="33"/>
        <v>0.98</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ca="1" si="41"/>
        <v>73849</v>
      </c>
      <c r="S197" s="361">
        <f t="shared" ca="1" si="42"/>
        <v>755</v>
      </c>
    </row>
    <row r="198" spans="1:19">
      <c r="A198" s="159">
        <v>3008</v>
      </c>
      <c r="B198" s="59">
        <v>62.25</v>
      </c>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ca="1" si="41"/>
        <v>75356</v>
      </c>
      <c r="S198" s="361">
        <f t="shared" ca="1" si="42"/>
        <v>469</v>
      </c>
    </row>
    <row r="199" spans="1:19">
      <c r="A199" s="159">
        <v>3101</v>
      </c>
      <c r="B199" s="59">
        <v>55.46</v>
      </c>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ca="1" si="41"/>
        <v>75356</v>
      </c>
      <c r="S199" s="361">
        <f t="shared" ca="1" si="42"/>
        <v>418</v>
      </c>
    </row>
    <row r="200" spans="1:19">
      <c r="A200" s="159">
        <v>3102</v>
      </c>
      <c r="B200" s="59">
        <v>49.99</v>
      </c>
      <c r="C200" s="24">
        <f t="shared" si="33"/>
        <v>1.02</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ca="1" si="41"/>
        <v>76863</v>
      </c>
      <c r="S200" s="361">
        <f t="shared" ca="1" si="42"/>
        <v>384</v>
      </c>
    </row>
    <row r="201" spans="1:19">
      <c r="A201" s="159">
        <v>3103</v>
      </c>
      <c r="B201" s="59">
        <v>60.88</v>
      </c>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ca="1" si="41"/>
        <v>75356</v>
      </c>
      <c r="S201" s="361">
        <f t="shared" ca="1" si="42"/>
        <v>459</v>
      </c>
    </row>
    <row r="202" spans="1:19">
      <c r="A202" s="159">
        <v>3105</v>
      </c>
      <c r="B202" s="59">
        <v>63.71</v>
      </c>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ca="1" si="41"/>
        <v>75356</v>
      </c>
      <c r="S202" s="361">
        <f t="shared" ca="1" si="42"/>
        <v>480</v>
      </c>
    </row>
    <row r="203" spans="1:19">
      <c r="A203" s="159">
        <v>3106</v>
      </c>
      <c r="B203" s="59">
        <v>64.39</v>
      </c>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ca="1" si="41"/>
        <v>75356</v>
      </c>
      <c r="S203" s="361">
        <f t="shared" ca="1" si="42"/>
        <v>485</v>
      </c>
    </row>
    <row r="204" spans="1:19">
      <c r="A204" s="159">
        <v>3107</v>
      </c>
      <c r="B204" s="59">
        <v>102.3</v>
      </c>
      <c r="C204" s="24">
        <f t="shared" si="33"/>
        <v>0.98</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ca="1" si="41"/>
        <v>73849</v>
      </c>
      <c r="S204" s="361">
        <f t="shared" ca="1" si="42"/>
        <v>755</v>
      </c>
    </row>
    <row r="205" spans="1:19">
      <c r="A205" s="159">
        <v>3108</v>
      </c>
      <c r="B205" s="59">
        <v>62.25</v>
      </c>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ca="1" si="41"/>
        <v>75356</v>
      </c>
      <c r="S205" s="361">
        <f t="shared" ca="1" si="42"/>
        <v>469</v>
      </c>
    </row>
    <row r="206" spans="1:19">
      <c r="A206" s="159">
        <v>3201</v>
      </c>
      <c r="B206" s="59">
        <v>55.46</v>
      </c>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ca="1" si="41"/>
        <v>75356</v>
      </c>
      <c r="S206" s="361">
        <f t="shared" ca="1" si="42"/>
        <v>418</v>
      </c>
    </row>
    <row r="207" spans="1:19">
      <c r="A207" s="159">
        <v>3202</v>
      </c>
      <c r="B207" s="59">
        <v>49.99</v>
      </c>
      <c r="C207" s="24">
        <f t="shared" si="33"/>
        <v>1.02</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ca="1" si="41"/>
        <v>76863</v>
      </c>
      <c r="S207" s="361">
        <f t="shared" ca="1" si="42"/>
        <v>384</v>
      </c>
    </row>
    <row r="208" spans="1:19">
      <c r="A208" s="159">
        <v>3203</v>
      </c>
      <c r="B208" s="59">
        <v>60.88</v>
      </c>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ca="1" si="41"/>
        <v>75356</v>
      </c>
      <c r="S208" s="361">
        <f t="shared" ca="1" si="42"/>
        <v>459</v>
      </c>
    </row>
    <row r="209" spans="1:19">
      <c r="A209" s="159">
        <v>3205</v>
      </c>
      <c r="B209" s="59">
        <v>63.71</v>
      </c>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ca="1" si="41"/>
        <v>75356</v>
      </c>
      <c r="S209" s="361">
        <f t="shared" ca="1" si="42"/>
        <v>480</v>
      </c>
    </row>
    <row r="210" spans="1:19">
      <c r="A210" s="159">
        <v>3206</v>
      </c>
      <c r="B210" s="59">
        <v>64.39</v>
      </c>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ca="1" si="41"/>
        <v>75356</v>
      </c>
      <c r="S210" s="361">
        <f t="shared" ca="1" si="42"/>
        <v>485</v>
      </c>
    </row>
    <row r="211" spans="1:19">
      <c r="A211" s="159">
        <v>3207</v>
      </c>
      <c r="B211" s="59">
        <v>102.3</v>
      </c>
      <c r="C211" s="24">
        <f t="shared" si="33"/>
        <v>0.98</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ca="1" si="41"/>
        <v>73849</v>
      </c>
      <c r="S211" s="361">
        <f t="shared" ca="1" si="42"/>
        <v>755</v>
      </c>
    </row>
    <row r="212" spans="1:19">
      <c r="A212" s="159">
        <v>3208</v>
      </c>
      <c r="B212" s="59">
        <v>62.25</v>
      </c>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ca="1" si="41"/>
        <v>75356</v>
      </c>
      <c r="S212" s="361">
        <f t="shared" ca="1" si="42"/>
        <v>469</v>
      </c>
    </row>
    <row r="213" spans="1:19">
      <c r="A213" s="159">
        <v>3301</v>
      </c>
      <c r="B213" s="59">
        <v>55.46</v>
      </c>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ca="1" si="41"/>
        <v>75356</v>
      </c>
      <c r="S213" s="361">
        <f t="shared" ca="1" si="42"/>
        <v>418</v>
      </c>
    </row>
    <row r="214" spans="1:19">
      <c r="A214" s="159">
        <v>3302</v>
      </c>
      <c r="B214" s="59">
        <v>49.99</v>
      </c>
      <c r="C214" s="24">
        <f t="shared" si="33"/>
        <v>1.02</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ca="1" si="41"/>
        <v>76863</v>
      </c>
      <c r="S214" s="361">
        <f t="shared" ca="1" si="42"/>
        <v>384</v>
      </c>
    </row>
    <row r="215" spans="1:19">
      <c r="A215" s="159">
        <v>3303</v>
      </c>
      <c r="B215" s="59">
        <v>60.88</v>
      </c>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ca="1" si="41"/>
        <v>75356</v>
      </c>
      <c r="S215" s="361">
        <f t="shared" ca="1" si="42"/>
        <v>459</v>
      </c>
    </row>
    <row r="216" spans="1:19">
      <c r="A216" s="159">
        <v>3305</v>
      </c>
      <c r="B216" s="59">
        <v>63.71</v>
      </c>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ca="1" si="41"/>
        <v>75356</v>
      </c>
      <c r="S216" s="361">
        <f t="shared" ca="1" si="42"/>
        <v>480</v>
      </c>
    </row>
    <row r="217" spans="1:19">
      <c r="A217" s="159">
        <v>3306</v>
      </c>
      <c r="B217" s="59">
        <v>64.39</v>
      </c>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ca="1" si="41"/>
        <v>75356</v>
      </c>
      <c r="S217" s="361">
        <f t="shared" ca="1" si="42"/>
        <v>485</v>
      </c>
    </row>
    <row r="218" spans="1:19">
      <c r="A218" s="159">
        <v>3307</v>
      </c>
      <c r="B218" s="59">
        <v>102.3</v>
      </c>
      <c r="C218" s="24">
        <f t="shared" ref="C218:C281" si="43">IF(B218="",1,(LOOKUP(B218,$3:$3,$4:$4)-LOOKUP($B$24,$3:$3,$4:$4)+100)/100)</f>
        <v>0.98</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ca="1" si="51">IF(B218="",0,ROUND($R$24*C218*E218*G218*I218*K218*M218*O218*Q218,0))</f>
        <v>73849</v>
      </c>
      <c r="S218" s="361">
        <f t="shared" ca="1" si="42"/>
        <v>755</v>
      </c>
    </row>
    <row r="219" spans="1:19">
      <c r="A219" s="159">
        <v>3308</v>
      </c>
      <c r="B219" s="59">
        <v>62.25</v>
      </c>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ca="1" si="51"/>
        <v>75356</v>
      </c>
      <c r="S219" s="361">
        <f t="shared" ca="1" si="42"/>
        <v>469</v>
      </c>
    </row>
    <row r="220" spans="1:19">
      <c r="A220" s="159">
        <v>3501</v>
      </c>
      <c r="B220" s="59">
        <v>55.46</v>
      </c>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ca="1" si="51"/>
        <v>75356</v>
      </c>
      <c r="S220" s="361">
        <f t="shared" ca="1" si="42"/>
        <v>418</v>
      </c>
    </row>
    <row r="221" spans="1:19">
      <c r="A221" s="159">
        <v>3502</v>
      </c>
      <c r="B221" s="59">
        <v>49.99</v>
      </c>
      <c r="C221" s="24">
        <f t="shared" si="43"/>
        <v>1.02</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ca="1" si="51"/>
        <v>76863</v>
      </c>
      <c r="S221" s="361">
        <f t="shared" ca="1" si="42"/>
        <v>384</v>
      </c>
    </row>
    <row r="222" spans="1:19">
      <c r="A222" s="159">
        <v>3503</v>
      </c>
      <c r="B222" s="59">
        <v>60.88</v>
      </c>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ca="1" si="51"/>
        <v>75356</v>
      </c>
      <c r="S222" s="361">
        <f t="shared" ca="1" si="42"/>
        <v>459</v>
      </c>
    </row>
    <row r="223" spans="1:19">
      <c r="A223" s="159">
        <v>3505</v>
      </c>
      <c r="B223" s="59">
        <v>63.71</v>
      </c>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ca="1" si="51"/>
        <v>75356</v>
      </c>
      <c r="S223" s="361">
        <f t="shared" ref="S223:S286" ca="1" si="52">ROUND(R223*B223/10000,0)</f>
        <v>480</v>
      </c>
    </row>
    <row r="224" spans="1:19">
      <c r="A224" s="159">
        <v>3506</v>
      </c>
      <c r="B224" s="59">
        <v>64.39</v>
      </c>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ca="1" si="51"/>
        <v>75356</v>
      </c>
      <c r="S224" s="361">
        <f t="shared" ca="1" si="52"/>
        <v>485</v>
      </c>
    </row>
    <row r="225" spans="1:19">
      <c r="A225" s="159">
        <v>3507</v>
      </c>
      <c r="B225" s="59">
        <v>102.3</v>
      </c>
      <c r="C225" s="24">
        <f t="shared" si="43"/>
        <v>0.98</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ca="1" si="51"/>
        <v>73849</v>
      </c>
      <c r="S225" s="361">
        <f t="shared" ca="1" si="52"/>
        <v>755</v>
      </c>
    </row>
    <row r="226" spans="1:19">
      <c r="A226" s="159">
        <v>3508</v>
      </c>
      <c r="B226" s="59">
        <v>62.25</v>
      </c>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ca="1" si="51"/>
        <v>75356</v>
      </c>
      <c r="S226" s="361">
        <f t="shared" ca="1" si="52"/>
        <v>469</v>
      </c>
    </row>
    <row r="227" spans="1:19">
      <c r="A227" s="159">
        <v>3601</v>
      </c>
      <c r="B227" s="59">
        <v>55.46</v>
      </c>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ca="1" si="51"/>
        <v>75356</v>
      </c>
      <c r="S227" s="361">
        <f t="shared" ca="1" si="52"/>
        <v>418</v>
      </c>
    </row>
    <row r="228" spans="1:19">
      <c r="A228" s="159">
        <v>3602</v>
      </c>
      <c r="B228" s="59">
        <v>49.99</v>
      </c>
      <c r="C228" s="24">
        <f t="shared" si="43"/>
        <v>1.02</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ca="1" si="51"/>
        <v>76863</v>
      </c>
      <c r="S228" s="361">
        <f t="shared" ca="1" si="52"/>
        <v>384</v>
      </c>
    </row>
    <row r="229" spans="1:19">
      <c r="A229" s="159">
        <v>3603</v>
      </c>
      <c r="B229" s="59">
        <v>60.88</v>
      </c>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ca="1" si="51"/>
        <v>75356</v>
      </c>
      <c r="S229" s="361">
        <f t="shared" ca="1" si="52"/>
        <v>459</v>
      </c>
    </row>
    <row r="230" spans="1:19">
      <c r="A230" s="159">
        <v>3605</v>
      </c>
      <c r="B230" s="59">
        <v>63.71</v>
      </c>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ca="1" si="51"/>
        <v>75356</v>
      </c>
      <c r="S230" s="361">
        <f t="shared" ca="1" si="52"/>
        <v>480</v>
      </c>
    </row>
    <row r="231" spans="1:19">
      <c r="A231" s="159">
        <v>3606</v>
      </c>
      <c r="B231" s="59">
        <v>64.39</v>
      </c>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ca="1" si="51"/>
        <v>75356</v>
      </c>
      <c r="S231" s="361">
        <f t="shared" ca="1" si="52"/>
        <v>485</v>
      </c>
    </row>
    <row r="232" spans="1:19">
      <c r="A232" s="159">
        <v>3607</v>
      </c>
      <c r="B232" s="59">
        <v>102.3</v>
      </c>
      <c r="C232" s="24">
        <f t="shared" si="43"/>
        <v>0.98</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ca="1" si="51"/>
        <v>73849</v>
      </c>
      <c r="S232" s="361">
        <f t="shared" ca="1" si="52"/>
        <v>755</v>
      </c>
    </row>
    <row r="233" spans="1:19">
      <c r="A233" s="159">
        <v>3608</v>
      </c>
      <c r="B233" s="59">
        <v>62.25</v>
      </c>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ca="1" si="51"/>
        <v>75356</v>
      </c>
      <c r="S233" s="361">
        <f t="shared" ca="1" si="52"/>
        <v>469</v>
      </c>
    </row>
    <row r="234" spans="1:19">
      <c r="A234" s="159">
        <v>3701</v>
      </c>
      <c r="B234" s="59">
        <v>55.46</v>
      </c>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ca="1" si="51"/>
        <v>75356</v>
      </c>
      <c r="S234" s="361">
        <f t="shared" ca="1" si="52"/>
        <v>418</v>
      </c>
    </row>
    <row r="235" spans="1:19">
      <c r="A235" s="159">
        <v>3702</v>
      </c>
      <c r="B235" s="59">
        <v>49.99</v>
      </c>
      <c r="C235" s="24">
        <f t="shared" si="43"/>
        <v>1.02</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ca="1" si="51"/>
        <v>76863</v>
      </c>
      <c r="S235" s="361">
        <f t="shared" ca="1" si="52"/>
        <v>384</v>
      </c>
    </row>
    <row r="236" spans="1:19">
      <c r="A236" s="159">
        <v>3703</v>
      </c>
      <c r="B236" s="59">
        <v>60.88</v>
      </c>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ca="1" si="51"/>
        <v>75356</v>
      </c>
      <c r="S236" s="361">
        <f t="shared" ca="1" si="52"/>
        <v>459</v>
      </c>
    </row>
    <row r="237" spans="1:19">
      <c r="A237" s="159">
        <v>3705</v>
      </c>
      <c r="B237" s="59">
        <v>63.71</v>
      </c>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ca="1" si="51"/>
        <v>75356</v>
      </c>
      <c r="S237" s="361">
        <f t="shared" ca="1" si="52"/>
        <v>480</v>
      </c>
    </row>
    <row r="238" spans="1:19">
      <c r="A238" s="159">
        <v>3706</v>
      </c>
      <c r="B238" s="59">
        <v>64.39</v>
      </c>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ca="1" si="51"/>
        <v>75356</v>
      </c>
      <c r="S238" s="361">
        <f t="shared" ca="1" si="52"/>
        <v>485</v>
      </c>
    </row>
    <row r="239" spans="1:19">
      <c r="A239" s="159">
        <v>3707</v>
      </c>
      <c r="B239" s="59">
        <v>102.3</v>
      </c>
      <c r="C239" s="24">
        <f t="shared" si="43"/>
        <v>0.98</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ca="1" si="51"/>
        <v>73849</v>
      </c>
      <c r="S239" s="361">
        <f t="shared" ca="1" si="52"/>
        <v>755</v>
      </c>
    </row>
    <row r="240" spans="1:19">
      <c r="A240" s="159">
        <v>3708</v>
      </c>
      <c r="B240" s="59">
        <v>62.25</v>
      </c>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ca="1" si="51"/>
        <v>75356</v>
      </c>
      <c r="S240" s="361">
        <f t="shared" ca="1" si="52"/>
        <v>469</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29533</v>
      </c>
      <c r="C2" s="2" t="s">
        <v>133</v>
      </c>
      <c r="D2" s="243"/>
      <c r="E2" s="243"/>
      <c r="F2" s="243"/>
      <c r="G2" s="243"/>
    </row>
    <row r="3" spans="1:7" s="244" customFormat="1" ht="18" customHeight="1" thickBot="1">
      <c r="A3" s="247" t="s">
        <v>85</v>
      </c>
      <c r="B3" s="248">
        <f ca="1">ROUND(B2*10000/'数据-汇总表'!E3,0)</f>
        <v>591761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430</v>
      </c>
      <c r="F9" s="265"/>
      <c r="G9" s="270"/>
    </row>
    <row r="10" spans="1:7" s="258" customFormat="1" ht="13.5" customHeight="1">
      <c r="A10" s="950" t="s">
        <v>801</v>
      </c>
      <c r="B10" s="268" t="s">
        <v>94</v>
      </c>
      <c r="C10" s="269">
        <f>ROUND(D10*E10/10000,0)</f>
        <v>21</v>
      </c>
      <c r="D10" s="1032">
        <f>'数据-汇总表'!E6</f>
        <v>499.07</v>
      </c>
      <c r="E10" s="269">
        <f>'数据-取费表'!B28</f>
        <v>430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10</v>
      </c>
      <c r="D19" s="1036">
        <f>'数据-汇总表'!E3</f>
        <v>499.07</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3996</v>
      </c>
      <c r="D27" s="279">
        <f>C29</f>
        <v>3.8E-3</v>
      </c>
      <c r="E27" s="280" t="s">
        <v>126</v>
      </c>
      <c r="F27" s="290">
        <f>'数据-取费表'!Q16</f>
        <v>0.19</v>
      </c>
      <c r="G27" s="291" t="s">
        <v>1065</v>
      </c>
    </row>
    <row r="28" spans="1:7" s="258" customFormat="1" ht="13.5" customHeight="1">
      <c r="A28" s="951" t="s">
        <v>794</v>
      </c>
      <c r="B28" s="292" t="s">
        <v>1058</v>
      </c>
      <c r="C28" s="293">
        <f>ROUND((C5+C19+C20)*F27*'数据-取费表'!B21/'数据-取费表'!B20,0)</f>
        <v>3996</v>
      </c>
      <c r="D28" s="279"/>
      <c r="E28" s="280"/>
      <c r="F28" s="290"/>
      <c r="G28" s="291"/>
    </row>
    <row r="29" spans="1:7" s="258" customFormat="1" ht="13.5" customHeight="1">
      <c r="A29" s="951" t="s">
        <v>792</v>
      </c>
      <c r="B29" s="292" t="s">
        <v>1059</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29346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10</v>
      </c>
      <c r="D37" s="261">
        <f>'数据-汇总表'!E3</f>
        <v>499.07</v>
      </c>
      <c r="E37" s="293">
        <f>'数据-取费表'!B35</f>
        <v>200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v>
      </c>
      <c r="D42" s="282"/>
      <c r="E42" s="282"/>
      <c r="F42" s="283"/>
      <c r="G42" s="3198" t="s">
        <v>121</v>
      </c>
    </row>
    <row r="43" spans="1:7" ht="13.5" customHeight="1">
      <c r="A43" s="951" t="s">
        <v>792</v>
      </c>
      <c r="B43" s="259" t="s">
        <v>1060</v>
      </c>
      <c r="C43" s="282">
        <f ca="1">ROUND(IF('数据-取费表'!B22&lt;=1,C39*F22*'数据-取费表'!B21/2,C39*(POWER((1+F22),'数据-取费表'!B21/2)-1)),0)</f>
        <v>0</v>
      </c>
      <c r="D43" s="282"/>
      <c r="E43" s="282"/>
      <c r="F43" s="283"/>
      <c r="G43" s="3199"/>
    </row>
    <row r="44" spans="1:7" ht="13.5" customHeight="1">
      <c r="A44" s="951" t="s">
        <v>793</v>
      </c>
      <c r="B44" s="259" t="s">
        <v>1062</v>
      </c>
      <c r="C44" s="282">
        <f ca="1">ROUND(IF('数据-取费表'!B22&lt;=1,C40*F22*'数据-取费表'!B21/2,C40*(POWER((1+F22),'数据-取费表'!B21/2)-1)),4)</f>
        <v>1E-3</v>
      </c>
      <c r="D44" s="282"/>
      <c r="E44" s="282"/>
      <c r="F44" s="283"/>
      <c r="G44" s="3200"/>
    </row>
    <row r="45" spans="1:7" s="258" customFormat="1" ht="13.5" customHeight="1">
      <c r="A45" s="948" t="s">
        <v>786</v>
      </c>
      <c r="B45" s="288" t="s">
        <v>112</v>
      </c>
      <c r="C45" s="289">
        <f>C46</f>
        <v>33</v>
      </c>
      <c r="D45" s="279">
        <f>C47</f>
        <v>3.8E-3</v>
      </c>
      <c r="E45" s="280" t="s">
        <v>129</v>
      </c>
      <c r="F45" s="290"/>
      <c r="G45" s="291" t="s">
        <v>1068</v>
      </c>
    </row>
    <row r="46" spans="1:7" s="258" customFormat="1" ht="13.5" customHeight="1">
      <c r="A46" s="951" t="s">
        <v>794</v>
      </c>
      <c r="B46" s="292" t="s">
        <v>1061</v>
      </c>
      <c r="C46" s="293">
        <f>ROUND((C33+C39)*F27,0)</f>
        <v>33</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234</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187</v>
      </c>
      <c r="D51" s="276"/>
      <c r="E51" s="276"/>
      <c r="F51" s="308"/>
      <c r="G51" s="278" t="s">
        <v>64</v>
      </c>
    </row>
    <row r="52" spans="1:7" s="252" customFormat="1" ht="16.5" thickBot="1">
      <c r="A52" s="309" t="s">
        <v>65</v>
      </c>
      <c r="B52" s="310"/>
      <c r="C52" s="311">
        <f ca="1">C31+C51</f>
        <v>29533</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43845</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1635</v>
      </c>
      <c r="B2" s="3020" t="s">
        <v>1636</v>
      </c>
      <c r="C2" s="3020" t="s">
        <v>1637</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21"/>
      <c r="B3" s="3021"/>
      <c r="C3" s="3021"/>
      <c r="D3" s="1044" t="s">
        <v>1632</v>
      </c>
      <c r="E3" s="1044" t="s">
        <v>1638</v>
      </c>
      <c r="F3" s="1044" t="s">
        <v>1632</v>
      </c>
      <c r="G3" s="1044" t="s">
        <v>1633</v>
      </c>
      <c r="H3" s="1044" t="s">
        <v>1632</v>
      </c>
      <c r="I3" s="1044" t="s">
        <v>1633</v>
      </c>
    </row>
    <row r="4" spans="1:9" ht="30">
      <c r="A4" s="1972" t="str">
        <f>项目基本情况!S2</f>
        <v>房地产</v>
      </c>
      <c r="B4" s="1044">
        <f>项目基本情况!C17</f>
        <v>499.07</v>
      </c>
      <c r="C4" s="1044">
        <f>项目基本情况!C18</f>
        <v>14543</v>
      </c>
      <c r="D4" s="1044" t="e">
        <f ca="1">结果表!D118</f>
        <v>#REF!</v>
      </c>
      <c r="E4" s="1044" t="e">
        <f ca="1">结果表!E118</f>
        <v>#REF!</v>
      </c>
      <c r="F4" s="1044" t="e">
        <f ca="1">结果表!F118</f>
        <v>#REF!</v>
      </c>
      <c r="G4" s="1044" t="e">
        <f ca="1">结果表!G118</f>
        <v>#REF!</v>
      </c>
      <c r="H4" s="1044">
        <f ca="1">结果表!H118</f>
        <v>2386</v>
      </c>
      <c r="I4" s="1044">
        <f ca="1">结果表!I118</f>
        <v>47809</v>
      </c>
    </row>
    <row r="5" spans="1:9" ht="30" customHeight="1">
      <c r="A5" s="3021" t="s">
        <v>1634</v>
      </c>
      <c r="B5" s="3021"/>
      <c r="C5" s="3021"/>
      <c r="D5" s="3022" t="e">
        <f ca="1">结果表!D119</f>
        <v>#REF!</v>
      </c>
      <c r="E5" s="3022"/>
      <c r="F5" s="3022" t="e">
        <f ca="1">结果表!F119</f>
        <v>#REF!</v>
      </c>
      <c r="G5" s="3022"/>
      <c r="H5" s="3022" t="str">
        <f ca="1">结果表!H119</f>
        <v>贰仟叁佰捌拾陆万元整</v>
      </c>
      <c r="I5" s="3022"/>
    </row>
    <row r="6" spans="1:9" ht="15.75">
      <c r="A6" s="3023" t="str">
        <f>结果表!A120</f>
        <v>估价师知悉的法定优先受偿款</v>
      </c>
      <c r="B6" s="3023"/>
      <c r="C6" s="3023"/>
      <c r="D6" s="3023">
        <f>结果表!D120</f>
        <v>0</v>
      </c>
      <c r="E6" s="3023"/>
      <c r="F6" s="3023"/>
      <c r="G6" s="3023"/>
      <c r="H6" s="3023"/>
      <c r="I6" s="3023"/>
    </row>
    <row r="7" spans="1:9" ht="15">
      <c r="A7" s="3021" t="s">
        <v>1634</v>
      </c>
      <c r="B7" s="3021"/>
      <c r="C7" s="3021"/>
      <c r="D7" s="3024" t="str">
        <f>结果表!D121</f>
        <v>零元整</v>
      </c>
      <c r="E7" s="3025"/>
      <c r="F7" s="3025"/>
      <c r="G7" s="3025"/>
      <c r="H7" s="3025"/>
      <c r="I7" s="3026"/>
    </row>
    <row r="8" spans="1:9" ht="15.75">
      <c r="A8" s="3023" t="str">
        <f>结果表!A122</f>
        <v>房地产抵押价值</v>
      </c>
      <c r="B8" s="3023"/>
      <c r="C8" s="3023"/>
      <c r="D8" s="3023">
        <f ca="1">结果表!D122</f>
        <v>2386</v>
      </c>
      <c r="E8" s="3023"/>
      <c r="F8" s="3023"/>
      <c r="G8" s="3023"/>
      <c r="H8" s="3023"/>
      <c r="I8" s="3023"/>
    </row>
    <row r="9" spans="1:9" ht="15">
      <c r="A9" s="3021" t="s">
        <v>1634</v>
      </c>
      <c r="B9" s="3021"/>
      <c r="C9" s="3021"/>
      <c r="D9" s="3022" t="str">
        <f ca="1">结果表!D123</f>
        <v>贰仟叁佰捌拾陆万元整</v>
      </c>
      <c r="E9" s="3022"/>
      <c r="F9" s="3022"/>
      <c r="G9" s="3022"/>
      <c r="H9" s="3022"/>
      <c r="I9" s="3022"/>
    </row>
    <row r="10" spans="1:9" ht="15.75">
      <c r="A10" s="3023" t="str">
        <f>结果表!A124</f>
        <v/>
      </c>
      <c r="B10" s="3023"/>
      <c r="C10" s="3023"/>
      <c r="D10" s="3023" t="str">
        <f>结果表!D124</f>
        <v>——</v>
      </c>
      <c r="E10" s="3023"/>
      <c r="F10" s="3023"/>
      <c r="G10" s="3023"/>
      <c r="H10" s="3023"/>
      <c r="I10" s="3023"/>
    </row>
    <row r="11" spans="1:9" ht="15">
      <c r="A11" s="3021" t="s">
        <v>1634</v>
      </c>
      <c r="B11" s="3021"/>
      <c r="C11" s="3021"/>
      <c r="D11" s="3022" t="e">
        <f>结果表!D125</f>
        <v>#VALUE!</v>
      </c>
      <c r="E11" s="3022"/>
      <c r="F11" s="3022"/>
      <c r="G11" s="3022"/>
      <c r="H11" s="3022"/>
      <c r="I11" s="3022"/>
    </row>
    <row r="12" spans="1:9" ht="15.75">
      <c r="A12" s="3023" t="str">
        <f>结果表!A126</f>
        <v/>
      </c>
      <c r="B12" s="3023"/>
      <c r="C12" s="3023"/>
      <c r="D12" s="3023" t="str">
        <f>结果表!D126</f>
        <v>——</v>
      </c>
      <c r="E12" s="3023"/>
      <c r="F12" s="3023"/>
      <c r="G12" s="3023"/>
      <c r="H12" s="3023"/>
      <c r="I12" s="3023"/>
    </row>
    <row r="13" spans="1:9" ht="15.75" thickBot="1">
      <c r="A13" s="3027" t="s">
        <v>1634</v>
      </c>
      <c r="B13" s="3027"/>
      <c r="C13" s="3027"/>
      <c r="D13" s="3028" t="e">
        <f>结果表!D127</f>
        <v>#VALUE!</v>
      </c>
      <c r="E13" s="3028"/>
      <c r="F13" s="3028"/>
      <c r="G13" s="3028"/>
      <c r="H13" s="3028"/>
      <c r="I13" s="3028"/>
    </row>
    <row r="14" spans="1:9" ht="15" thickTop="1">
      <c r="A14" s="3029" t="s">
        <v>1639</v>
      </c>
      <c r="B14" s="3029"/>
      <c r="C14" s="3029"/>
      <c r="D14" s="3029"/>
      <c r="E14" s="3029"/>
      <c r="F14" s="3029"/>
      <c r="G14" s="3029"/>
      <c r="H14" s="3029"/>
      <c r="I14" s="302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2915</v>
      </c>
      <c r="C2" s="2568" t="s">
        <v>2518</v>
      </c>
      <c r="D2" s="2569" t="s">
        <v>2519</v>
      </c>
      <c r="E2" s="2570">
        <f>SUM(E6:E13)</f>
        <v>499.07</v>
      </c>
    </row>
    <row r="3" spans="1:6" ht="15.75">
      <c r="A3" s="2566" t="s">
        <v>1389</v>
      </c>
      <c r="B3" s="2567">
        <f ca="1">ROUND(B2*10000/E2,0)</f>
        <v>58409</v>
      </c>
      <c r="C3" s="2568" t="s">
        <v>2526</v>
      </c>
      <c r="D3" s="2571"/>
      <c r="E3" s="2572"/>
    </row>
    <row r="4" spans="1:6" ht="15.75">
      <c r="A4" s="2573"/>
      <c r="B4" s="2571"/>
      <c r="C4" s="2571"/>
      <c r="D4" s="2571"/>
      <c r="E4" s="2572"/>
    </row>
    <row r="5" spans="1:6" ht="15">
      <c r="A5" s="2574" t="s">
        <v>2520</v>
      </c>
      <c r="B5" s="3342" t="s">
        <v>2521</v>
      </c>
      <c r="C5" s="3342"/>
      <c r="D5" s="2575"/>
      <c r="E5" s="2576" t="s">
        <v>2522</v>
      </c>
      <c r="F5" s="2577" t="s">
        <v>2523</v>
      </c>
    </row>
    <row r="6" spans="1:6">
      <c r="A6" s="2578" t="str">
        <f>'数据-取费表'!AN6</f>
        <v>收益法 (办公)</v>
      </c>
      <c r="B6" s="2577">
        <f ca="1">IF(F6="是",'数据-取费表'!AO6,0)</f>
        <v>309</v>
      </c>
      <c r="C6" s="2568" t="s">
        <v>2518</v>
      </c>
      <c r="D6" s="2571"/>
      <c r="E6" s="2579">
        <f>IF(OR(A6=0,F6="否"),0,'数据-取费表'!K6+'数据-取费表'!S6)</f>
        <v>55.46</v>
      </c>
      <c r="F6" s="2580" t="s">
        <v>2524</v>
      </c>
    </row>
    <row r="7" spans="1:6">
      <c r="A7" s="2578" t="str">
        <f>'数据-取费表'!AN7</f>
        <v>收益法</v>
      </c>
      <c r="B7" s="2577">
        <f ca="1">IF(F7="是",'数据-取费表'!AO7,0)</f>
        <v>2606</v>
      </c>
      <c r="C7" s="2568" t="s">
        <v>2518</v>
      </c>
      <c r="D7" s="2571"/>
      <c r="E7" s="2579">
        <f>IF(OR(A7=0,F7="否"),0,'数据-取费表'!K7+'数据-取费表'!S7)</f>
        <v>443.61</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0" t="s">
        <v>1656</v>
      </c>
      <c r="B1" s="3030"/>
      <c r="C1" s="3030"/>
      <c r="D1" s="3030"/>
    </row>
    <row r="2" spans="1:4" ht="18">
      <c r="A2" s="3031" t="s">
        <v>1640</v>
      </c>
      <c r="B2" s="3031"/>
      <c r="C2" s="3031"/>
      <c r="D2" s="3031"/>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31" t="s">
        <v>1646</v>
      </c>
      <c r="B6" s="3031"/>
      <c r="C6" s="3031"/>
      <c r="D6" s="303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32" t="s">
        <v>1649</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6" t="s">
        <v>1650</v>
      </c>
      <c r="B16" s="3036"/>
      <c r="C16" s="3036"/>
      <c r="D16" s="3036"/>
    </row>
    <row r="17" spans="1:4" ht="144" customHeight="1">
      <c r="A17" s="3036" t="s">
        <v>1651</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1652</v>
      </c>
      <c r="B22" s="3038"/>
      <c r="C22" s="3038"/>
      <c r="D22" s="303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4" t="s">
        <v>1663</v>
      </c>
      <c r="B15" s="3039" t="s">
        <v>136</v>
      </c>
      <c r="C15" s="3040"/>
    </row>
    <row r="16" spans="1:7" ht="13.5">
      <c r="A16" s="3045"/>
      <c r="B16" s="3039" t="s">
        <v>69</v>
      </c>
      <c r="C16" s="3040"/>
    </row>
    <row r="17" spans="1:3" ht="13.5">
      <c r="A17" s="3045"/>
      <c r="B17" s="3042" t="s">
        <v>1664</v>
      </c>
      <c r="C17" s="1999" t="s">
        <v>1663</v>
      </c>
    </row>
    <row r="18" spans="1:3" ht="13.5">
      <c r="A18" s="3045"/>
      <c r="B18" s="3042"/>
      <c r="C18" s="1999" t="s">
        <v>1665</v>
      </c>
    </row>
    <row r="19" spans="1:3" ht="13.5">
      <c r="A19" s="3045"/>
      <c r="B19" s="3042"/>
      <c r="C19" s="1999" t="s">
        <v>1666</v>
      </c>
    </row>
    <row r="20" spans="1:3" ht="13.5">
      <c r="A20" s="3046"/>
      <c r="B20" s="3041" t="s">
        <v>1667</v>
      </c>
      <c r="C20" s="3040"/>
    </row>
    <row r="21" spans="1:3" ht="13.5">
      <c r="A21" s="2000" t="s">
        <v>1668</v>
      </c>
      <c r="B21" s="2001"/>
      <c r="C21" s="2002"/>
    </row>
    <row r="22" spans="1:3" ht="13.5">
      <c r="A22" s="3043" t="s">
        <v>1669</v>
      </c>
      <c r="B22" s="3041" t="s">
        <v>1670</v>
      </c>
      <c r="C22" s="3040"/>
    </row>
    <row r="23" spans="1:3" ht="13.5">
      <c r="A23" s="3043"/>
      <c r="B23" s="3041" t="s">
        <v>1671</v>
      </c>
      <c r="C23" s="3040"/>
    </row>
    <row r="24" spans="1:3" ht="13.5">
      <c r="A24" s="3043"/>
      <c r="B24" s="3041" t="s">
        <v>1672</v>
      </c>
      <c r="C24" s="3040"/>
    </row>
    <row r="25" spans="1:3" ht="13.5">
      <c r="A25" s="3043"/>
      <c r="B25" s="3042" t="s">
        <v>1673</v>
      </c>
      <c r="C25" s="1999" t="s">
        <v>1674</v>
      </c>
    </row>
    <row r="26" spans="1:3" ht="13.5">
      <c r="A26" s="3043"/>
      <c r="B26" s="3042"/>
      <c r="C26" s="1999" t="s">
        <v>1675</v>
      </c>
    </row>
    <row r="27" spans="1:3" ht="13.5">
      <c r="A27" s="3043"/>
      <c r="B27" s="3042"/>
      <c r="C27" s="1999" t="s">
        <v>1676</v>
      </c>
    </row>
    <row r="28" spans="1:3" ht="13.5">
      <c r="A28" s="3043"/>
      <c r="B28" s="3042"/>
      <c r="C28" s="1999" t="s">
        <v>1677</v>
      </c>
    </row>
    <row r="29" spans="1:3" ht="13.5">
      <c r="A29" s="3043"/>
      <c r="B29" s="3042"/>
      <c r="C29" s="1999" t="s">
        <v>1678</v>
      </c>
    </row>
    <row r="30" spans="1:3" ht="13.5">
      <c r="A30" s="3043"/>
      <c r="B30" s="3042"/>
      <c r="C30" s="1999" t="s">
        <v>1679</v>
      </c>
    </row>
    <row r="31" spans="1:3" ht="13.5">
      <c r="A31" s="3043"/>
      <c r="B31" s="3042"/>
      <c r="C31" s="1999" t="s">
        <v>1680</v>
      </c>
    </row>
    <row r="32" spans="1:3" ht="13.5">
      <c r="A32" s="3043"/>
      <c r="B32" s="3042"/>
      <c r="C32" s="1999" t="s">
        <v>1681</v>
      </c>
    </row>
    <row r="33" spans="1:3" ht="13.5">
      <c r="A33" s="3043"/>
      <c r="B33" s="304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C19" sqref="C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43847</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3044</v>
      </c>
      <c r="B14" s="1022">
        <f ca="1">IF(C14&lt;B2,"已过期",1120040230)</f>
        <v>1120040230</v>
      </c>
      <c r="C14" s="2348">
        <v>44864</v>
      </c>
      <c r="D14" s="2351" t="s">
        <v>3044</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3051</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3053</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47" t="s">
        <v>842</v>
      </c>
      <c r="B25" s="3047"/>
      <c r="C25" s="3047"/>
      <c r="D25" s="3047"/>
      <c r="E25" s="3047"/>
      <c r="F25" s="3047"/>
      <c r="G25" s="3047"/>
    </row>
    <row r="26" spans="1:7" s="1025" customFormat="1" ht="24" customHeight="1">
      <c r="A26" s="3048" t="s">
        <v>843</v>
      </c>
      <c r="B26" s="3048"/>
      <c r="C26" s="3049"/>
      <c r="D26" s="3050" t="s">
        <v>844</v>
      </c>
      <c r="E26" s="3048"/>
      <c r="F26" s="3048"/>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租约</vt:lpstr>
      <vt:lpstr>估价对象房地状况</vt:lpstr>
      <vt:lpstr>系统读取表</vt:lpstr>
      <vt:lpstr>结果表</vt:lpstr>
      <vt:lpstr>成本法</vt:lpstr>
      <vt:lpstr>成本法 (元)</vt:lpstr>
      <vt:lpstr>土地比较法-住宅、综合</vt:lpstr>
      <vt:lpstr>假设开发法</vt:lpstr>
      <vt:lpstr>收益法 (元)</vt:lpstr>
      <vt:lpstr>酒店收入计算</vt:lpstr>
      <vt:lpstr>比较法-商业</vt:lpstr>
      <vt:lpstr>商业</vt:lpstr>
      <vt:lpstr>收益法</vt:lpstr>
      <vt:lpstr>典型户型修正 (商业)</vt:lpstr>
      <vt:lpstr>结果表 (办公)</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公寓</vt:lpstr>
      <vt:lpstr>收益法 (办公)</vt:lpstr>
      <vt:lpstr>典型户型修正</vt:lpstr>
      <vt:lpstr>成本法（废）</vt:lpstr>
      <vt:lpstr>区片价</vt:lpstr>
      <vt:lpstr>因素修正幅度</vt:lpstr>
      <vt:lpstr>存贷款利率</vt:lpstr>
      <vt:lpstr>区片价（范围）</vt:lpstr>
      <vt:lpstr>收益法（汇总）</vt:lpstr>
      <vt:lpstr>估价师及机构信息!Print_Area</vt:lpstr>
      <vt:lpstr>收益法!Print_Area</vt:lpstr>
      <vt:lpstr>'收益法 (办公)'!Print_Area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2020-01-17T06:35:01Z</dcterms:modified>
</cp:coreProperties>
</file>