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4"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租约" sheetId="78" r:id="rId17"/>
    <sheet name="估价对象房地状况" sheetId="20" state="hidden" r:id="rId18"/>
    <sheet name="系统读取表" sheetId="74" r:id="rId19"/>
    <sheet name="结果表" sheetId="9" r:id="rId20"/>
    <sheet name="成本法" sheetId="68" state="hidden" r:id="rId21"/>
    <sheet name="成本法 (元)" sheetId="69" state="hidden" r:id="rId22"/>
    <sheet name="土地比较法-住宅、综合" sheetId="39" state="hidden" r:id="rId23"/>
    <sheet name="假设开发法" sheetId="12" state="hidden" r:id="rId24"/>
    <sheet name="酒店收入计算" sheetId="66" state="hidden" r:id="rId25"/>
    <sheet name="比较法-商业" sheetId="33" r:id="rId26"/>
    <sheet name="商业" sheetId="82" r:id="rId27"/>
    <sheet name="收益法 (元)" sheetId="67" r:id="rId28"/>
    <sheet name="收益法" sheetId="15" state="hidden" r:id="rId29"/>
    <sheet name="典型户型修正 (商业)" sheetId="80" r:id="rId30"/>
    <sheet name="结果表 (办公)" sheetId="81" r:id="rId31"/>
    <sheet name="比较法-住宅" sheetId="21"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公寓" sheetId="83" r:id="rId43"/>
    <sheet name="收益法 (元) (公寓)" sheetId="85" r:id="rId44"/>
    <sheet name="收益法 (办公)" sheetId="79" state="hidden" r:id="rId45"/>
    <sheet name="典型户型修正"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汇总）" sheetId="70" state="hidden" r:id="rId52"/>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44">'收益法 (办公)'!$A$1:$AK$69</definedName>
    <definedName name="_xlnm.Print_Area" localSheetId="27">'收益法 (元)'!$A$1:$AK$69</definedName>
    <definedName name="_xlnm.Print_Area" localSheetId="43">'收益法 (元) (公寓)'!$A$1:$AK$69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9">'典型户型修正 (商业)'!$5:$5</definedName>
    <definedName name="一修多修正项2">典型户型修正!$5:$5</definedName>
    <definedName name="一修多修正项3" localSheetId="29">'典型户型修正 (商业)'!$7:$7</definedName>
    <definedName name="一修多修正项3">典型户型修正!$7:$7</definedName>
    <definedName name="一修多修正项4" localSheetId="29">'典型户型修正 (商业)'!$9:$9</definedName>
    <definedName name="一修多修正项4">典型户型修正!$9:$9</definedName>
    <definedName name="一修多修正项5" localSheetId="29">'典型户型修正 (商业)'!$11:$11</definedName>
    <definedName name="一修多修正项5">典型户型修正!$11:$11</definedName>
    <definedName name="一修多修正项6" localSheetId="29">'典型户型修正 (商业)'!$13:$13</definedName>
    <definedName name="一修多修正项6">典型户型修正!$13:$13</definedName>
    <definedName name="一修多修正项7" localSheetId="29">'典型户型修正 (商业)'!$15:$15</definedName>
    <definedName name="一修多修正项7">典型户型修正!$15:$15</definedName>
    <definedName name="一修多修正项8" localSheetId="29">'典型户型修正 (商业)'!$17:$17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52" i="85" l="1"/>
  <c r="C11" i="21"/>
  <c r="H3" i="78"/>
  <c r="H4" i="78"/>
  <c r="H5" i="78"/>
  <c r="H6" i="78"/>
  <c r="H7" i="78"/>
  <c r="H8" i="78"/>
  <c r="H9" i="78"/>
  <c r="H10" i="78"/>
  <c r="H11" i="78"/>
  <c r="H12" i="78"/>
  <c r="H2" i="78"/>
  <c r="Q72" i="85"/>
  <c r="Q59" i="85"/>
  <c r="K59" i="85"/>
  <c r="P74" i="85"/>
  <c r="Q58" i="85"/>
  <c r="Q51" i="85"/>
  <c r="J50" i="85"/>
  <c r="J51" i="85"/>
  <c r="M47" i="85"/>
  <c r="D46" i="85"/>
  <c r="F33" i="85"/>
  <c r="F61" i="85"/>
  <c r="F32" i="85"/>
  <c r="F60" i="85"/>
  <c r="F28" i="85"/>
  <c r="C28" i="85"/>
  <c r="F23" i="85"/>
  <c r="D24" i="85"/>
  <c r="D23" i="85"/>
  <c r="D22" i="85"/>
  <c r="F21" i="85"/>
  <c r="F20" i="85"/>
  <c r="M19" i="85"/>
  <c r="M18" i="85"/>
  <c r="F18" i="85"/>
  <c r="F17" i="85"/>
  <c r="F15" i="85"/>
  <c r="G1" i="85"/>
  <c r="F9" i="85"/>
  <c r="F7" i="85"/>
  <c r="F40" i="85"/>
  <c r="F43" i="85"/>
  <c r="F50" i="85"/>
  <c r="M7" i="85"/>
  <c r="F68" i="85"/>
  <c r="F71" i="85"/>
  <c r="P61" i="85"/>
  <c r="I13" i="3"/>
  <c r="K13" i="3"/>
  <c r="E93" i="33"/>
  <c r="L47" i="85"/>
  <c r="F26" i="85"/>
  <c r="M22" i="85"/>
  <c r="F37" i="85"/>
  <c r="M29" i="85"/>
  <c r="M8" i="85"/>
  <c r="M26" i="85"/>
  <c r="F6" i="85"/>
  <c r="F36" i="85"/>
  <c r="F13" i="85"/>
  <c r="C14" i="85"/>
  <c r="F38" i="85"/>
  <c r="M9" i="85"/>
  <c r="M23" i="85"/>
  <c r="F16" i="85"/>
  <c r="M28" i="85"/>
  <c r="C17" i="85"/>
  <c r="M6" i="85"/>
  <c r="M24" i="85"/>
  <c r="F42" i="85"/>
  <c r="F8" i="85"/>
  <c r="C76" i="85"/>
  <c r="M27" i="85"/>
  <c r="J15" i="85"/>
  <c r="C6" i="85"/>
  <c r="C27" i="85"/>
  <c r="F65" i="85"/>
  <c r="F70" i="85"/>
  <c r="F51" i="85"/>
  <c r="J6" i="85"/>
  <c r="C18" i="85"/>
  <c r="C15" i="85"/>
  <c r="F64" i="85"/>
  <c r="F66" i="85"/>
  <c r="M59" i="85"/>
  <c r="N59" i="85"/>
  <c r="L59" i="85"/>
  <c r="Q71" i="85"/>
  <c r="I37" i="21"/>
  <c r="G37" i="21"/>
  <c r="E37" i="21"/>
  <c r="C37" i="21"/>
  <c r="I7" i="21"/>
  <c r="G7" i="21"/>
  <c r="E7" i="21"/>
  <c r="G36" i="33"/>
  <c r="I36" i="33"/>
  <c r="N6" i="1"/>
  <c r="C36" i="33"/>
  <c r="I7" i="33"/>
  <c r="G7" i="33"/>
  <c r="E7" i="33"/>
  <c r="F31" i="85"/>
  <c r="F59" i="85"/>
  <c r="C16" i="85"/>
  <c r="M17" i="85"/>
  <c r="C19" i="85"/>
  <c r="J18" i="85"/>
  <c r="Q74" i="85"/>
  <c r="Q61" i="85"/>
  <c r="C49" i="85"/>
  <c r="C33" i="85"/>
  <c r="C32" i="85"/>
  <c r="Y6" i="1"/>
  <c r="B14" i="74"/>
  <c r="C37" i="34"/>
  <c r="G37" i="34"/>
  <c r="N7" i="1"/>
  <c r="Y7" i="1"/>
  <c r="F12" i="78"/>
  <c r="F11" i="78"/>
  <c r="F10" i="78"/>
  <c r="F9" i="78"/>
  <c r="F8" i="78"/>
  <c r="F7" i="78"/>
  <c r="F6" i="78"/>
  <c r="F5" i="78"/>
  <c r="F4" i="78"/>
  <c r="F3" i="78"/>
  <c r="F2" i="78"/>
  <c r="C20" i="85"/>
  <c r="E37" i="34"/>
  <c r="I37" i="34"/>
  <c r="A126" i="81"/>
  <c r="A122" i="81"/>
  <c r="A120" i="81"/>
  <c r="H111" i="81"/>
  <c r="D126" i="81"/>
  <c r="D127" i="81"/>
  <c r="E111" i="81"/>
  <c r="H112" i="81"/>
  <c r="E109" i="81"/>
  <c r="A124" i="81"/>
  <c r="E107" i="81"/>
  <c r="H106" i="81"/>
  <c r="H103" i="81"/>
  <c r="D120" i="81"/>
  <c r="H105" i="81"/>
  <c r="H104" i="81"/>
  <c r="D101" i="81"/>
  <c r="C101" i="81"/>
  <c r="D93" i="81"/>
  <c r="C91" i="81"/>
  <c r="E90" i="81"/>
  <c r="D89" i="81"/>
  <c r="C89" i="81"/>
  <c r="C87" i="81"/>
  <c r="D78" i="81"/>
  <c r="H77" i="81"/>
  <c r="D77" i="81"/>
  <c r="C76" i="81"/>
  <c r="D68" i="81"/>
  <c r="F59" i="81"/>
  <c r="E59" i="81"/>
  <c r="D59" i="81"/>
  <c r="N56" i="81"/>
  <c r="M56" i="81"/>
  <c r="K56" i="81"/>
  <c r="J56" i="81"/>
  <c r="F56" i="81"/>
  <c r="O55" i="81"/>
  <c r="N55" i="81"/>
  <c r="M55" i="81"/>
  <c r="K55" i="81"/>
  <c r="J55" i="81"/>
  <c r="J57" i="81"/>
  <c r="J59" i="81"/>
  <c r="J61" i="81"/>
  <c r="I55" i="81"/>
  <c r="F55" i="81"/>
  <c r="O53" i="81"/>
  <c r="O54" i="81"/>
  <c r="N54" i="81"/>
  <c r="F54" i="81"/>
  <c r="N53" i="81"/>
  <c r="F53" i="81"/>
  <c r="F52" i="81"/>
  <c r="K49" i="81"/>
  <c r="F48" i="81"/>
  <c r="O52" i="81"/>
  <c r="E48" i="81"/>
  <c r="N52" i="81"/>
  <c r="D48" i="81"/>
  <c r="M52" i="81"/>
  <c r="F33" i="81"/>
  <c r="D27" i="81"/>
  <c r="C25" i="81"/>
  <c r="C24" i="81"/>
  <c r="D17" i="81"/>
  <c r="C17" i="81"/>
  <c r="L4" i="81"/>
  <c r="K4" i="81"/>
  <c r="H1" i="81"/>
  <c r="R524" i="80"/>
  <c r="S524" i="80"/>
  <c r="Q524" i="80"/>
  <c r="O524" i="80"/>
  <c r="M524" i="80"/>
  <c r="K524" i="80"/>
  <c r="I524" i="80"/>
  <c r="G524" i="80"/>
  <c r="C524" i="80"/>
  <c r="R523" i="80"/>
  <c r="S523" i="80"/>
  <c r="Q523" i="80"/>
  <c r="O523" i="80"/>
  <c r="M523" i="80"/>
  <c r="K523" i="80"/>
  <c r="I523" i="80"/>
  <c r="G523" i="80"/>
  <c r="C523" i="80"/>
  <c r="R522" i="80"/>
  <c r="S522" i="80"/>
  <c r="Q522" i="80"/>
  <c r="O522" i="80"/>
  <c r="M522" i="80"/>
  <c r="K522" i="80"/>
  <c r="I522" i="80"/>
  <c r="G522" i="80"/>
  <c r="C522" i="80"/>
  <c r="R521" i="80"/>
  <c r="S521" i="80"/>
  <c r="Q521" i="80"/>
  <c r="O521" i="80"/>
  <c r="M521" i="80"/>
  <c r="K521" i="80"/>
  <c r="I521" i="80"/>
  <c r="G521" i="80"/>
  <c r="C521" i="80"/>
  <c r="R520" i="80"/>
  <c r="S520" i="80"/>
  <c r="Q520" i="80"/>
  <c r="O520" i="80"/>
  <c r="M520" i="80"/>
  <c r="K520" i="80"/>
  <c r="I520" i="80"/>
  <c r="G520" i="80"/>
  <c r="C520" i="80"/>
  <c r="R519" i="80"/>
  <c r="S519" i="80"/>
  <c r="Q519" i="80"/>
  <c r="O519" i="80"/>
  <c r="M519" i="80"/>
  <c r="K519" i="80"/>
  <c r="I519" i="80"/>
  <c r="G519" i="80"/>
  <c r="C519" i="80"/>
  <c r="R518" i="80"/>
  <c r="S518" i="80"/>
  <c r="Q518" i="80"/>
  <c r="O518" i="80"/>
  <c r="M518" i="80"/>
  <c r="K518" i="80"/>
  <c r="I518" i="80"/>
  <c r="G518" i="80"/>
  <c r="C518" i="80"/>
  <c r="R517" i="80"/>
  <c r="S517" i="80"/>
  <c r="Q517" i="80"/>
  <c r="O517" i="80"/>
  <c r="M517" i="80"/>
  <c r="K517" i="80"/>
  <c r="I517" i="80"/>
  <c r="G517" i="80"/>
  <c r="C517" i="80"/>
  <c r="R516" i="80"/>
  <c r="S516" i="80"/>
  <c r="Q516" i="80"/>
  <c r="O516" i="80"/>
  <c r="M516" i="80"/>
  <c r="K516" i="80"/>
  <c r="I516" i="80"/>
  <c r="G516" i="80"/>
  <c r="C516" i="80"/>
  <c r="R515" i="80"/>
  <c r="S515" i="80"/>
  <c r="Q515" i="80"/>
  <c r="O515" i="80"/>
  <c r="M515" i="80"/>
  <c r="K515" i="80"/>
  <c r="I515" i="80"/>
  <c r="G515" i="80"/>
  <c r="C515" i="80"/>
  <c r="R514" i="80"/>
  <c r="S514" i="80"/>
  <c r="Q514" i="80"/>
  <c r="O514" i="80"/>
  <c r="M514" i="80"/>
  <c r="K514" i="80"/>
  <c r="I514" i="80"/>
  <c r="G514" i="80"/>
  <c r="C514" i="80"/>
  <c r="R513" i="80"/>
  <c r="S513" i="80"/>
  <c r="Q513" i="80"/>
  <c r="O513" i="80"/>
  <c r="M513" i="80"/>
  <c r="K513" i="80"/>
  <c r="I513" i="80"/>
  <c r="G513" i="80"/>
  <c r="C513" i="80"/>
  <c r="R512" i="80"/>
  <c r="S512" i="80"/>
  <c r="Q512" i="80"/>
  <c r="O512" i="80"/>
  <c r="M512" i="80"/>
  <c r="K512" i="80"/>
  <c r="I512" i="80"/>
  <c r="G512" i="80"/>
  <c r="C512" i="80"/>
  <c r="R511" i="80"/>
  <c r="S511" i="80"/>
  <c r="Q511" i="80"/>
  <c r="O511" i="80"/>
  <c r="M511" i="80"/>
  <c r="K511" i="80"/>
  <c r="I511" i="80"/>
  <c r="G511" i="80"/>
  <c r="C511" i="80"/>
  <c r="R510" i="80"/>
  <c r="S510" i="80"/>
  <c r="Q510" i="80"/>
  <c r="O510" i="80"/>
  <c r="M510" i="80"/>
  <c r="K510" i="80"/>
  <c r="I510" i="80"/>
  <c r="G510" i="80"/>
  <c r="C510" i="80"/>
  <c r="R509" i="80"/>
  <c r="S509" i="80"/>
  <c r="Q509" i="80"/>
  <c r="O509" i="80"/>
  <c r="M509" i="80"/>
  <c r="K509" i="80"/>
  <c r="I509" i="80"/>
  <c r="G509" i="80"/>
  <c r="C509" i="80"/>
  <c r="R508" i="80"/>
  <c r="S508" i="80"/>
  <c r="Q508" i="80"/>
  <c r="O508" i="80"/>
  <c r="M508" i="80"/>
  <c r="K508" i="80"/>
  <c r="I508" i="80"/>
  <c r="G508" i="80"/>
  <c r="C508" i="80"/>
  <c r="R507" i="80"/>
  <c r="S507" i="80"/>
  <c r="Q507" i="80"/>
  <c r="O507" i="80"/>
  <c r="M507" i="80"/>
  <c r="K507" i="80"/>
  <c r="I507" i="80"/>
  <c r="G507" i="80"/>
  <c r="C507" i="80"/>
  <c r="R506" i="80"/>
  <c r="S506" i="80"/>
  <c r="Q506" i="80"/>
  <c r="O506" i="80"/>
  <c r="M506" i="80"/>
  <c r="K506" i="80"/>
  <c r="I506" i="80"/>
  <c r="G506" i="80"/>
  <c r="C506" i="80"/>
  <c r="R505" i="80"/>
  <c r="S505" i="80"/>
  <c r="Q505" i="80"/>
  <c r="O505" i="80"/>
  <c r="M505" i="80"/>
  <c r="K505" i="80"/>
  <c r="I505" i="80"/>
  <c r="G505" i="80"/>
  <c r="C505" i="80"/>
  <c r="R504" i="80"/>
  <c r="S504" i="80"/>
  <c r="Q504" i="80"/>
  <c r="O504" i="80"/>
  <c r="M504" i="80"/>
  <c r="K504" i="80"/>
  <c r="I504" i="80"/>
  <c r="G504" i="80"/>
  <c r="C504" i="80"/>
  <c r="R503" i="80"/>
  <c r="S503" i="80"/>
  <c r="Q503" i="80"/>
  <c r="O503" i="80"/>
  <c r="M503" i="80"/>
  <c r="K503" i="80"/>
  <c r="I503" i="80"/>
  <c r="G503" i="80"/>
  <c r="C503" i="80"/>
  <c r="R502" i="80"/>
  <c r="S502" i="80"/>
  <c r="Q502" i="80"/>
  <c r="O502" i="80"/>
  <c r="M502" i="80"/>
  <c r="K502" i="80"/>
  <c r="I502" i="80"/>
  <c r="G502" i="80"/>
  <c r="C502" i="80"/>
  <c r="R501" i="80"/>
  <c r="S501" i="80"/>
  <c r="Q501" i="80"/>
  <c r="O501" i="80"/>
  <c r="M501" i="80"/>
  <c r="K501" i="80"/>
  <c r="I501" i="80"/>
  <c r="G501" i="80"/>
  <c r="C501" i="80"/>
  <c r="R500" i="80"/>
  <c r="S500" i="80"/>
  <c r="Q500" i="80"/>
  <c r="O500" i="80"/>
  <c r="M500" i="80"/>
  <c r="K500" i="80"/>
  <c r="I500" i="80"/>
  <c r="G500" i="80"/>
  <c r="C500" i="80"/>
  <c r="R499" i="80"/>
  <c r="S499" i="80"/>
  <c r="Q499" i="80"/>
  <c r="O499" i="80"/>
  <c r="M499" i="80"/>
  <c r="K499" i="80"/>
  <c r="I499" i="80"/>
  <c r="G499" i="80"/>
  <c r="C499" i="80"/>
  <c r="R498" i="80"/>
  <c r="S498" i="80"/>
  <c r="Q498" i="80"/>
  <c r="O498" i="80"/>
  <c r="M498" i="80"/>
  <c r="K498" i="80"/>
  <c r="I498" i="80"/>
  <c r="G498" i="80"/>
  <c r="C498" i="80"/>
  <c r="R497" i="80"/>
  <c r="S497" i="80"/>
  <c r="Q497" i="80"/>
  <c r="O497" i="80"/>
  <c r="M497" i="80"/>
  <c r="K497" i="80"/>
  <c r="I497" i="80"/>
  <c r="G497" i="80"/>
  <c r="C497" i="80"/>
  <c r="R496" i="80"/>
  <c r="S496" i="80"/>
  <c r="Q496" i="80"/>
  <c r="O496" i="80"/>
  <c r="M496" i="80"/>
  <c r="K496" i="80"/>
  <c r="I496" i="80"/>
  <c r="G496" i="80"/>
  <c r="C496" i="80"/>
  <c r="R495" i="80"/>
  <c r="S495" i="80"/>
  <c r="Q495" i="80"/>
  <c r="O495" i="80"/>
  <c r="M495" i="80"/>
  <c r="K495" i="80"/>
  <c r="I495" i="80"/>
  <c r="G495" i="80"/>
  <c r="C495" i="80"/>
  <c r="R494" i="80"/>
  <c r="S494" i="80"/>
  <c r="Q494" i="80"/>
  <c r="O494" i="80"/>
  <c r="M494" i="80"/>
  <c r="K494" i="80"/>
  <c r="I494" i="80"/>
  <c r="G494" i="80"/>
  <c r="C494" i="80"/>
  <c r="R493" i="80"/>
  <c r="S493" i="80"/>
  <c r="Q493" i="80"/>
  <c r="O493" i="80"/>
  <c r="M493" i="80"/>
  <c r="K493" i="80"/>
  <c r="I493" i="80"/>
  <c r="G493" i="80"/>
  <c r="C493" i="80"/>
  <c r="R492" i="80"/>
  <c r="S492" i="80"/>
  <c r="Q492" i="80"/>
  <c r="O492" i="80"/>
  <c r="M492" i="80"/>
  <c r="K492" i="80"/>
  <c r="I492" i="80"/>
  <c r="G492" i="80"/>
  <c r="C492" i="80"/>
  <c r="R491" i="80"/>
  <c r="S491" i="80"/>
  <c r="Q491" i="80"/>
  <c r="O491" i="80"/>
  <c r="M491" i="80"/>
  <c r="K491" i="80"/>
  <c r="I491" i="80"/>
  <c r="G491" i="80"/>
  <c r="C491" i="80"/>
  <c r="R490" i="80"/>
  <c r="S490" i="80"/>
  <c r="Q490" i="80"/>
  <c r="O490" i="80"/>
  <c r="M490" i="80"/>
  <c r="K490" i="80"/>
  <c r="I490" i="80"/>
  <c r="G490" i="80"/>
  <c r="C490" i="80"/>
  <c r="R489" i="80"/>
  <c r="S489" i="80"/>
  <c r="Q489" i="80"/>
  <c r="O489" i="80"/>
  <c r="M489" i="80"/>
  <c r="K489" i="80"/>
  <c r="I489" i="80"/>
  <c r="G489" i="80"/>
  <c r="C489" i="80"/>
  <c r="R488" i="80"/>
  <c r="S488" i="80"/>
  <c r="Q488" i="80"/>
  <c r="O488" i="80"/>
  <c r="M488" i="80"/>
  <c r="K488" i="80"/>
  <c r="I488" i="80"/>
  <c r="G488" i="80"/>
  <c r="C488" i="80"/>
  <c r="R487" i="80"/>
  <c r="S487" i="80"/>
  <c r="Q487" i="80"/>
  <c r="O487" i="80"/>
  <c r="M487" i="80"/>
  <c r="K487" i="80"/>
  <c r="I487" i="80"/>
  <c r="G487" i="80"/>
  <c r="C487" i="80"/>
  <c r="R486" i="80"/>
  <c r="S486" i="80"/>
  <c r="Q486" i="80"/>
  <c r="O486" i="80"/>
  <c r="M486" i="80"/>
  <c r="K486" i="80"/>
  <c r="I486" i="80"/>
  <c r="G486" i="80"/>
  <c r="C486" i="80"/>
  <c r="R485" i="80"/>
  <c r="S485" i="80"/>
  <c r="Q485" i="80"/>
  <c r="O485" i="80"/>
  <c r="M485" i="80"/>
  <c r="K485" i="80"/>
  <c r="I485" i="80"/>
  <c r="G485" i="80"/>
  <c r="C485" i="80"/>
  <c r="R484" i="80"/>
  <c r="S484" i="80"/>
  <c r="Q484" i="80"/>
  <c r="O484" i="80"/>
  <c r="M484" i="80"/>
  <c r="K484" i="80"/>
  <c r="I484" i="80"/>
  <c r="G484" i="80"/>
  <c r="C484" i="80"/>
  <c r="R483" i="80"/>
  <c r="S483" i="80"/>
  <c r="Q483" i="80"/>
  <c r="O483" i="80"/>
  <c r="M483" i="80"/>
  <c r="K483" i="80"/>
  <c r="I483" i="80"/>
  <c r="G483" i="80"/>
  <c r="C483" i="80"/>
  <c r="R482" i="80"/>
  <c r="S482" i="80"/>
  <c r="Q482" i="80"/>
  <c r="O482" i="80"/>
  <c r="M482" i="80"/>
  <c r="K482" i="80"/>
  <c r="I482" i="80"/>
  <c r="G482" i="80"/>
  <c r="C482" i="80"/>
  <c r="R481" i="80"/>
  <c r="S481" i="80"/>
  <c r="Q481" i="80"/>
  <c r="O481" i="80"/>
  <c r="M481" i="80"/>
  <c r="K481" i="80"/>
  <c r="I481" i="80"/>
  <c r="G481" i="80"/>
  <c r="C481" i="80"/>
  <c r="R480" i="80"/>
  <c r="S480" i="80"/>
  <c r="Q480" i="80"/>
  <c r="O480" i="80"/>
  <c r="M480" i="80"/>
  <c r="K480" i="80"/>
  <c r="I480" i="80"/>
  <c r="G480" i="80"/>
  <c r="C480" i="80"/>
  <c r="R479" i="80"/>
  <c r="S479" i="80"/>
  <c r="Q479" i="80"/>
  <c r="O479" i="80"/>
  <c r="M479" i="80"/>
  <c r="K479" i="80"/>
  <c r="I479" i="80"/>
  <c r="G479" i="80"/>
  <c r="C479" i="80"/>
  <c r="R478" i="80"/>
  <c r="S478" i="80"/>
  <c r="Q478" i="80"/>
  <c r="O478" i="80"/>
  <c r="M478" i="80"/>
  <c r="K478" i="80"/>
  <c r="I478" i="80"/>
  <c r="G478" i="80"/>
  <c r="C478" i="80"/>
  <c r="R477" i="80"/>
  <c r="S477" i="80"/>
  <c r="Q477" i="80"/>
  <c r="O477" i="80"/>
  <c r="M477" i="80"/>
  <c r="K477" i="80"/>
  <c r="I477" i="80"/>
  <c r="G477" i="80"/>
  <c r="C477" i="80"/>
  <c r="R476" i="80"/>
  <c r="S476" i="80"/>
  <c r="Q476" i="80"/>
  <c r="O476" i="80"/>
  <c r="M476" i="80"/>
  <c r="K476" i="80"/>
  <c r="I476" i="80"/>
  <c r="G476" i="80"/>
  <c r="C476" i="80"/>
  <c r="R475" i="80"/>
  <c r="S475" i="80"/>
  <c r="Q475" i="80"/>
  <c r="O475" i="80"/>
  <c r="M475" i="80"/>
  <c r="K475" i="80"/>
  <c r="I475" i="80"/>
  <c r="G475" i="80"/>
  <c r="C475" i="80"/>
  <c r="R474" i="80"/>
  <c r="S474" i="80"/>
  <c r="Q474" i="80"/>
  <c r="O474" i="80"/>
  <c r="M474" i="80"/>
  <c r="K474" i="80"/>
  <c r="I474" i="80"/>
  <c r="G474" i="80"/>
  <c r="C474" i="80"/>
  <c r="R473" i="80"/>
  <c r="S473" i="80"/>
  <c r="Q473" i="80"/>
  <c r="O473" i="80"/>
  <c r="M473" i="80"/>
  <c r="K473" i="80"/>
  <c r="I473" i="80"/>
  <c r="G473" i="80"/>
  <c r="C473" i="80"/>
  <c r="R472" i="80"/>
  <c r="S472" i="80"/>
  <c r="Q472" i="80"/>
  <c r="O472" i="80"/>
  <c r="M472" i="80"/>
  <c r="K472" i="80"/>
  <c r="I472" i="80"/>
  <c r="G472" i="80"/>
  <c r="C472" i="80"/>
  <c r="R471" i="80"/>
  <c r="S471" i="80"/>
  <c r="Q471" i="80"/>
  <c r="O471" i="80"/>
  <c r="M471" i="80"/>
  <c r="K471" i="80"/>
  <c r="I471" i="80"/>
  <c r="G471" i="80"/>
  <c r="C471" i="80"/>
  <c r="R470" i="80"/>
  <c r="S470" i="80"/>
  <c r="Q470" i="80"/>
  <c r="O470" i="80"/>
  <c r="M470" i="80"/>
  <c r="K470" i="80"/>
  <c r="I470" i="80"/>
  <c r="G470" i="80"/>
  <c r="C470" i="80"/>
  <c r="R469" i="80"/>
  <c r="S469" i="80"/>
  <c r="Q469" i="80"/>
  <c r="O469" i="80"/>
  <c r="M469" i="80"/>
  <c r="K469" i="80"/>
  <c r="I469" i="80"/>
  <c r="G469" i="80"/>
  <c r="C469" i="80"/>
  <c r="R468" i="80"/>
  <c r="S468" i="80"/>
  <c r="Q468" i="80"/>
  <c r="O468" i="80"/>
  <c r="M468" i="80"/>
  <c r="K468" i="80"/>
  <c r="I468" i="80"/>
  <c r="G468" i="80"/>
  <c r="C468" i="80"/>
  <c r="R467" i="80"/>
  <c r="S467" i="80"/>
  <c r="Q467" i="80"/>
  <c r="O467" i="80"/>
  <c r="M467" i="80"/>
  <c r="K467" i="80"/>
  <c r="I467" i="80"/>
  <c r="G467" i="80"/>
  <c r="C467" i="80"/>
  <c r="R466" i="80"/>
  <c r="S466" i="80"/>
  <c r="Q466" i="80"/>
  <c r="O466" i="80"/>
  <c r="M466" i="80"/>
  <c r="K466" i="80"/>
  <c r="I466" i="80"/>
  <c r="G466" i="80"/>
  <c r="C466" i="80"/>
  <c r="R465" i="80"/>
  <c r="S465" i="80"/>
  <c r="Q465" i="80"/>
  <c r="O465" i="80"/>
  <c r="M465" i="80"/>
  <c r="K465" i="80"/>
  <c r="I465" i="80"/>
  <c r="G465" i="80"/>
  <c r="C465" i="80"/>
  <c r="R464" i="80"/>
  <c r="S464" i="80"/>
  <c r="Q464" i="80"/>
  <c r="O464" i="80"/>
  <c r="M464" i="80"/>
  <c r="K464" i="80"/>
  <c r="I464" i="80"/>
  <c r="G464" i="80"/>
  <c r="C464" i="80"/>
  <c r="R463" i="80"/>
  <c r="S463" i="80"/>
  <c r="Q463" i="80"/>
  <c r="O463" i="80"/>
  <c r="M463" i="80"/>
  <c r="K463" i="80"/>
  <c r="I463" i="80"/>
  <c r="G463" i="80"/>
  <c r="C463" i="80"/>
  <c r="R462" i="80"/>
  <c r="S462" i="80"/>
  <c r="Q462" i="80"/>
  <c r="O462" i="80"/>
  <c r="M462" i="80"/>
  <c r="K462" i="80"/>
  <c r="I462" i="80"/>
  <c r="G462" i="80"/>
  <c r="C462" i="80"/>
  <c r="R461" i="80"/>
  <c r="S461" i="80"/>
  <c r="Q461" i="80"/>
  <c r="O461" i="80"/>
  <c r="M461" i="80"/>
  <c r="K461" i="80"/>
  <c r="I461" i="80"/>
  <c r="G461" i="80"/>
  <c r="C461" i="80"/>
  <c r="R460" i="80"/>
  <c r="S460" i="80"/>
  <c r="Q460" i="80"/>
  <c r="O460" i="80"/>
  <c r="M460" i="80"/>
  <c r="K460" i="80"/>
  <c r="I460" i="80"/>
  <c r="G460" i="80"/>
  <c r="C460" i="80"/>
  <c r="R459" i="80"/>
  <c r="S459" i="80"/>
  <c r="Q459" i="80"/>
  <c r="O459" i="80"/>
  <c r="M459" i="80"/>
  <c r="K459" i="80"/>
  <c r="I459" i="80"/>
  <c r="G459" i="80"/>
  <c r="C459" i="80"/>
  <c r="R458" i="80"/>
  <c r="S458" i="80"/>
  <c r="Q458" i="80"/>
  <c r="O458" i="80"/>
  <c r="M458" i="80"/>
  <c r="K458" i="80"/>
  <c r="I458" i="80"/>
  <c r="G458" i="80"/>
  <c r="C458" i="80"/>
  <c r="R457" i="80"/>
  <c r="S457" i="80"/>
  <c r="Q457" i="80"/>
  <c r="O457" i="80"/>
  <c r="M457" i="80"/>
  <c r="K457" i="80"/>
  <c r="I457" i="80"/>
  <c r="G457" i="80"/>
  <c r="C457" i="80"/>
  <c r="R456" i="80"/>
  <c r="S456" i="80"/>
  <c r="Q456" i="80"/>
  <c r="O456" i="80"/>
  <c r="M456" i="80"/>
  <c r="K456" i="80"/>
  <c r="I456" i="80"/>
  <c r="G456" i="80"/>
  <c r="C456" i="80"/>
  <c r="R455" i="80"/>
  <c r="S455" i="80"/>
  <c r="Q455" i="80"/>
  <c r="O455" i="80"/>
  <c r="M455" i="80"/>
  <c r="K455" i="80"/>
  <c r="I455" i="80"/>
  <c r="G455" i="80"/>
  <c r="C455" i="80"/>
  <c r="R454" i="80"/>
  <c r="S454" i="80"/>
  <c r="Q454" i="80"/>
  <c r="O454" i="80"/>
  <c r="M454" i="80"/>
  <c r="K454" i="80"/>
  <c r="I454" i="80"/>
  <c r="G454" i="80"/>
  <c r="C454" i="80"/>
  <c r="R453" i="80"/>
  <c r="S453" i="80"/>
  <c r="Q453" i="80"/>
  <c r="O453" i="80"/>
  <c r="M453" i="80"/>
  <c r="K453" i="80"/>
  <c r="I453" i="80"/>
  <c r="G453" i="80"/>
  <c r="C453" i="80"/>
  <c r="R452" i="80"/>
  <c r="S452" i="80"/>
  <c r="Q452" i="80"/>
  <c r="O452" i="80"/>
  <c r="M452" i="80"/>
  <c r="K452" i="80"/>
  <c r="I452" i="80"/>
  <c r="G452" i="80"/>
  <c r="C452" i="80"/>
  <c r="R451" i="80"/>
  <c r="S451" i="80"/>
  <c r="Q451" i="80"/>
  <c r="O451" i="80"/>
  <c r="M451" i="80"/>
  <c r="K451" i="80"/>
  <c r="I451" i="80"/>
  <c r="G451" i="80"/>
  <c r="C451" i="80"/>
  <c r="R450" i="80"/>
  <c r="S450" i="80"/>
  <c r="Q450" i="80"/>
  <c r="O450" i="80"/>
  <c r="M450" i="80"/>
  <c r="K450" i="80"/>
  <c r="I450" i="80"/>
  <c r="G450" i="80"/>
  <c r="C450" i="80"/>
  <c r="R449" i="80"/>
  <c r="S449" i="80"/>
  <c r="Q449" i="80"/>
  <c r="O449" i="80"/>
  <c r="M449" i="80"/>
  <c r="K449" i="80"/>
  <c r="I449" i="80"/>
  <c r="G449" i="80"/>
  <c r="C449" i="80"/>
  <c r="R448" i="80"/>
  <c r="S448" i="80"/>
  <c r="Q448" i="80"/>
  <c r="O448" i="80"/>
  <c r="M448" i="80"/>
  <c r="K448" i="80"/>
  <c r="I448" i="80"/>
  <c r="G448" i="80"/>
  <c r="C448" i="80"/>
  <c r="R447" i="80"/>
  <c r="S447" i="80"/>
  <c r="Q447" i="80"/>
  <c r="O447" i="80"/>
  <c r="M447" i="80"/>
  <c r="K447" i="80"/>
  <c r="I447" i="80"/>
  <c r="G447" i="80"/>
  <c r="C447" i="80"/>
  <c r="R446" i="80"/>
  <c r="S446" i="80"/>
  <c r="Q446" i="80"/>
  <c r="O446" i="80"/>
  <c r="M446" i="80"/>
  <c r="K446" i="80"/>
  <c r="I446" i="80"/>
  <c r="G446" i="80"/>
  <c r="C446" i="80"/>
  <c r="R445" i="80"/>
  <c r="S445" i="80"/>
  <c r="Q445" i="80"/>
  <c r="O445" i="80"/>
  <c r="M445" i="80"/>
  <c r="K445" i="80"/>
  <c r="I445" i="80"/>
  <c r="G445" i="80"/>
  <c r="C445" i="80"/>
  <c r="R444" i="80"/>
  <c r="S444" i="80"/>
  <c r="Q444" i="80"/>
  <c r="O444" i="80"/>
  <c r="M444" i="80"/>
  <c r="K444" i="80"/>
  <c r="I444" i="80"/>
  <c r="G444" i="80"/>
  <c r="C444" i="80"/>
  <c r="R443" i="80"/>
  <c r="S443" i="80"/>
  <c r="Q443" i="80"/>
  <c r="O443" i="80"/>
  <c r="M443" i="80"/>
  <c r="K443" i="80"/>
  <c r="I443" i="80"/>
  <c r="G443" i="80"/>
  <c r="C443" i="80"/>
  <c r="R442" i="80"/>
  <c r="S442" i="80"/>
  <c r="Q442" i="80"/>
  <c r="O442" i="80"/>
  <c r="M442" i="80"/>
  <c r="K442" i="80"/>
  <c r="I442" i="80"/>
  <c r="G442" i="80"/>
  <c r="C442" i="80"/>
  <c r="R441" i="80"/>
  <c r="S441" i="80"/>
  <c r="Q441" i="80"/>
  <c r="O441" i="80"/>
  <c r="M441" i="80"/>
  <c r="K441" i="80"/>
  <c r="I441" i="80"/>
  <c r="G441" i="80"/>
  <c r="C441" i="80"/>
  <c r="R440" i="80"/>
  <c r="S440" i="80"/>
  <c r="Q440" i="80"/>
  <c r="O440" i="80"/>
  <c r="M440" i="80"/>
  <c r="K440" i="80"/>
  <c r="I440" i="80"/>
  <c r="G440" i="80"/>
  <c r="C440" i="80"/>
  <c r="R439" i="80"/>
  <c r="S439" i="80"/>
  <c r="Q439" i="80"/>
  <c r="O439" i="80"/>
  <c r="M439" i="80"/>
  <c r="K439" i="80"/>
  <c r="I439" i="80"/>
  <c r="G439" i="80"/>
  <c r="C439" i="80"/>
  <c r="R438" i="80"/>
  <c r="S438" i="80"/>
  <c r="Q438" i="80"/>
  <c r="O438" i="80"/>
  <c r="M438" i="80"/>
  <c r="K438" i="80"/>
  <c r="I438" i="80"/>
  <c r="G438" i="80"/>
  <c r="C438" i="80"/>
  <c r="R437" i="80"/>
  <c r="S437" i="80"/>
  <c r="Q437" i="80"/>
  <c r="O437" i="80"/>
  <c r="M437" i="80"/>
  <c r="K437" i="80"/>
  <c r="I437" i="80"/>
  <c r="G437" i="80"/>
  <c r="C437" i="80"/>
  <c r="R436" i="80"/>
  <c r="S436" i="80"/>
  <c r="Q436" i="80"/>
  <c r="O436" i="80"/>
  <c r="M436" i="80"/>
  <c r="K436" i="80"/>
  <c r="I436" i="80"/>
  <c r="G436" i="80"/>
  <c r="C436" i="80"/>
  <c r="R435" i="80"/>
  <c r="S435" i="80"/>
  <c r="Q435" i="80"/>
  <c r="O435" i="80"/>
  <c r="M435" i="80"/>
  <c r="K435" i="80"/>
  <c r="I435" i="80"/>
  <c r="G435" i="80"/>
  <c r="C435" i="80"/>
  <c r="R434" i="80"/>
  <c r="S434" i="80"/>
  <c r="Q434" i="80"/>
  <c r="O434" i="80"/>
  <c r="M434" i="80"/>
  <c r="K434" i="80"/>
  <c r="I434" i="80"/>
  <c r="G434" i="80"/>
  <c r="C434" i="80"/>
  <c r="R433" i="80"/>
  <c r="S433" i="80"/>
  <c r="Q433" i="80"/>
  <c r="O433" i="80"/>
  <c r="M433" i="80"/>
  <c r="K433" i="80"/>
  <c r="I433" i="80"/>
  <c r="G433" i="80"/>
  <c r="C433" i="80"/>
  <c r="R432" i="80"/>
  <c r="S432" i="80"/>
  <c r="Q432" i="80"/>
  <c r="O432" i="80"/>
  <c r="M432" i="80"/>
  <c r="K432" i="80"/>
  <c r="I432" i="80"/>
  <c r="G432" i="80"/>
  <c r="C432" i="80"/>
  <c r="R431" i="80"/>
  <c r="S431" i="80"/>
  <c r="Q431" i="80"/>
  <c r="O431" i="80"/>
  <c r="M431" i="80"/>
  <c r="K431" i="80"/>
  <c r="I431" i="80"/>
  <c r="G431" i="80"/>
  <c r="C431" i="80"/>
  <c r="R430" i="80"/>
  <c r="S430" i="80"/>
  <c r="Q430" i="80"/>
  <c r="O430" i="80"/>
  <c r="M430" i="80"/>
  <c r="K430" i="80"/>
  <c r="I430" i="80"/>
  <c r="G430" i="80"/>
  <c r="C430" i="80"/>
  <c r="R429" i="80"/>
  <c r="S429" i="80"/>
  <c r="Q429" i="80"/>
  <c r="O429" i="80"/>
  <c r="M429" i="80"/>
  <c r="K429" i="80"/>
  <c r="I429" i="80"/>
  <c r="G429" i="80"/>
  <c r="C429" i="80"/>
  <c r="R428" i="80"/>
  <c r="S428" i="80"/>
  <c r="Q428" i="80"/>
  <c r="O428" i="80"/>
  <c r="M428" i="80"/>
  <c r="K428" i="80"/>
  <c r="I428" i="80"/>
  <c r="G428" i="80"/>
  <c r="C428" i="80"/>
  <c r="R427" i="80"/>
  <c r="S427" i="80"/>
  <c r="Q427" i="80"/>
  <c r="O427" i="80"/>
  <c r="M427" i="80"/>
  <c r="K427" i="80"/>
  <c r="I427" i="80"/>
  <c r="G427" i="80"/>
  <c r="C427" i="80"/>
  <c r="R426" i="80"/>
  <c r="S426" i="80"/>
  <c r="Q426" i="80"/>
  <c r="O426" i="80"/>
  <c r="M426" i="80"/>
  <c r="K426" i="80"/>
  <c r="I426" i="80"/>
  <c r="G426" i="80"/>
  <c r="C426" i="80"/>
  <c r="R425" i="80"/>
  <c r="S425" i="80"/>
  <c r="Q425" i="80"/>
  <c r="O425" i="80"/>
  <c r="M425" i="80"/>
  <c r="K425" i="80"/>
  <c r="I425" i="80"/>
  <c r="G425" i="80"/>
  <c r="C425" i="80"/>
  <c r="R424" i="80"/>
  <c r="S424" i="80"/>
  <c r="Q424" i="80"/>
  <c r="O424" i="80"/>
  <c r="M424" i="80"/>
  <c r="K424" i="80"/>
  <c r="I424" i="80"/>
  <c r="G424" i="80"/>
  <c r="C424" i="80"/>
  <c r="R423" i="80"/>
  <c r="S423" i="80"/>
  <c r="Q423" i="80"/>
  <c r="O423" i="80"/>
  <c r="M423" i="80"/>
  <c r="K423" i="80"/>
  <c r="I423" i="80"/>
  <c r="G423" i="80"/>
  <c r="C423" i="80"/>
  <c r="R422" i="80"/>
  <c r="S422" i="80"/>
  <c r="Q422" i="80"/>
  <c r="O422" i="80"/>
  <c r="M422" i="80"/>
  <c r="K422" i="80"/>
  <c r="I422" i="80"/>
  <c r="G422" i="80"/>
  <c r="C422" i="80"/>
  <c r="R421" i="80"/>
  <c r="S421" i="80"/>
  <c r="Q421" i="80"/>
  <c r="O421" i="80"/>
  <c r="M421" i="80"/>
  <c r="K421" i="80"/>
  <c r="I421" i="80"/>
  <c r="G421" i="80"/>
  <c r="C421" i="80"/>
  <c r="R420" i="80"/>
  <c r="S420" i="80"/>
  <c r="Q420" i="80"/>
  <c r="O420" i="80"/>
  <c r="M420" i="80"/>
  <c r="K420" i="80"/>
  <c r="I420" i="80"/>
  <c r="G420" i="80"/>
  <c r="C420" i="80"/>
  <c r="R419" i="80"/>
  <c r="S419" i="80"/>
  <c r="Q419" i="80"/>
  <c r="O419" i="80"/>
  <c r="M419" i="80"/>
  <c r="K419" i="80"/>
  <c r="I419" i="80"/>
  <c r="G419" i="80"/>
  <c r="C419" i="80"/>
  <c r="R418" i="80"/>
  <c r="S418" i="80"/>
  <c r="Q418" i="80"/>
  <c r="O418" i="80"/>
  <c r="M418" i="80"/>
  <c r="K418" i="80"/>
  <c r="I418" i="80"/>
  <c r="G418" i="80"/>
  <c r="C418" i="80"/>
  <c r="R417" i="80"/>
  <c r="S417" i="80"/>
  <c r="Q417" i="80"/>
  <c r="O417" i="80"/>
  <c r="M417" i="80"/>
  <c r="K417" i="80"/>
  <c r="I417" i="80"/>
  <c r="G417" i="80"/>
  <c r="C417" i="80"/>
  <c r="R416" i="80"/>
  <c r="S416" i="80"/>
  <c r="Q416" i="80"/>
  <c r="O416" i="80"/>
  <c r="M416" i="80"/>
  <c r="K416" i="80"/>
  <c r="I416" i="80"/>
  <c r="G416" i="80"/>
  <c r="C416" i="80"/>
  <c r="R415" i="80"/>
  <c r="S415" i="80"/>
  <c r="Q415" i="80"/>
  <c r="O415" i="80"/>
  <c r="M415" i="80"/>
  <c r="K415" i="80"/>
  <c r="I415" i="80"/>
  <c r="G415" i="80"/>
  <c r="C415" i="80"/>
  <c r="R414" i="80"/>
  <c r="S414" i="80"/>
  <c r="Q414" i="80"/>
  <c r="O414" i="80"/>
  <c r="M414" i="80"/>
  <c r="K414" i="80"/>
  <c r="I414" i="80"/>
  <c r="G414" i="80"/>
  <c r="C414" i="80"/>
  <c r="R413" i="80"/>
  <c r="S413" i="80"/>
  <c r="Q413" i="80"/>
  <c r="O413" i="80"/>
  <c r="M413" i="80"/>
  <c r="K413" i="80"/>
  <c r="I413" i="80"/>
  <c r="G413" i="80"/>
  <c r="C413" i="80"/>
  <c r="R412" i="80"/>
  <c r="S412" i="80"/>
  <c r="Q412" i="80"/>
  <c r="O412" i="80"/>
  <c r="M412" i="80"/>
  <c r="K412" i="80"/>
  <c r="I412" i="80"/>
  <c r="G412" i="80"/>
  <c r="C412" i="80"/>
  <c r="R411" i="80"/>
  <c r="S411" i="80"/>
  <c r="Q411" i="80"/>
  <c r="O411" i="80"/>
  <c r="M411" i="80"/>
  <c r="K411" i="80"/>
  <c r="I411" i="80"/>
  <c r="G411" i="80"/>
  <c r="C411" i="80"/>
  <c r="R410" i="80"/>
  <c r="S410" i="80"/>
  <c r="Q410" i="80"/>
  <c r="O410" i="80"/>
  <c r="M410" i="80"/>
  <c r="K410" i="80"/>
  <c r="I410" i="80"/>
  <c r="G410" i="80"/>
  <c r="C410" i="80"/>
  <c r="R409" i="80"/>
  <c r="S409" i="80"/>
  <c r="Q409" i="80"/>
  <c r="O409" i="80"/>
  <c r="M409" i="80"/>
  <c r="K409" i="80"/>
  <c r="I409" i="80"/>
  <c r="G409" i="80"/>
  <c r="C409" i="80"/>
  <c r="R408" i="80"/>
  <c r="S408" i="80"/>
  <c r="Q408" i="80"/>
  <c r="O408" i="80"/>
  <c r="M408" i="80"/>
  <c r="K408" i="80"/>
  <c r="I408" i="80"/>
  <c r="G408" i="80"/>
  <c r="C408" i="80"/>
  <c r="R407" i="80"/>
  <c r="S407" i="80"/>
  <c r="Q407" i="80"/>
  <c r="O407" i="80"/>
  <c r="M407" i="80"/>
  <c r="K407" i="80"/>
  <c r="I407" i="80"/>
  <c r="G407" i="80"/>
  <c r="C407" i="80"/>
  <c r="R406" i="80"/>
  <c r="S406" i="80"/>
  <c r="Q406" i="80"/>
  <c r="O406" i="80"/>
  <c r="M406" i="80"/>
  <c r="K406" i="80"/>
  <c r="I406" i="80"/>
  <c r="G406" i="80"/>
  <c r="C406" i="80"/>
  <c r="R405" i="80"/>
  <c r="S405" i="80"/>
  <c r="Q405" i="80"/>
  <c r="O405" i="80"/>
  <c r="M405" i="80"/>
  <c r="K405" i="80"/>
  <c r="I405" i="80"/>
  <c r="G405" i="80"/>
  <c r="C405" i="80"/>
  <c r="R404" i="80"/>
  <c r="S404" i="80"/>
  <c r="Q404" i="80"/>
  <c r="O404" i="80"/>
  <c r="M404" i="80"/>
  <c r="K404" i="80"/>
  <c r="I404" i="80"/>
  <c r="G404" i="80"/>
  <c r="C404" i="80"/>
  <c r="R403" i="80"/>
  <c r="S403" i="80"/>
  <c r="Q403" i="80"/>
  <c r="O403" i="80"/>
  <c r="M403" i="80"/>
  <c r="K403" i="80"/>
  <c r="I403" i="80"/>
  <c r="G403" i="80"/>
  <c r="C403" i="80"/>
  <c r="R402" i="80"/>
  <c r="S402" i="80"/>
  <c r="Q402" i="80"/>
  <c r="O402" i="80"/>
  <c r="M402" i="80"/>
  <c r="K402" i="80"/>
  <c r="I402" i="80"/>
  <c r="G402" i="80"/>
  <c r="C402" i="80"/>
  <c r="R401" i="80"/>
  <c r="S401" i="80"/>
  <c r="Q401" i="80"/>
  <c r="O401" i="80"/>
  <c r="M401" i="80"/>
  <c r="K401" i="80"/>
  <c r="I401" i="80"/>
  <c r="G401" i="80"/>
  <c r="C401" i="80"/>
  <c r="R400" i="80"/>
  <c r="S400" i="80"/>
  <c r="Q400" i="80"/>
  <c r="O400" i="80"/>
  <c r="M400" i="80"/>
  <c r="K400" i="80"/>
  <c r="I400" i="80"/>
  <c r="G400" i="80"/>
  <c r="C400" i="80"/>
  <c r="R399" i="80"/>
  <c r="S399" i="80"/>
  <c r="Q399" i="80"/>
  <c r="O399" i="80"/>
  <c r="M399" i="80"/>
  <c r="K399" i="80"/>
  <c r="I399" i="80"/>
  <c r="G399" i="80"/>
  <c r="C399" i="80"/>
  <c r="R398" i="80"/>
  <c r="S398" i="80"/>
  <c r="Q398" i="80"/>
  <c r="O398" i="80"/>
  <c r="M398" i="80"/>
  <c r="K398" i="80"/>
  <c r="I398" i="80"/>
  <c r="G398" i="80"/>
  <c r="C398" i="80"/>
  <c r="R397" i="80"/>
  <c r="S397" i="80"/>
  <c r="Q397" i="80"/>
  <c r="O397" i="80"/>
  <c r="M397" i="80"/>
  <c r="K397" i="80"/>
  <c r="I397" i="80"/>
  <c r="G397" i="80"/>
  <c r="C397" i="80"/>
  <c r="R396" i="80"/>
  <c r="S396" i="80"/>
  <c r="Q396" i="80"/>
  <c r="O396" i="80"/>
  <c r="M396" i="80"/>
  <c r="K396" i="80"/>
  <c r="I396" i="80"/>
  <c r="G396" i="80"/>
  <c r="C396" i="80"/>
  <c r="R395" i="80"/>
  <c r="S395" i="80"/>
  <c r="Q395" i="80"/>
  <c r="O395" i="80"/>
  <c r="M395" i="80"/>
  <c r="K395" i="80"/>
  <c r="I395" i="80"/>
  <c r="G395" i="80"/>
  <c r="C395" i="80"/>
  <c r="R394" i="80"/>
  <c r="S394" i="80"/>
  <c r="Q394" i="80"/>
  <c r="O394" i="80"/>
  <c r="M394" i="80"/>
  <c r="K394" i="80"/>
  <c r="I394" i="80"/>
  <c r="G394" i="80"/>
  <c r="C394" i="80"/>
  <c r="R393" i="80"/>
  <c r="S393" i="80"/>
  <c r="Q393" i="80"/>
  <c r="O393" i="80"/>
  <c r="M393" i="80"/>
  <c r="K393" i="80"/>
  <c r="I393" i="80"/>
  <c r="G393" i="80"/>
  <c r="C393" i="80"/>
  <c r="R392" i="80"/>
  <c r="S392" i="80"/>
  <c r="Q392" i="80"/>
  <c r="O392" i="80"/>
  <c r="M392" i="80"/>
  <c r="K392" i="80"/>
  <c r="I392" i="80"/>
  <c r="G392" i="80"/>
  <c r="C392" i="80"/>
  <c r="R391" i="80"/>
  <c r="S391" i="80"/>
  <c r="Q391" i="80"/>
  <c r="O391" i="80"/>
  <c r="M391" i="80"/>
  <c r="K391" i="80"/>
  <c r="I391" i="80"/>
  <c r="G391" i="80"/>
  <c r="C391" i="80"/>
  <c r="R390" i="80"/>
  <c r="S390" i="80"/>
  <c r="Q390" i="80"/>
  <c r="O390" i="80"/>
  <c r="M390" i="80"/>
  <c r="K390" i="80"/>
  <c r="I390" i="80"/>
  <c r="G390" i="80"/>
  <c r="C390" i="80"/>
  <c r="R389" i="80"/>
  <c r="S389" i="80"/>
  <c r="Q389" i="80"/>
  <c r="O389" i="80"/>
  <c r="M389" i="80"/>
  <c r="K389" i="80"/>
  <c r="I389" i="80"/>
  <c r="G389" i="80"/>
  <c r="C389" i="80"/>
  <c r="R388" i="80"/>
  <c r="S388" i="80"/>
  <c r="Q388" i="80"/>
  <c r="O388" i="80"/>
  <c r="M388" i="80"/>
  <c r="K388" i="80"/>
  <c r="I388" i="80"/>
  <c r="G388" i="80"/>
  <c r="C388" i="80"/>
  <c r="R387" i="80"/>
  <c r="S387" i="80"/>
  <c r="Q387" i="80"/>
  <c r="O387" i="80"/>
  <c r="M387" i="80"/>
  <c r="K387" i="80"/>
  <c r="I387" i="80"/>
  <c r="G387" i="80"/>
  <c r="C387" i="80"/>
  <c r="R386" i="80"/>
  <c r="S386" i="80"/>
  <c r="Q386" i="80"/>
  <c r="O386" i="80"/>
  <c r="M386" i="80"/>
  <c r="K386" i="80"/>
  <c r="I386" i="80"/>
  <c r="G386" i="80"/>
  <c r="C386" i="80"/>
  <c r="R385" i="80"/>
  <c r="S385" i="80"/>
  <c r="Q385" i="80"/>
  <c r="O385" i="80"/>
  <c r="M385" i="80"/>
  <c r="K385" i="80"/>
  <c r="I385" i="80"/>
  <c r="G385" i="80"/>
  <c r="C385" i="80"/>
  <c r="R384" i="80"/>
  <c r="S384" i="80"/>
  <c r="Q384" i="80"/>
  <c r="O384" i="80"/>
  <c r="M384" i="80"/>
  <c r="K384" i="80"/>
  <c r="I384" i="80"/>
  <c r="G384" i="80"/>
  <c r="C384" i="80"/>
  <c r="R383" i="80"/>
  <c r="S383" i="80"/>
  <c r="Q383" i="80"/>
  <c r="O383" i="80"/>
  <c r="M383" i="80"/>
  <c r="K383" i="80"/>
  <c r="I383" i="80"/>
  <c r="G383" i="80"/>
  <c r="C383" i="80"/>
  <c r="R382" i="80"/>
  <c r="S382" i="80"/>
  <c r="Q382" i="80"/>
  <c r="O382" i="80"/>
  <c r="M382" i="80"/>
  <c r="K382" i="80"/>
  <c r="I382" i="80"/>
  <c r="G382" i="80"/>
  <c r="C382" i="80"/>
  <c r="R381" i="80"/>
  <c r="S381" i="80"/>
  <c r="Q381" i="80"/>
  <c r="O381" i="80"/>
  <c r="M381" i="80"/>
  <c r="K381" i="80"/>
  <c r="I381" i="80"/>
  <c r="G381" i="80"/>
  <c r="C381" i="80"/>
  <c r="R380" i="80"/>
  <c r="S380" i="80"/>
  <c r="Q380" i="80"/>
  <c r="O380" i="80"/>
  <c r="M380" i="80"/>
  <c r="K380" i="80"/>
  <c r="I380" i="80"/>
  <c r="G380" i="80"/>
  <c r="C380" i="80"/>
  <c r="R379" i="80"/>
  <c r="S379" i="80"/>
  <c r="Q379" i="80"/>
  <c r="O379" i="80"/>
  <c r="M379" i="80"/>
  <c r="K379" i="80"/>
  <c r="I379" i="80"/>
  <c r="G379" i="80"/>
  <c r="C379" i="80"/>
  <c r="R378" i="80"/>
  <c r="S378" i="80"/>
  <c r="Q378" i="80"/>
  <c r="O378" i="80"/>
  <c r="M378" i="80"/>
  <c r="K378" i="80"/>
  <c r="I378" i="80"/>
  <c r="G378" i="80"/>
  <c r="C378" i="80"/>
  <c r="R377" i="80"/>
  <c r="S377" i="80"/>
  <c r="Q377" i="80"/>
  <c r="O377" i="80"/>
  <c r="M377" i="80"/>
  <c r="K377" i="80"/>
  <c r="I377" i="80"/>
  <c r="G377" i="80"/>
  <c r="C377" i="80"/>
  <c r="R376" i="80"/>
  <c r="S376" i="80"/>
  <c r="Q376" i="80"/>
  <c r="O376" i="80"/>
  <c r="M376" i="80"/>
  <c r="K376" i="80"/>
  <c r="I376" i="80"/>
  <c r="G376" i="80"/>
  <c r="C376" i="80"/>
  <c r="R375" i="80"/>
  <c r="S375" i="80"/>
  <c r="Q375" i="80"/>
  <c r="O375" i="80"/>
  <c r="M375" i="80"/>
  <c r="K375" i="80"/>
  <c r="I375" i="80"/>
  <c r="G375" i="80"/>
  <c r="C375" i="80"/>
  <c r="R374" i="80"/>
  <c r="S374" i="80"/>
  <c r="Q374" i="80"/>
  <c r="O374" i="80"/>
  <c r="M374" i="80"/>
  <c r="K374" i="80"/>
  <c r="I374" i="80"/>
  <c r="G374" i="80"/>
  <c r="C374" i="80"/>
  <c r="R373" i="80"/>
  <c r="S373" i="80"/>
  <c r="Q373" i="80"/>
  <c r="O373" i="80"/>
  <c r="M373" i="80"/>
  <c r="K373" i="80"/>
  <c r="I373" i="80"/>
  <c r="G373" i="80"/>
  <c r="C373" i="80"/>
  <c r="R372" i="80"/>
  <c r="S372" i="80"/>
  <c r="Q372" i="80"/>
  <c r="O372" i="80"/>
  <c r="M372" i="80"/>
  <c r="K372" i="80"/>
  <c r="I372" i="80"/>
  <c r="G372" i="80"/>
  <c r="C372" i="80"/>
  <c r="R371" i="80"/>
  <c r="S371" i="80"/>
  <c r="Q371" i="80"/>
  <c r="O371" i="80"/>
  <c r="M371" i="80"/>
  <c r="K371" i="80"/>
  <c r="I371" i="80"/>
  <c r="G371" i="80"/>
  <c r="C371" i="80"/>
  <c r="R370" i="80"/>
  <c r="S370" i="80"/>
  <c r="Q370" i="80"/>
  <c r="O370" i="80"/>
  <c r="M370" i="80"/>
  <c r="K370" i="80"/>
  <c r="I370" i="80"/>
  <c r="G370" i="80"/>
  <c r="C370" i="80"/>
  <c r="R369" i="80"/>
  <c r="S369" i="80"/>
  <c r="Q369" i="80"/>
  <c r="O369" i="80"/>
  <c r="M369" i="80"/>
  <c r="K369" i="80"/>
  <c r="I369" i="80"/>
  <c r="G369" i="80"/>
  <c r="C369" i="80"/>
  <c r="R368" i="80"/>
  <c r="S368" i="80"/>
  <c r="Q368" i="80"/>
  <c r="O368" i="80"/>
  <c r="M368" i="80"/>
  <c r="K368" i="80"/>
  <c r="I368" i="80"/>
  <c r="G368" i="80"/>
  <c r="C368" i="80"/>
  <c r="R367" i="80"/>
  <c r="S367" i="80"/>
  <c r="Q367" i="80"/>
  <c r="O367" i="80"/>
  <c r="M367" i="80"/>
  <c r="K367" i="80"/>
  <c r="I367" i="80"/>
  <c r="G367" i="80"/>
  <c r="C367" i="80"/>
  <c r="R366" i="80"/>
  <c r="S366" i="80"/>
  <c r="Q366" i="80"/>
  <c r="O366" i="80"/>
  <c r="M366" i="80"/>
  <c r="K366" i="80"/>
  <c r="I366" i="80"/>
  <c r="G366" i="80"/>
  <c r="C366" i="80"/>
  <c r="R365" i="80"/>
  <c r="S365" i="80"/>
  <c r="Q365" i="80"/>
  <c r="O365" i="80"/>
  <c r="M365" i="80"/>
  <c r="K365" i="80"/>
  <c r="I365" i="80"/>
  <c r="G365" i="80"/>
  <c r="C365" i="80"/>
  <c r="R364" i="80"/>
  <c r="S364" i="80"/>
  <c r="Q364" i="80"/>
  <c r="O364" i="80"/>
  <c r="M364" i="80"/>
  <c r="K364" i="80"/>
  <c r="I364" i="80"/>
  <c r="G364" i="80"/>
  <c r="C364" i="80"/>
  <c r="R363" i="80"/>
  <c r="S363" i="80"/>
  <c r="Q363" i="80"/>
  <c r="O363" i="80"/>
  <c r="M363" i="80"/>
  <c r="K363" i="80"/>
  <c r="I363" i="80"/>
  <c r="G363" i="80"/>
  <c r="C363" i="80"/>
  <c r="R362" i="80"/>
  <c r="S362" i="80"/>
  <c r="Q362" i="80"/>
  <c r="O362" i="80"/>
  <c r="M362" i="80"/>
  <c r="K362" i="80"/>
  <c r="I362" i="80"/>
  <c r="G362" i="80"/>
  <c r="C362" i="80"/>
  <c r="R361" i="80"/>
  <c r="S361" i="80"/>
  <c r="Q361" i="80"/>
  <c r="O361" i="80"/>
  <c r="M361" i="80"/>
  <c r="K361" i="80"/>
  <c r="I361" i="80"/>
  <c r="G361" i="80"/>
  <c r="C361" i="80"/>
  <c r="R360" i="80"/>
  <c r="S360" i="80"/>
  <c r="Q360" i="80"/>
  <c r="O360" i="80"/>
  <c r="M360" i="80"/>
  <c r="K360" i="80"/>
  <c r="I360" i="80"/>
  <c r="G360" i="80"/>
  <c r="C360" i="80"/>
  <c r="R359" i="80"/>
  <c r="S359" i="80"/>
  <c r="Q359" i="80"/>
  <c r="O359" i="80"/>
  <c r="M359" i="80"/>
  <c r="K359" i="80"/>
  <c r="I359" i="80"/>
  <c r="G359" i="80"/>
  <c r="C359" i="80"/>
  <c r="R358" i="80"/>
  <c r="S358" i="80"/>
  <c r="Q358" i="80"/>
  <c r="O358" i="80"/>
  <c r="M358" i="80"/>
  <c r="K358" i="80"/>
  <c r="I358" i="80"/>
  <c r="G358" i="80"/>
  <c r="C358" i="80"/>
  <c r="R357" i="80"/>
  <c r="S357" i="80"/>
  <c r="Q357" i="80"/>
  <c r="O357" i="80"/>
  <c r="M357" i="80"/>
  <c r="K357" i="80"/>
  <c r="I357" i="80"/>
  <c r="G357" i="80"/>
  <c r="C357" i="80"/>
  <c r="R356" i="80"/>
  <c r="S356" i="80"/>
  <c r="Q356" i="80"/>
  <c r="O356" i="80"/>
  <c r="M356" i="80"/>
  <c r="K356" i="80"/>
  <c r="I356" i="80"/>
  <c r="G356" i="80"/>
  <c r="C356" i="80"/>
  <c r="R355" i="80"/>
  <c r="S355" i="80"/>
  <c r="Q355" i="80"/>
  <c r="O355" i="80"/>
  <c r="M355" i="80"/>
  <c r="K355" i="80"/>
  <c r="I355" i="80"/>
  <c r="G355" i="80"/>
  <c r="C355" i="80"/>
  <c r="R354" i="80"/>
  <c r="S354" i="80"/>
  <c r="Q354" i="80"/>
  <c r="O354" i="80"/>
  <c r="M354" i="80"/>
  <c r="K354" i="80"/>
  <c r="I354" i="80"/>
  <c r="G354" i="80"/>
  <c r="C354" i="80"/>
  <c r="R353" i="80"/>
  <c r="S353" i="80"/>
  <c r="Q353" i="80"/>
  <c r="O353" i="80"/>
  <c r="M353" i="80"/>
  <c r="K353" i="80"/>
  <c r="I353" i="80"/>
  <c r="G353" i="80"/>
  <c r="C353" i="80"/>
  <c r="R352" i="80"/>
  <c r="S352" i="80"/>
  <c r="Q352" i="80"/>
  <c r="O352" i="80"/>
  <c r="M352" i="80"/>
  <c r="K352" i="80"/>
  <c r="I352" i="80"/>
  <c r="G352" i="80"/>
  <c r="C352" i="80"/>
  <c r="R351" i="80"/>
  <c r="S351" i="80"/>
  <c r="Q351" i="80"/>
  <c r="O351" i="80"/>
  <c r="M351" i="80"/>
  <c r="K351" i="80"/>
  <c r="I351" i="80"/>
  <c r="G351" i="80"/>
  <c r="C351" i="80"/>
  <c r="R350" i="80"/>
  <c r="S350" i="80"/>
  <c r="Q350" i="80"/>
  <c r="O350" i="80"/>
  <c r="M350" i="80"/>
  <c r="K350" i="80"/>
  <c r="I350" i="80"/>
  <c r="G350" i="80"/>
  <c r="C350" i="80"/>
  <c r="R349" i="80"/>
  <c r="S349" i="80"/>
  <c r="Q349" i="80"/>
  <c r="O349" i="80"/>
  <c r="M349" i="80"/>
  <c r="K349" i="80"/>
  <c r="I349" i="80"/>
  <c r="G349" i="80"/>
  <c r="C349" i="80"/>
  <c r="R348" i="80"/>
  <c r="S348" i="80"/>
  <c r="Q348" i="80"/>
  <c r="O348" i="80"/>
  <c r="M348" i="80"/>
  <c r="K348" i="80"/>
  <c r="I348" i="80"/>
  <c r="G348" i="80"/>
  <c r="C348" i="80"/>
  <c r="R347" i="80"/>
  <c r="S347" i="80"/>
  <c r="Q347" i="80"/>
  <c r="O347" i="80"/>
  <c r="M347" i="80"/>
  <c r="K347" i="80"/>
  <c r="I347" i="80"/>
  <c r="G347" i="80"/>
  <c r="C347" i="80"/>
  <c r="R346" i="80"/>
  <c r="S346" i="80"/>
  <c r="Q346" i="80"/>
  <c r="O346" i="80"/>
  <c r="M346" i="80"/>
  <c r="K346" i="80"/>
  <c r="I346" i="80"/>
  <c r="G346" i="80"/>
  <c r="C346" i="80"/>
  <c r="R345" i="80"/>
  <c r="S345" i="80"/>
  <c r="Q345" i="80"/>
  <c r="O345" i="80"/>
  <c r="M345" i="80"/>
  <c r="K345" i="80"/>
  <c r="I345" i="80"/>
  <c r="G345" i="80"/>
  <c r="C345" i="80"/>
  <c r="R344" i="80"/>
  <c r="S344" i="80"/>
  <c r="Q344" i="80"/>
  <c r="O344" i="80"/>
  <c r="M344" i="80"/>
  <c r="K344" i="80"/>
  <c r="I344" i="80"/>
  <c r="G344" i="80"/>
  <c r="C344" i="80"/>
  <c r="R343" i="80"/>
  <c r="S343" i="80"/>
  <c r="Q343" i="80"/>
  <c r="O343" i="80"/>
  <c r="M343" i="80"/>
  <c r="K343" i="80"/>
  <c r="I343" i="80"/>
  <c r="G343" i="80"/>
  <c r="C343" i="80"/>
  <c r="R342" i="80"/>
  <c r="S342" i="80"/>
  <c r="Q342" i="80"/>
  <c r="O342" i="80"/>
  <c r="M342" i="80"/>
  <c r="K342" i="80"/>
  <c r="I342" i="80"/>
  <c r="G342" i="80"/>
  <c r="C342" i="80"/>
  <c r="R341" i="80"/>
  <c r="S341" i="80"/>
  <c r="Q341" i="80"/>
  <c r="O341" i="80"/>
  <c r="M341" i="80"/>
  <c r="K341" i="80"/>
  <c r="I341" i="80"/>
  <c r="G341" i="80"/>
  <c r="C341" i="80"/>
  <c r="R340" i="80"/>
  <c r="S340" i="80"/>
  <c r="Q340" i="80"/>
  <c r="O340" i="80"/>
  <c r="M340" i="80"/>
  <c r="K340" i="80"/>
  <c r="I340" i="80"/>
  <c r="G340" i="80"/>
  <c r="C340" i="80"/>
  <c r="R339" i="80"/>
  <c r="S339" i="80"/>
  <c r="Q339" i="80"/>
  <c r="O339" i="80"/>
  <c r="M339" i="80"/>
  <c r="K339" i="80"/>
  <c r="I339" i="80"/>
  <c r="G339" i="80"/>
  <c r="C339" i="80"/>
  <c r="R338" i="80"/>
  <c r="S338" i="80"/>
  <c r="Q338" i="80"/>
  <c r="O338" i="80"/>
  <c r="M338" i="80"/>
  <c r="K338" i="80"/>
  <c r="I338" i="80"/>
  <c r="G338" i="80"/>
  <c r="C338" i="80"/>
  <c r="R337" i="80"/>
  <c r="S337" i="80"/>
  <c r="Q337" i="80"/>
  <c r="O337" i="80"/>
  <c r="M337" i="80"/>
  <c r="K337" i="80"/>
  <c r="I337" i="80"/>
  <c r="G337" i="80"/>
  <c r="C337" i="80"/>
  <c r="R336" i="80"/>
  <c r="S336" i="80"/>
  <c r="Q336" i="80"/>
  <c r="O336" i="80"/>
  <c r="M336" i="80"/>
  <c r="K336" i="80"/>
  <c r="I336" i="80"/>
  <c r="G336" i="80"/>
  <c r="C336" i="80"/>
  <c r="R335" i="80"/>
  <c r="S335" i="80"/>
  <c r="Q335" i="80"/>
  <c r="O335" i="80"/>
  <c r="M335" i="80"/>
  <c r="K335" i="80"/>
  <c r="I335" i="80"/>
  <c r="G335" i="80"/>
  <c r="C335" i="80"/>
  <c r="R334" i="80"/>
  <c r="S334" i="80"/>
  <c r="Q334" i="80"/>
  <c r="O334" i="80"/>
  <c r="M334" i="80"/>
  <c r="K334" i="80"/>
  <c r="I334" i="80"/>
  <c r="G334" i="80"/>
  <c r="C334" i="80"/>
  <c r="R333" i="80"/>
  <c r="S333" i="80"/>
  <c r="Q333" i="80"/>
  <c r="O333" i="80"/>
  <c r="M333" i="80"/>
  <c r="K333" i="80"/>
  <c r="I333" i="80"/>
  <c r="G333" i="80"/>
  <c r="C333" i="80"/>
  <c r="R332" i="80"/>
  <c r="S332" i="80"/>
  <c r="Q332" i="80"/>
  <c r="O332" i="80"/>
  <c r="M332" i="80"/>
  <c r="K332" i="80"/>
  <c r="I332" i="80"/>
  <c r="G332" i="80"/>
  <c r="C332" i="80"/>
  <c r="R331" i="80"/>
  <c r="S331" i="80"/>
  <c r="Q331" i="80"/>
  <c r="O331" i="80"/>
  <c r="M331" i="80"/>
  <c r="K331" i="80"/>
  <c r="I331" i="80"/>
  <c r="G331" i="80"/>
  <c r="C331" i="80"/>
  <c r="R330" i="80"/>
  <c r="S330" i="80"/>
  <c r="Q330" i="80"/>
  <c r="O330" i="80"/>
  <c r="M330" i="80"/>
  <c r="K330" i="80"/>
  <c r="I330" i="80"/>
  <c r="G330" i="80"/>
  <c r="C330" i="80"/>
  <c r="R329" i="80"/>
  <c r="S329" i="80"/>
  <c r="Q329" i="80"/>
  <c r="O329" i="80"/>
  <c r="M329" i="80"/>
  <c r="K329" i="80"/>
  <c r="I329" i="80"/>
  <c r="G329" i="80"/>
  <c r="C329" i="80"/>
  <c r="R328" i="80"/>
  <c r="S328" i="80"/>
  <c r="Q328" i="80"/>
  <c r="O328" i="80"/>
  <c r="M328" i="80"/>
  <c r="K328" i="80"/>
  <c r="I328" i="80"/>
  <c r="G328" i="80"/>
  <c r="C328" i="80"/>
  <c r="R327" i="80"/>
  <c r="S327" i="80"/>
  <c r="Q327" i="80"/>
  <c r="O327" i="80"/>
  <c r="M327" i="80"/>
  <c r="K327" i="80"/>
  <c r="I327" i="80"/>
  <c r="G327" i="80"/>
  <c r="C327" i="80"/>
  <c r="R326" i="80"/>
  <c r="S326" i="80"/>
  <c r="Q326" i="80"/>
  <c r="O326" i="80"/>
  <c r="M326" i="80"/>
  <c r="K326" i="80"/>
  <c r="I326" i="80"/>
  <c r="G326" i="80"/>
  <c r="C326" i="80"/>
  <c r="R325" i="80"/>
  <c r="S325" i="80"/>
  <c r="Q325" i="80"/>
  <c r="O325" i="80"/>
  <c r="M325" i="80"/>
  <c r="K325" i="80"/>
  <c r="I325" i="80"/>
  <c r="G325" i="80"/>
  <c r="C325" i="80"/>
  <c r="R324" i="80"/>
  <c r="S324" i="80"/>
  <c r="Q324" i="80"/>
  <c r="O324" i="80"/>
  <c r="M324" i="80"/>
  <c r="K324" i="80"/>
  <c r="I324" i="80"/>
  <c r="G324" i="80"/>
  <c r="C324" i="80"/>
  <c r="R323" i="80"/>
  <c r="S323" i="80"/>
  <c r="Q323" i="80"/>
  <c r="O323" i="80"/>
  <c r="M323" i="80"/>
  <c r="K323" i="80"/>
  <c r="I323" i="80"/>
  <c r="G323" i="80"/>
  <c r="C323" i="80"/>
  <c r="R322" i="80"/>
  <c r="S322" i="80"/>
  <c r="Q322" i="80"/>
  <c r="O322" i="80"/>
  <c r="M322" i="80"/>
  <c r="K322" i="80"/>
  <c r="I322" i="80"/>
  <c r="G322" i="80"/>
  <c r="C322" i="80"/>
  <c r="R321" i="80"/>
  <c r="S321" i="80"/>
  <c r="Q321" i="80"/>
  <c r="O321" i="80"/>
  <c r="M321" i="80"/>
  <c r="K321" i="80"/>
  <c r="I321" i="80"/>
  <c r="G321" i="80"/>
  <c r="C321" i="80"/>
  <c r="R320" i="80"/>
  <c r="S320" i="80"/>
  <c r="Q320" i="80"/>
  <c r="O320" i="80"/>
  <c r="M320" i="80"/>
  <c r="K320" i="80"/>
  <c r="I320" i="80"/>
  <c r="G320" i="80"/>
  <c r="C320" i="80"/>
  <c r="R319" i="80"/>
  <c r="S319" i="80"/>
  <c r="Q319" i="80"/>
  <c r="O319" i="80"/>
  <c r="M319" i="80"/>
  <c r="K319" i="80"/>
  <c r="I319" i="80"/>
  <c r="G319" i="80"/>
  <c r="C319" i="80"/>
  <c r="R318" i="80"/>
  <c r="S318" i="80"/>
  <c r="Q318" i="80"/>
  <c r="O318" i="80"/>
  <c r="M318" i="80"/>
  <c r="K318" i="80"/>
  <c r="I318" i="80"/>
  <c r="G318" i="80"/>
  <c r="C318" i="80"/>
  <c r="R317" i="80"/>
  <c r="S317" i="80"/>
  <c r="Q317" i="80"/>
  <c r="O317" i="80"/>
  <c r="M317" i="80"/>
  <c r="K317" i="80"/>
  <c r="I317" i="80"/>
  <c r="G317" i="80"/>
  <c r="C317" i="80"/>
  <c r="R316" i="80"/>
  <c r="S316" i="80"/>
  <c r="Q316" i="80"/>
  <c r="O316" i="80"/>
  <c r="M316" i="80"/>
  <c r="K316" i="80"/>
  <c r="I316" i="80"/>
  <c r="G316" i="80"/>
  <c r="C316" i="80"/>
  <c r="R315" i="80"/>
  <c r="S315" i="80"/>
  <c r="Q315" i="80"/>
  <c r="O315" i="80"/>
  <c r="M315" i="80"/>
  <c r="K315" i="80"/>
  <c r="I315" i="80"/>
  <c r="G315" i="80"/>
  <c r="C315" i="80"/>
  <c r="R314" i="80"/>
  <c r="S314" i="80"/>
  <c r="Q314" i="80"/>
  <c r="O314" i="80"/>
  <c r="M314" i="80"/>
  <c r="K314" i="80"/>
  <c r="I314" i="80"/>
  <c r="G314" i="80"/>
  <c r="C314" i="80"/>
  <c r="R313" i="80"/>
  <c r="S313" i="80"/>
  <c r="Q313" i="80"/>
  <c r="O313" i="80"/>
  <c r="M313" i="80"/>
  <c r="K313" i="80"/>
  <c r="I313" i="80"/>
  <c r="G313" i="80"/>
  <c r="C313" i="80"/>
  <c r="R312" i="80"/>
  <c r="S312" i="80"/>
  <c r="Q312" i="80"/>
  <c r="O312" i="80"/>
  <c r="M312" i="80"/>
  <c r="K312" i="80"/>
  <c r="I312" i="80"/>
  <c r="G312" i="80"/>
  <c r="C312" i="80"/>
  <c r="R311" i="80"/>
  <c r="S311" i="80"/>
  <c r="Q311" i="80"/>
  <c r="O311" i="80"/>
  <c r="M311" i="80"/>
  <c r="K311" i="80"/>
  <c r="I311" i="80"/>
  <c r="G311" i="80"/>
  <c r="C311" i="80"/>
  <c r="R310" i="80"/>
  <c r="S310" i="80"/>
  <c r="Q310" i="80"/>
  <c r="O310" i="80"/>
  <c r="M310" i="80"/>
  <c r="K310" i="80"/>
  <c r="I310" i="80"/>
  <c r="G310" i="80"/>
  <c r="C310" i="80"/>
  <c r="R309" i="80"/>
  <c r="S309" i="80"/>
  <c r="Q309" i="80"/>
  <c r="O309" i="80"/>
  <c r="M309" i="80"/>
  <c r="K309" i="80"/>
  <c r="I309" i="80"/>
  <c r="G309" i="80"/>
  <c r="C309" i="80"/>
  <c r="R308" i="80"/>
  <c r="S308" i="80"/>
  <c r="Q308" i="80"/>
  <c r="O308" i="80"/>
  <c r="M308" i="80"/>
  <c r="K308" i="80"/>
  <c r="I308" i="80"/>
  <c r="G308" i="80"/>
  <c r="C308" i="80"/>
  <c r="R307" i="80"/>
  <c r="S307" i="80"/>
  <c r="Q307" i="80"/>
  <c r="O307" i="80"/>
  <c r="M307" i="80"/>
  <c r="K307" i="80"/>
  <c r="I307" i="80"/>
  <c r="G307" i="80"/>
  <c r="C307" i="80"/>
  <c r="R306" i="80"/>
  <c r="S306" i="80"/>
  <c r="Q306" i="80"/>
  <c r="O306" i="80"/>
  <c r="M306" i="80"/>
  <c r="K306" i="80"/>
  <c r="I306" i="80"/>
  <c r="G306" i="80"/>
  <c r="C306" i="80"/>
  <c r="R305" i="80"/>
  <c r="S305" i="80"/>
  <c r="Q305" i="80"/>
  <c r="O305" i="80"/>
  <c r="M305" i="80"/>
  <c r="K305" i="80"/>
  <c r="I305" i="80"/>
  <c r="G305" i="80"/>
  <c r="C305" i="80"/>
  <c r="R304" i="80"/>
  <c r="S304" i="80"/>
  <c r="Q304" i="80"/>
  <c r="O304" i="80"/>
  <c r="M304" i="80"/>
  <c r="K304" i="80"/>
  <c r="I304" i="80"/>
  <c r="G304" i="80"/>
  <c r="C304" i="80"/>
  <c r="R303" i="80"/>
  <c r="S303" i="80"/>
  <c r="Q303" i="80"/>
  <c r="O303" i="80"/>
  <c r="M303" i="80"/>
  <c r="K303" i="80"/>
  <c r="I303" i="80"/>
  <c r="G303" i="80"/>
  <c r="C303" i="80"/>
  <c r="R302" i="80"/>
  <c r="S302" i="80"/>
  <c r="Q302" i="80"/>
  <c r="O302" i="80"/>
  <c r="M302" i="80"/>
  <c r="K302" i="80"/>
  <c r="I302" i="80"/>
  <c r="G302" i="80"/>
  <c r="C302" i="80"/>
  <c r="R301" i="80"/>
  <c r="S301" i="80"/>
  <c r="Q301" i="80"/>
  <c r="O301" i="80"/>
  <c r="M301" i="80"/>
  <c r="K301" i="80"/>
  <c r="I301" i="80"/>
  <c r="G301" i="80"/>
  <c r="C301" i="80"/>
  <c r="R300" i="80"/>
  <c r="S300" i="80"/>
  <c r="Q300" i="80"/>
  <c r="O300" i="80"/>
  <c r="M300" i="80"/>
  <c r="K300" i="80"/>
  <c r="I300" i="80"/>
  <c r="G300" i="80"/>
  <c r="C300" i="80"/>
  <c r="R299" i="80"/>
  <c r="S299" i="80"/>
  <c r="Q299" i="80"/>
  <c r="O299" i="80"/>
  <c r="M299" i="80"/>
  <c r="K299" i="80"/>
  <c r="I299" i="80"/>
  <c r="G299" i="80"/>
  <c r="C299" i="80"/>
  <c r="R298" i="80"/>
  <c r="S298" i="80"/>
  <c r="Q298" i="80"/>
  <c r="O298" i="80"/>
  <c r="M298" i="80"/>
  <c r="K298" i="80"/>
  <c r="I298" i="80"/>
  <c r="G298" i="80"/>
  <c r="C298" i="80"/>
  <c r="R297" i="80"/>
  <c r="S297" i="80"/>
  <c r="Q297" i="80"/>
  <c r="O297" i="80"/>
  <c r="M297" i="80"/>
  <c r="K297" i="80"/>
  <c r="I297" i="80"/>
  <c r="G297" i="80"/>
  <c r="C297" i="80"/>
  <c r="R296" i="80"/>
  <c r="S296" i="80"/>
  <c r="Q296" i="80"/>
  <c r="O296" i="80"/>
  <c r="M296" i="80"/>
  <c r="K296" i="80"/>
  <c r="I296" i="80"/>
  <c r="G296" i="80"/>
  <c r="C296" i="80"/>
  <c r="R295" i="80"/>
  <c r="S295" i="80"/>
  <c r="Q295" i="80"/>
  <c r="O295" i="80"/>
  <c r="M295" i="80"/>
  <c r="K295" i="80"/>
  <c r="I295" i="80"/>
  <c r="G295" i="80"/>
  <c r="C295" i="80"/>
  <c r="R294" i="80"/>
  <c r="S294" i="80"/>
  <c r="Q294" i="80"/>
  <c r="O294" i="80"/>
  <c r="M294" i="80"/>
  <c r="K294" i="80"/>
  <c r="I294" i="80"/>
  <c r="G294" i="80"/>
  <c r="C294" i="80"/>
  <c r="R293" i="80"/>
  <c r="S293" i="80"/>
  <c r="Q293" i="80"/>
  <c r="O293" i="80"/>
  <c r="M293" i="80"/>
  <c r="K293" i="80"/>
  <c r="I293" i="80"/>
  <c r="G293" i="80"/>
  <c r="C293" i="80"/>
  <c r="R292" i="80"/>
  <c r="S292" i="80"/>
  <c r="Q292" i="80"/>
  <c r="O292" i="80"/>
  <c r="M292" i="80"/>
  <c r="K292" i="80"/>
  <c r="I292" i="80"/>
  <c r="G292" i="80"/>
  <c r="C292" i="80"/>
  <c r="R291" i="80"/>
  <c r="S291" i="80"/>
  <c r="Q291" i="80"/>
  <c r="O291" i="80"/>
  <c r="M291" i="80"/>
  <c r="K291" i="80"/>
  <c r="I291" i="80"/>
  <c r="G291" i="80"/>
  <c r="C291" i="80"/>
  <c r="R290" i="80"/>
  <c r="S290" i="80"/>
  <c r="Q290" i="80"/>
  <c r="O290" i="80"/>
  <c r="M290" i="80"/>
  <c r="K290" i="80"/>
  <c r="I290" i="80"/>
  <c r="G290" i="80"/>
  <c r="C290" i="80"/>
  <c r="R289" i="80"/>
  <c r="S289" i="80"/>
  <c r="Q289" i="80"/>
  <c r="O289" i="80"/>
  <c r="M289" i="80"/>
  <c r="K289" i="80"/>
  <c r="I289" i="80"/>
  <c r="G289" i="80"/>
  <c r="C289" i="80"/>
  <c r="R288" i="80"/>
  <c r="S288" i="80"/>
  <c r="Q288" i="80"/>
  <c r="O288" i="80"/>
  <c r="M288" i="80"/>
  <c r="K288" i="80"/>
  <c r="I288" i="80"/>
  <c r="G288" i="80"/>
  <c r="C288" i="80"/>
  <c r="R287" i="80"/>
  <c r="S287" i="80"/>
  <c r="Q287" i="80"/>
  <c r="O287" i="80"/>
  <c r="M287" i="80"/>
  <c r="K287" i="80"/>
  <c r="I287" i="80"/>
  <c r="G287" i="80"/>
  <c r="C287" i="80"/>
  <c r="R286" i="80"/>
  <c r="S286" i="80"/>
  <c r="Q286" i="80"/>
  <c r="O286" i="80"/>
  <c r="M286" i="80"/>
  <c r="K286" i="80"/>
  <c r="I286" i="80"/>
  <c r="G286" i="80"/>
  <c r="C286" i="80"/>
  <c r="R285" i="80"/>
  <c r="S285" i="80"/>
  <c r="Q285" i="80"/>
  <c r="O285" i="80"/>
  <c r="M285" i="80"/>
  <c r="K285" i="80"/>
  <c r="I285" i="80"/>
  <c r="G285" i="80"/>
  <c r="C285" i="80"/>
  <c r="R284" i="80"/>
  <c r="S284" i="80"/>
  <c r="Q284" i="80"/>
  <c r="O284" i="80"/>
  <c r="M284" i="80"/>
  <c r="K284" i="80"/>
  <c r="I284" i="80"/>
  <c r="G284" i="80"/>
  <c r="C284" i="80"/>
  <c r="R283" i="80"/>
  <c r="S283" i="80"/>
  <c r="Q283" i="80"/>
  <c r="O283" i="80"/>
  <c r="M283" i="80"/>
  <c r="K283" i="80"/>
  <c r="I283" i="80"/>
  <c r="G283" i="80"/>
  <c r="C283" i="80"/>
  <c r="R282" i="80"/>
  <c r="S282" i="80"/>
  <c r="Q282" i="80"/>
  <c r="O282" i="80"/>
  <c r="M282" i="80"/>
  <c r="K282" i="80"/>
  <c r="I282" i="80"/>
  <c r="G282" i="80"/>
  <c r="C282" i="80"/>
  <c r="R281" i="80"/>
  <c r="S281" i="80"/>
  <c r="Q281" i="80"/>
  <c r="O281" i="80"/>
  <c r="M281" i="80"/>
  <c r="K281" i="80"/>
  <c r="I281" i="80"/>
  <c r="G281" i="80"/>
  <c r="C281" i="80"/>
  <c r="R280" i="80"/>
  <c r="S280" i="80"/>
  <c r="Q280" i="80"/>
  <c r="O280" i="80"/>
  <c r="M280" i="80"/>
  <c r="K280" i="80"/>
  <c r="I280" i="80"/>
  <c r="G280" i="80"/>
  <c r="C280" i="80"/>
  <c r="R279" i="80"/>
  <c r="S279" i="80"/>
  <c r="Q279" i="80"/>
  <c r="O279" i="80"/>
  <c r="M279" i="80"/>
  <c r="K279" i="80"/>
  <c r="I279" i="80"/>
  <c r="G279" i="80"/>
  <c r="C279" i="80"/>
  <c r="R278" i="80"/>
  <c r="S278" i="80"/>
  <c r="Q278" i="80"/>
  <c r="O278" i="80"/>
  <c r="M278" i="80"/>
  <c r="K278" i="80"/>
  <c r="I278" i="80"/>
  <c r="G278" i="80"/>
  <c r="C278" i="80"/>
  <c r="R277" i="80"/>
  <c r="S277" i="80"/>
  <c r="Q277" i="80"/>
  <c r="O277" i="80"/>
  <c r="M277" i="80"/>
  <c r="K277" i="80"/>
  <c r="I277" i="80"/>
  <c r="G277" i="80"/>
  <c r="C277" i="80"/>
  <c r="R276" i="80"/>
  <c r="S276" i="80"/>
  <c r="Q276" i="80"/>
  <c r="O276" i="80"/>
  <c r="M276" i="80"/>
  <c r="K276" i="80"/>
  <c r="I276" i="80"/>
  <c r="G276" i="80"/>
  <c r="C276" i="80"/>
  <c r="R275" i="80"/>
  <c r="S275" i="80"/>
  <c r="Q275" i="80"/>
  <c r="O275" i="80"/>
  <c r="M275" i="80"/>
  <c r="K275" i="80"/>
  <c r="I275" i="80"/>
  <c r="G275" i="80"/>
  <c r="C275" i="80"/>
  <c r="R274" i="80"/>
  <c r="S274" i="80"/>
  <c r="Q274" i="80"/>
  <c r="O274" i="80"/>
  <c r="M274" i="80"/>
  <c r="K274" i="80"/>
  <c r="I274" i="80"/>
  <c r="G274" i="80"/>
  <c r="C274" i="80"/>
  <c r="R273" i="80"/>
  <c r="S273" i="80"/>
  <c r="Q273" i="80"/>
  <c r="O273" i="80"/>
  <c r="M273" i="80"/>
  <c r="K273" i="80"/>
  <c r="I273" i="80"/>
  <c r="G273" i="80"/>
  <c r="C273" i="80"/>
  <c r="R272" i="80"/>
  <c r="S272" i="80"/>
  <c r="Q272" i="80"/>
  <c r="O272" i="80"/>
  <c r="M272" i="80"/>
  <c r="K272" i="80"/>
  <c r="I272" i="80"/>
  <c r="G272" i="80"/>
  <c r="C272" i="80"/>
  <c r="R271" i="80"/>
  <c r="S271" i="80"/>
  <c r="Q271" i="80"/>
  <c r="O271" i="80"/>
  <c r="M271" i="80"/>
  <c r="K271" i="80"/>
  <c r="I271" i="80"/>
  <c r="G271" i="80"/>
  <c r="C271" i="80"/>
  <c r="R270" i="80"/>
  <c r="S270" i="80"/>
  <c r="Q270" i="80"/>
  <c r="O270" i="80"/>
  <c r="M270" i="80"/>
  <c r="K270" i="80"/>
  <c r="I270" i="80"/>
  <c r="G270" i="80"/>
  <c r="C270" i="80"/>
  <c r="R269" i="80"/>
  <c r="S269" i="80"/>
  <c r="Q269" i="80"/>
  <c r="O269" i="80"/>
  <c r="M269" i="80"/>
  <c r="K269" i="80"/>
  <c r="I269" i="80"/>
  <c r="G269" i="80"/>
  <c r="C269" i="80"/>
  <c r="R268" i="80"/>
  <c r="S268" i="80"/>
  <c r="Q268" i="80"/>
  <c r="O268" i="80"/>
  <c r="M268" i="80"/>
  <c r="K268" i="80"/>
  <c r="I268" i="80"/>
  <c r="G268" i="80"/>
  <c r="C268" i="80"/>
  <c r="R267" i="80"/>
  <c r="S267" i="80"/>
  <c r="Q267" i="80"/>
  <c r="O267" i="80"/>
  <c r="M267" i="80"/>
  <c r="K267" i="80"/>
  <c r="I267" i="80"/>
  <c r="G267" i="80"/>
  <c r="C267" i="80"/>
  <c r="R266" i="80"/>
  <c r="S266" i="80"/>
  <c r="Q266" i="80"/>
  <c r="O266" i="80"/>
  <c r="M266" i="80"/>
  <c r="K266" i="80"/>
  <c r="I266" i="80"/>
  <c r="G266" i="80"/>
  <c r="C266" i="80"/>
  <c r="R265" i="80"/>
  <c r="S265" i="80"/>
  <c r="Q265" i="80"/>
  <c r="O265" i="80"/>
  <c r="M265" i="80"/>
  <c r="K265" i="80"/>
  <c r="I265" i="80"/>
  <c r="G265" i="80"/>
  <c r="C265" i="80"/>
  <c r="R264" i="80"/>
  <c r="S264" i="80"/>
  <c r="Q264" i="80"/>
  <c r="O264" i="80"/>
  <c r="M264" i="80"/>
  <c r="K264" i="80"/>
  <c r="I264" i="80"/>
  <c r="G264" i="80"/>
  <c r="C264" i="80"/>
  <c r="R263" i="80"/>
  <c r="S263" i="80"/>
  <c r="Q263" i="80"/>
  <c r="O263" i="80"/>
  <c r="M263" i="80"/>
  <c r="K263" i="80"/>
  <c r="I263" i="80"/>
  <c r="G263" i="80"/>
  <c r="C263" i="80"/>
  <c r="R262" i="80"/>
  <c r="S262" i="80"/>
  <c r="Q262" i="80"/>
  <c r="O262" i="80"/>
  <c r="M262" i="80"/>
  <c r="K262" i="80"/>
  <c r="I262" i="80"/>
  <c r="G262" i="80"/>
  <c r="C262" i="80"/>
  <c r="R261" i="80"/>
  <c r="S261" i="80"/>
  <c r="Q261" i="80"/>
  <c r="O261" i="80"/>
  <c r="M261" i="80"/>
  <c r="K261" i="80"/>
  <c r="I261" i="80"/>
  <c r="G261" i="80"/>
  <c r="C261" i="80"/>
  <c r="R260" i="80"/>
  <c r="S260" i="80"/>
  <c r="Q260" i="80"/>
  <c r="O260" i="80"/>
  <c r="M260" i="80"/>
  <c r="K260" i="80"/>
  <c r="I260" i="80"/>
  <c r="G260" i="80"/>
  <c r="C260" i="80"/>
  <c r="R259" i="80"/>
  <c r="S259" i="80"/>
  <c r="Q259" i="80"/>
  <c r="O259" i="80"/>
  <c r="M259" i="80"/>
  <c r="K259" i="80"/>
  <c r="I259" i="80"/>
  <c r="G259" i="80"/>
  <c r="C259" i="80"/>
  <c r="R258" i="80"/>
  <c r="S258" i="80"/>
  <c r="Q258" i="80"/>
  <c r="O258" i="80"/>
  <c r="M258" i="80"/>
  <c r="K258" i="80"/>
  <c r="I258" i="80"/>
  <c r="G258" i="80"/>
  <c r="C258" i="80"/>
  <c r="R257" i="80"/>
  <c r="S257" i="80"/>
  <c r="Q257" i="80"/>
  <c r="O257" i="80"/>
  <c r="M257" i="80"/>
  <c r="K257" i="80"/>
  <c r="I257" i="80"/>
  <c r="G257" i="80"/>
  <c r="C257" i="80"/>
  <c r="R256" i="80"/>
  <c r="S256" i="80"/>
  <c r="Q256" i="80"/>
  <c r="O256" i="80"/>
  <c r="M256" i="80"/>
  <c r="K256" i="80"/>
  <c r="I256" i="80"/>
  <c r="G256" i="80"/>
  <c r="C256" i="80"/>
  <c r="R255" i="80"/>
  <c r="S255" i="80"/>
  <c r="Q255" i="80"/>
  <c r="O255" i="80"/>
  <c r="M255" i="80"/>
  <c r="K255" i="80"/>
  <c r="I255" i="80"/>
  <c r="G255" i="80"/>
  <c r="C255" i="80"/>
  <c r="R254" i="80"/>
  <c r="S254" i="80"/>
  <c r="Q254" i="80"/>
  <c r="O254" i="80"/>
  <c r="M254" i="80"/>
  <c r="K254" i="80"/>
  <c r="I254" i="80"/>
  <c r="G254" i="80"/>
  <c r="C254" i="80"/>
  <c r="R253" i="80"/>
  <c r="S253" i="80"/>
  <c r="Q253" i="80"/>
  <c r="O253" i="80"/>
  <c r="M253" i="80"/>
  <c r="K253" i="80"/>
  <c r="I253" i="80"/>
  <c r="G253" i="80"/>
  <c r="C253" i="80"/>
  <c r="R252" i="80"/>
  <c r="S252" i="80"/>
  <c r="Q252" i="80"/>
  <c r="O252" i="80"/>
  <c r="M252" i="80"/>
  <c r="K252" i="80"/>
  <c r="I252" i="80"/>
  <c r="G252" i="80"/>
  <c r="C252" i="80"/>
  <c r="R251" i="80"/>
  <c r="S251" i="80"/>
  <c r="Q251" i="80"/>
  <c r="O251" i="80"/>
  <c r="M251" i="80"/>
  <c r="K251" i="80"/>
  <c r="I251" i="80"/>
  <c r="G251" i="80"/>
  <c r="C251" i="80"/>
  <c r="R250" i="80"/>
  <c r="S250" i="80"/>
  <c r="Q250" i="80"/>
  <c r="O250" i="80"/>
  <c r="M250" i="80"/>
  <c r="K250" i="80"/>
  <c r="I250" i="80"/>
  <c r="G250" i="80"/>
  <c r="C250" i="80"/>
  <c r="R249" i="80"/>
  <c r="S249" i="80"/>
  <c r="Q249" i="80"/>
  <c r="O249" i="80"/>
  <c r="M249" i="80"/>
  <c r="K249" i="80"/>
  <c r="I249" i="80"/>
  <c r="G249" i="80"/>
  <c r="C249" i="80"/>
  <c r="R248" i="80"/>
  <c r="S248" i="80"/>
  <c r="Q248" i="80"/>
  <c r="O248" i="80"/>
  <c r="M248" i="80"/>
  <c r="K248" i="80"/>
  <c r="I248" i="80"/>
  <c r="G248" i="80"/>
  <c r="C248" i="80"/>
  <c r="R247" i="80"/>
  <c r="S247" i="80"/>
  <c r="Q247" i="80"/>
  <c r="O247" i="80"/>
  <c r="M247" i="80"/>
  <c r="K247" i="80"/>
  <c r="I247" i="80"/>
  <c r="G247" i="80"/>
  <c r="C247" i="80"/>
  <c r="R246" i="80"/>
  <c r="S246" i="80"/>
  <c r="Q246" i="80"/>
  <c r="O246" i="80"/>
  <c r="M246" i="80"/>
  <c r="K246" i="80"/>
  <c r="I246" i="80"/>
  <c r="G246" i="80"/>
  <c r="C246" i="80"/>
  <c r="R245" i="80"/>
  <c r="S245" i="80"/>
  <c r="Q245" i="80"/>
  <c r="O245" i="80"/>
  <c r="M245" i="80"/>
  <c r="K245" i="80"/>
  <c r="I245" i="80"/>
  <c r="G245" i="80"/>
  <c r="C245" i="80"/>
  <c r="R244" i="80"/>
  <c r="S244" i="80"/>
  <c r="Q244" i="80"/>
  <c r="O244" i="80"/>
  <c r="M244" i="80"/>
  <c r="K244" i="80"/>
  <c r="I244" i="80"/>
  <c r="G244" i="80"/>
  <c r="C244" i="80"/>
  <c r="R243" i="80"/>
  <c r="S243" i="80"/>
  <c r="Q243" i="80"/>
  <c r="O243" i="80"/>
  <c r="M243" i="80"/>
  <c r="K243" i="80"/>
  <c r="I243" i="80"/>
  <c r="G243" i="80"/>
  <c r="C243" i="80"/>
  <c r="R242" i="80"/>
  <c r="S242" i="80"/>
  <c r="Q242" i="80"/>
  <c r="O242" i="80"/>
  <c r="M242" i="80"/>
  <c r="K242" i="80"/>
  <c r="I242" i="80"/>
  <c r="G242" i="80"/>
  <c r="C242" i="80"/>
  <c r="R241" i="80"/>
  <c r="S241" i="80"/>
  <c r="Q241" i="80"/>
  <c r="O241" i="80"/>
  <c r="M241" i="80"/>
  <c r="K241" i="80"/>
  <c r="I241" i="80"/>
  <c r="G241" i="80"/>
  <c r="C241" i="80"/>
  <c r="Q240" i="80"/>
  <c r="O240" i="80"/>
  <c r="M240" i="80"/>
  <c r="K240" i="80"/>
  <c r="I240" i="80"/>
  <c r="G240" i="80"/>
  <c r="Q239" i="80"/>
  <c r="O239" i="80"/>
  <c r="M239" i="80"/>
  <c r="K239" i="80"/>
  <c r="I239" i="80"/>
  <c r="G239" i="80"/>
  <c r="Q238" i="80"/>
  <c r="O238" i="80"/>
  <c r="M238" i="80"/>
  <c r="K238" i="80"/>
  <c r="I238" i="80"/>
  <c r="G238" i="80"/>
  <c r="Q237" i="80"/>
  <c r="O237" i="80"/>
  <c r="M237" i="80"/>
  <c r="K237" i="80"/>
  <c r="I237" i="80"/>
  <c r="G237" i="80"/>
  <c r="Q236" i="80"/>
  <c r="O236" i="80"/>
  <c r="M236" i="80"/>
  <c r="K236" i="80"/>
  <c r="I236" i="80"/>
  <c r="G236" i="80"/>
  <c r="Q235" i="80"/>
  <c r="O235" i="80"/>
  <c r="M235" i="80"/>
  <c r="K235" i="80"/>
  <c r="I235" i="80"/>
  <c r="G235" i="80"/>
  <c r="Q234" i="80"/>
  <c r="O234" i="80"/>
  <c r="M234" i="80"/>
  <c r="K234" i="80"/>
  <c r="I234" i="80"/>
  <c r="G234" i="80"/>
  <c r="Q233" i="80"/>
  <c r="O233" i="80"/>
  <c r="M233" i="80"/>
  <c r="K233" i="80"/>
  <c r="I233" i="80"/>
  <c r="G233" i="80"/>
  <c r="Q232" i="80"/>
  <c r="O232" i="80"/>
  <c r="M232" i="80"/>
  <c r="K232" i="80"/>
  <c r="I232" i="80"/>
  <c r="G232" i="80"/>
  <c r="Q231" i="80"/>
  <c r="O231" i="80"/>
  <c r="M231" i="80"/>
  <c r="K231" i="80"/>
  <c r="I231" i="80"/>
  <c r="G231" i="80"/>
  <c r="Q230" i="80"/>
  <c r="O230" i="80"/>
  <c r="M230" i="80"/>
  <c r="K230" i="80"/>
  <c r="I230" i="80"/>
  <c r="G230" i="80"/>
  <c r="Q229" i="80"/>
  <c r="O229" i="80"/>
  <c r="M229" i="80"/>
  <c r="K229" i="80"/>
  <c r="I229" i="80"/>
  <c r="G229" i="80"/>
  <c r="Q228" i="80"/>
  <c r="O228" i="80"/>
  <c r="M228" i="80"/>
  <c r="K228" i="80"/>
  <c r="I228" i="80"/>
  <c r="G228" i="80"/>
  <c r="Q227" i="80"/>
  <c r="O227" i="80"/>
  <c r="M227" i="80"/>
  <c r="K227" i="80"/>
  <c r="I227" i="80"/>
  <c r="G227" i="80"/>
  <c r="Q226" i="80"/>
  <c r="O226" i="80"/>
  <c r="M226" i="80"/>
  <c r="K226" i="80"/>
  <c r="I226" i="80"/>
  <c r="G226" i="80"/>
  <c r="Q225" i="80"/>
  <c r="O225" i="80"/>
  <c r="M225" i="80"/>
  <c r="K225" i="80"/>
  <c r="I225" i="80"/>
  <c r="G225" i="80"/>
  <c r="Q224" i="80"/>
  <c r="O224" i="80"/>
  <c r="M224" i="80"/>
  <c r="K224" i="80"/>
  <c r="I224" i="80"/>
  <c r="G224" i="80"/>
  <c r="Q223" i="80"/>
  <c r="O223" i="80"/>
  <c r="M223" i="80"/>
  <c r="K223" i="80"/>
  <c r="I223" i="80"/>
  <c r="G223" i="80"/>
  <c r="Q222" i="80"/>
  <c r="O222" i="80"/>
  <c r="M222" i="80"/>
  <c r="K222" i="80"/>
  <c r="I222" i="80"/>
  <c r="G222" i="80"/>
  <c r="Q221" i="80"/>
  <c r="O221" i="80"/>
  <c r="M221" i="80"/>
  <c r="K221" i="80"/>
  <c r="I221" i="80"/>
  <c r="G221" i="80"/>
  <c r="Q220" i="80"/>
  <c r="O220" i="80"/>
  <c r="M220" i="80"/>
  <c r="K220" i="80"/>
  <c r="I220" i="80"/>
  <c r="G220" i="80"/>
  <c r="Q219" i="80"/>
  <c r="O219" i="80"/>
  <c r="M219" i="80"/>
  <c r="K219" i="80"/>
  <c r="I219" i="80"/>
  <c r="G219" i="80"/>
  <c r="Q218" i="80"/>
  <c r="O218" i="80"/>
  <c r="M218" i="80"/>
  <c r="K218" i="80"/>
  <c r="I218" i="80"/>
  <c r="G218" i="80"/>
  <c r="Q217" i="80"/>
  <c r="O217" i="80"/>
  <c r="M217" i="80"/>
  <c r="K217" i="80"/>
  <c r="I217" i="80"/>
  <c r="G217" i="80"/>
  <c r="Q216" i="80"/>
  <c r="O216" i="80"/>
  <c r="M216" i="80"/>
  <c r="K216" i="80"/>
  <c r="I216" i="80"/>
  <c r="G216" i="80"/>
  <c r="Q215" i="80"/>
  <c r="O215" i="80"/>
  <c r="M215" i="80"/>
  <c r="K215" i="80"/>
  <c r="I215" i="80"/>
  <c r="G215" i="80"/>
  <c r="Q214" i="80"/>
  <c r="O214" i="80"/>
  <c r="M214" i="80"/>
  <c r="K214" i="80"/>
  <c r="I214" i="80"/>
  <c r="G214" i="80"/>
  <c r="Q213" i="80"/>
  <c r="O213" i="80"/>
  <c r="M213" i="80"/>
  <c r="K213" i="80"/>
  <c r="I213" i="80"/>
  <c r="G213" i="80"/>
  <c r="Q212" i="80"/>
  <c r="O212" i="80"/>
  <c r="M212" i="80"/>
  <c r="K212" i="80"/>
  <c r="I212" i="80"/>
  <c r="G212" i="80"/>
  <c r="Q211" i="80"/>
  <c r="O211" i="80"/>
  <c r="M211" i="80"/>
  <c r="K211" i="80"/>
  <c r="I211" i="80"/>
  <c r="G211" i="80"/>
  <c r="Q210" i="80"/>
  <c r="O210" i="80"/>
  <c r="M210" i="80"/>
  <c r="K210" i="80"/>
  <c r="I210" i="80"/>
  <c r="G210" i="80"/>
  <c r="Q209" i="80"/>
  <c r="O209" i="80"/>
  <c r="M209" i="80"/>
  <c r="K209" i="80"/>
  <c r="I209" i="80"/>
  <c r="G209" i="80"/>
  <c r="Q208" i="80"/>
  <c r="O208" i="80"/>
  <c r="M208" i="80"/>
  <c r="K208" i="80"/>
  <c r="I208" i="80"/>
  <c r="G208" i="80"/>
  <c r="Q207" i="80"/>
  <c r="O207" i="80"/>
  <c r="M207" i="80"/>
  <c r="K207" i="80"/>
  <c r="I207" i="80"/>
  <c r="G207" i="80"/>
  <c r="Q206" i="80"/>
  <c r="O206" i="80"/>
  <c r="M206" i="80"/>
  <c r="K206" i="80"/>
  <c r="I206" i="80"/>
  <c r="G206" i="80"/>
  <c r="Q205" i="80"/>
  <c r="O205" i="80"/>
  <c r="M205" i="80"/>
  <c r="K205" i="80"/>
  <c r="I205" i="80"/>
  <c r="G205" i="80"/>
  <c r="Q204" i="80"/>
  <c r="O204" i="80"/>
  <c r="M204" i="80"/>
  <c r="K204" i="80"/>
  <c r="I204" i="80"/>
  <c r="G204" i="80"/>
  <c r="Q203" i="80"/>
  <c r="O203" i="80"/>
  <c r="M203" i="80"/>
  <c r="K203" i="80"/>
  <c r="I203" i="80"/>
  <c r="G203" i="80"/>
  <c r="Q202" i="80"/>
  <c r="O202" i="80"/>
  <c r="M202" i="80"/>
  <c r="K202" i="80"/>
  <c r="I202" i="80"/>
  <c r="G202" i="80"/>
  <c r="Q201" i="80"/>
  <c r="O201" i="80"/>
  <c r="M201" i="80"/>
  <c r="K201" i="80"/>
  <c r="I201" i="80"/>
  <c r="G201" i="80"/>
  <c r="Q200" i="80"/>
  <c r="O200" i="80"/>
  <c r="M200" i="80"/>
  <c r="K200" i="80"/>
  <c r="I200" i="80"/>
  <c r="G200" i="80"/>
  <c r="Q199" i="80"/>
  <c r="O199" i="80"/>
  <c r="M199" i="80"/>
  <c r="K199" i="80"/>
  <c r="I199" i="80"/>
  <c r="G199" i="80"/>
  <c r="Q198" i="80"/>
  <c r="O198" i="80"/>
  <c r="M198" i="80"/>
  <c r="K198" i="80"/>
  <c r="I198" i="80"/>
  <c r="G198" i="80"/>
  <c r="Q197" i="80"/>
  <c r="O197" i="80"/>
  <c r="M197" i="80"/>
  <c r="K197" i="80"/>
  <c r="I197" i="80"/>
  <c r="G197" i="80"/>
  <c r="Q196" i="80"/>
  <c r="O196" i="80"/>
  <c r="M196" i="80"/>
  <c r="K196" i="80"/>
  <c r="I196" i="80"/>
  <c r="G196" i="80"/>
  <c r="Q195" i="80"/>
  <c r="O195" i="80"/>
  <c r="M195" i="80"/>
  <c r="K195" i="80"/>
  <c r="I195" i="80"/>
  <c r="G195" i="80"/>
  <c r="Q194" i="80"/>
  <c r="O194" i="80"/>
  <c r="M194" i="80"/>
  <c r="K194" i="80"/>
  <c r="I194" i="80"/>
  <c r="G194" i="80"/>
  <c r="Q193" i="80"/>
  <c r="O193" i="80"/>
  <c r="M193" i="80"/>
  <c r="K193" i="80"/>
  <c r="I193" i="80"/>
  <c r="G193" i="80"/>
  <c r="Q192" i="80"/>
  <c r="O192" i="80"/>
  <c r="M192" i="80"/>
  <c r="K192" i="80"/>
  <c r="I192" i="80"/>
  <c r="G192" i="80"/>
  <c r="Q191" i="80"/>
  <c r="O191" i="80"/>
  <c r="M191" i="80"/>
  <c r="K191" i="80"/>
  <c r="I191" i="80"/>
  <c r="G191" i="80"/>
  <c r="Q190" i="80"/>
  <c r="O190" i="80"/>
  <c r="M190" i="80"/>
  <c r="K190" i="80"/>
  <c r="I190" i="80"/>
  <c r="G190" i="80"/>
  <c r="Q189" i="80"/>
  <c r="O189" i="80"/>
  <c r="M189" i="80"/>
  <c r="K189" i="80"/>
  <c r="I189" i="80"/>
  <c r="G189" i="80"/>
  <c r="Q188" i="80"/>
  <c r="O188" i="80"/>
  <c r="M188" i="80"/>
  <c r="K188" i="80"/>
  <c r="I188" i="80"/>
  <c r="G188" i="80"/>
  <c r="Q187" i="80"/>
  <c r="O187" i="80"/>
  <c r="M187" i="80"/>
  <c r="K187" i="80"/>
  <c r="I187" i="80"/>
  <c r="G187" i="80"/>
  <c r="Q186" i="80"/>
  <c r="O186" i="80"/>
  <c r="M186" i="80"/>
  <c r="K186" i="80"/>
  <c r="I186" i="80"/>
  <c r="G186" i="80"/>
  <c r="Q185" i="80"/>
  <c r="O185" i="80"/>
  <c r="M185" i="80"/>
  <c r="K185" i="80"/>
  <c r="I185" i="80"/>
  <c r="G185" i="80"/>
  <c r="Q184" i="80"/>
  <c r="O184" i="80"/>
  <c r="M184" i="80"/>
  <c r="K184" i="80"/>
  <c r="I184" i="80"/>
  <c r="G184" i="80"/>
  <c r="Q183" i="80"/>
  <c r="O183" i="80"/>
  <c r="M183" i="80"/>
  <c r="K183" i="80"/>
  <c r="I183" i="80"/>
  <c r="G183" i="80"/>
  <c r="Q182" i="80"/>
  <c r="O182" i="80"/>
  <c r="M182" i="80"/>
  <c r="K182" i="80"/>
  <c r="I182" i="80"/>
  <c r="G182" i="80"/>
  <c r="Q181" i="80"/>
  <c r="O181" i="80"/>
  <c r="M181" i="80"/>
  <c r="K181" i="80"/>
  <c r="I181" i="80"/>
  <c r="G181" i="80"/>
  <c r="Q180" i="80"/>
  <c r="O180" i="80"/>
  <c r="M180" i="80"/>
  <c r="K180" i="80"/>
  <c r="I180" i="80"/>
  <c r="G180" i="80"/>
  <c r="Q179" i="80"/>
  <c r="O179" i="80"/>
  <c r="M179" i="80"/>
  <c r="K179" i="80"/>
  <c r="I179" i="80"/>
  <c r="G179" i="80"/>
  <c r="Q178" i="80"/>
  <c r="O178" i="80"/>
  <c r="M178" i="80"/>
  <c r="K178" i="80"/>
  <c r="I178" i="80"/>
  <c r="G178" i="80"/>
  <c r="Q177" i="80"/>
  <c r="O177" i="80"/>
  <c r="M177" i="80"/>
  <c r="K177" i="80"/>
  <c r="I177" i="80"/>
  <c r="G177" i="80"/>
  <c r="Q176" i="80"/>
  <c r="O176" i="80"/>
  <c r="M176" i="80"/>
  <c r="K176" i="80"/>
  <c r="I176" i="80"/>
  <c r="G176" i="80"/>
  <c r="Q175" i="80"/>
  <c r="O175" i="80"/>
  <c r="M175" i="80"/>
  <c r="K175" i="80"/>
  <c r="I175" i="80"/>
  <c r="G175" i="80"/>
  <c r="Q174" i="80"/>
  <c r="O174" i="80"/>
  <c r="M174" i="80"/>
  <c r="K174" i="80"/>
  <c r="I174" i="80"/>
  <c r="G174" i="80"/>
  <c r="Q173" i="80"/>
  <c r="O173" i="80"/>
  <c r="M173" i="80"/>
  <c r="K173" i="80"/>
  <c r="I173" i="80"/>
  <c r="G173" i="80"/>
  <c r="Q172" i="80"/>
  <c r="O172" i="80"/>
  <c r="M172" i="80"/>
  <c r="K172" i="80"/>
  <c r="I172" i="80"/>
  <c r="G172" i="80"/>
  <c r="Q171" i="80"/>
  <c r="O171" i="80"/>
  <c r="M171" i="80"/>
  <c r="K171" i="80"/>
  <c r="I171" i="80"/>
  <c r="G171" i="80"/>
  <c r="Q170" i="80"/>
  <c r="O170" i="80"/>
  <c r="M170" i="80"/>
  <c r="K170" i="80"/>
  <c r="I170" i="80"/>
  <c r="G170" i="80"/>
  <c r="Q169" i="80"/>
  <c r="O169" i="80"/>
  <c r="M169" i="80"/>
  <c r="K169" i="80"/>
  <c r="I169" i="80"/>
  <c r="G169" i="80"/>
  <c r="Q168" i="80"/>
  <c r="O168" i="80"/>
  <c r="M168" i="80"/>
  <c r="K168" i="80"/>
  <c r="I168" i="80"/>
  <c r="G168" i="80"/>
  <c r="Q167" i="80"/>
  <c r="O167" i="80"/>
  <c r="M167" i="80"/>
  <c r="K167" i="80"/>
  <c r="I167" i="80"/>
  <c r="G167" i="80"/>
  <c r="Q166" i="80"/>
  <c r="O166" i="80"/>
  <c r="M166" i="80"/>
  <c r="K166" i="80"/>
  <c r="I166" i="80"/>
  <c r="G166" i="80"/>
  <c r="Q165" i="80"/>
  <c r="O165" i="80"/>
  <c r="M165" i="80"/>
  <c r="K165" i="80"/>
  <c r="I165" i="80"/>
  <c r="G165" i="80"/>
  <c r="Q164" i="80"/>
  <c r="O164" i="80"/>
  <c r="M164" i="80"/>
  <c r="K164" i="80"/>
  <c r="I164" i="80"/>
  <c r="G164" i="80"/>
  <c r="Q163" i="80"/>
  <c r="O163" i="80"/>
  <c r="M163" i="80"/>
  <c r="K163" i="80"/>
  <c r="I163" i="80"/>
  <c r="G163" i="80"/>
  <c r="Q162" i="80"/>
  <c r="O162" i="80"/>
  <c r="M162" i="80"/>
  <c r="K162" i="80"/>
  <c r="I162" i="80"/>
  <c r="G162" i="80"/>
  <c r="Q161" i="80"/>
  <c r="O161" i="80"/>
  <c r="M161" i="80"/>
  <c r="K161" i="80"/>
  <c r="I161" i="80"/>
  <c r="G161" i="80"/>
  <c r="Q160" i="80"/>
  <c r="O160" i="80"/>
  <c r="M160" i="80"/>
  <c r="K160" i="80"/>
  <c r="I160" i="80"/>
  <c r="G160" i="80"/>
  <c r="Q159" i="80"/>
  <c r="O159" i="80"/>
  <c r="M159" i="80"/>
  <c r="K159" i="80"/>
  <c r="I159" i="80"/>
  <c r="G159" i="80"/>
  <c r="Q158" i="80"/>
  <c r="O158" i="80"/>
  <c r="M158" i="80"/>
  <c r="K158" i="80"/>
  <c r="I158" i="80"/>
  <c r="G158" i="80"/>
  <c r="Q157" i="80"/>
  <c r="O157" i="80"/>
  <c r="M157" i="80"/>
  <c r="K157" i="80"/>
  <c r="I157" i="80"/>
  <c r="G157" i="80"/>
  <c r="Q156" i="80"/>
  <c r="O156" i="80"/>
  <c r="M156" i="80"/>
  <c r="K156" i="80"/>
  <c r="I156" i="80"/>
  <c r="G156" i="80"/>
  <c r="Q155" i="80"/>
  <c r="O155" i="80"/>
  <c r="M155" i="80"/>
  <c r="K155" i="80"/>
  <c r="I155" i="80"/>
  <c r="G155" i="80"/>
  <c r="Q154" i="80"/>
  <c r="O154" i="80"/>
  <c r="M154" i="80"/>
  <c r="K154" i="80"/>
  <c r="I154" i="80"/>
  <c r="G154" i="80"/>
  <c r="Q153" i="80"/>
  <c r="O153" i="80"/>
  <c r="M153" i="80"/>
  <c r="K153" i="80"/>
  <c r="I153" i="80"/>
  <c r="G153" i="80"/>
  <c r="Q152" i="80"/>
  <c r="O152" i="80"/>
  <c r="M152" i="80"/>
  <c r="K152" i="80"/>
  <c r="I152" i="80"/>
  <c r="G152" i="80"/>
  <c r="Q151" i="80"/>
  <c r="O151" i="80"/>
  <c r="M151" i="80"/>
  <c r="K151" i="80"/>
  <c r="I151" i="80"/>
  <c r="G151" i="80"/>
  <c r="Q150" i="80"/>
  <c r="O150" i="80"/>
  <c r="M150" i="80"/>
  <c r="K150" i="80"/>
  <c r="I150" i="80"/>
  <c r="G150" i="80"/>
  <c r="Q149" i="80"/>
  <c r="O149" i="80"/>
  <c r="M149" i="80"/>
  <c r="K149" i="80"/>
  <c r="I149" i="80"/>
  <c r="G149" i="80"/>
  <c r="Q148" i="80"/>
  <c r="O148" i="80"/>
  <c r="M148" i="80"/>
  <c r="K148" i="80"/>
  <c r="I148" i="80"/>
  <c r="G148" i="80"/>
  <c r="Q147" i="80"/>
  <c r="O147" i="80"/>
  <c r="M147" i="80"/>
  <c r="K147" i="80"/>
  <c r="I147" i="80"/>
  <c r="G147" i="80"/>
  <c r="Q146" i="80"/>
  <c r="O146" i="80"/>
  <c r="M146" i="80"/>
  <c r="K146" i="80"/>
  <c r="I146" i="80"/>
  <c r="G146" i="80"/>
  <c r="Q145" i="80"/>
  <c r="O145" i="80"/>
  <c r="M145" i="80"/>
  <c r="K145" i="80"/>
  <c r="I145" i="80"/>
  <c r="G145" i="80"/>
  <c r="Q144" i="80"/>
  <c r="O144" i="80"/>
  <c r="M144" i="80"/>
  <c r="K144" i="80"/>
  <c r="I144" i="80"/>
  <c r="G144" i="80"/>
  <c r="Q143" i="80"/>
  <c r="O143" i="80"/>
  <c r="M143" i="80"/>
  <c r="K143" i="80"/>
  <c r="I143" i="80"/>
  <c r="G143" i="80"/>
  <c r="Q142" i="80"/>
  <c r="O142" i="80"/>
  <c r="M142" i="80"/>
  <c r="K142" i="80"/>
  <c r="I142" i="80"/>
  <c r="G142" i="80"/>
  <c r="Q141" i="80"/>
  <c r="O141" i="80"/>
  <c r="M141" i="80"/>
  <c r="K141" i="80"/>
  <c r="I141" i="80"/>
  <c r="G141" i="80"/>
  <c r="Q140" i="80"/>
  <c r="O140" i="80"/>
  <c r="M140" i="80"/>
  <c r="K140" i="80"/>
  <c r="I140" i="80"/>
  <c r="G140" i="80"/>
  <c r="Q139" i="80"/>
  <c r="O139" i="80"/>
  <c r="M139" i="80"/>
  <c r="K139" i="80"/>
  <c r="I139" i="80"/>
  <c r="G139" i="80"/>
  <c r="Q138" i="80"/>
  <c r="O138" i="80"/>
  <c r="M138" i="80"/>
  <c r="K138" i="80"/>
  <c r="I138" i="80"/>
  <c r="G138" i="80"/>
  <c r="Q137" i="80"/>
  <c r="O137" i="80"/>
  <c r="M137" i="80"/>
  <c r="K137" i="80"/>
  <c r="I137" i="80"/>
  <c r="G137" i="80"/>
  <c r="Q136" i="80"/>
  <c r="O136" i="80"/>
  <c r="M136" i="80"/>
  <c r="K136" i="80"/>
  <c r="I136" i="80"/>
  <c r="G136" i="80"/>
  <c r="Q135" i="80"/>
  <c r="O135" i="80"/>
  <c r="M135" i="80"/>
  <c r="K135" i="80"/>
  <c r="I135" i="80"/>
  <c r="G135" i="80"/>
  <c r="Q134" i="80"/>
  <c r="O134" i="80"/>
  <c r="M134" i="80"/>
  <c r="K134" i="80"/>
  <c r="I134" i="80"/>
  <c r="G134" i="80"/>
  <c r="Q133" i="80"/>
  <c r="O133" i="80"/>
  <c r="M133" i="80"/>
  <c r="K133" i="80"/>
  <c r="I133" i="80"/>
  <c r="G133" i="80"/>
  <c r="Q132" i="80"/>
  <c r="O132" i="80"/>
  <c r="M132" i="80"/>
  <c r="K132" i="80"/>
  <c r="I132" i="80"/>
  <c r="G132" i="80"/>
  <c r="Q131" i="80"/>
  <c r="O131" i="80"/>
  <c r="M131" i="80"/>
  <c r="K131" i="80"/>
  <c r="I131" i="80"/>
  <c r="G131" i="80"/>
  <c r="Q130" i="80"/>
  <c r="O130" i="80"/>
  <c r="M130" i="80"/>
  <c r="K130" i="80"/>
  <c r="I130" i="80"/>
  <c r="G130" i="80"/>
  <c r="Q129" i="80"/>
  <c r="O129" i="80"/>
  <c r="M129" i="80"/>
  <c r="K129" i="80"/>
  <c r="I129" i="80"/>
  <c r="G129" i="80"/>
  <c r="Q128" i="80"/>
  <c r="O128" i="80"/>
  <c r="M128" i="80"/>
  <c r="K128" i="80"/>
  <c r="I128" i="80"/>
  <c r="G128" i="80"/>
  <c r="Q127" i="80"/>
  <c r="O127" i="80"/>
  <c r="M127" i="80"/>
  <c r="K127" i="80"/>
  <c r="I127" i="80"/>
  <c r="G127" i="80"/>
  <c r="Q126" i="80"/>
  <c r="O126" i="80"/>
  <c r="M126" i="80"/>
  <c r="K126" i="80"/>
  <c r="I126" i="80"/>
  <c r="G126" i="80"/>
  <c r="Q125" i="80"/>
  <c r="O125" i="80"/>
  <c r="M125" i="80"/>
  <c r="K125" i="80"/>
  <c r="I125" i="80"/>
  <c r="G125" i="80"/>
  <c r="Q124" i="80"/>
  <c r="O124" i="80"/>
  <c r="M124" i="80"/>
  <c r="K124" i="80"/>
  <c r="I124" i="80"/>
  <c r="G124" i="80"/>
  <c r="Q123" i="80"/>
  <c r="O123" i="80"/>
  <c r="M123" i="80"/>
  <c r="K123" i="80"/>
  <c r="I123" i="80"/>
  <c r="G123" i="80"/>
  <c r="Q122" i="80"/>
  <c r="O122" i="80"/>
  <c r="M122" i="80"/>
  <c r="K122" i="80"/>
  <c r="I122" i="80"/>
  <c r="G122" i="80"/>
  <c r="Q121" i="80"/>
  <c r="O121" i="80"/>
  <c r="M121" i="80"/>
  <c r="K121" i="80"/>
  <c r="I121" i="80"/>
  <c r="G121" i="80"/>
  <c r="Q120" i="80"/>
  <c r="O120" i="80"/>
  <c r="M120" i="80"/>
  <c r="K120" i="80"/>
  <c r="I120" i="80"/>
  <c r="G120" i="80"/>
  <c r="Q119" i="80"/>
  <c r="O119" i="80"/>
  <c r="M119" i="80"/>
  <c r="K119" i="80"/>
  <c r="I119" i="80"/>
  <c r="G119" i="80"/>
  <c r="Q118" i="80"/>
  <c r="O118" i="80"/>
  <c r="M118" i="80"/>
  <c r="K118" i="80"/>
  <c r="I118" i="80"/>
  <c r="G118" i="80"/>
  <c r="Q117" i="80"/>
  <c r="O117" i="80"/>
  <c r="M117" i="80"/>
  <c r="K117" i="80"/>
  <c r="I117" i="80"/>
  <c r="G117" i="80"/>
  <c r="Q116" i="80"/>
  <c r="O116" i="80"/>
  <c r="M116" i="80"/>
  <c r="K116" i="80"/>
  <c r="I116" i="80"/>
  <c r="G116" i="80"/>
  <c r="Q115" i="80"/>
  <c r="O115" i="80"/>
  <c r="M115" i="80"/>
  <c r="K115" i="80"/>
  <c r="I115" i="80"/>
  <c r="G115" i="80"/>
  <c r="Q114" i="80"/>
  <c r="O114" i="80"/>
  <c r="M114" i="80"/>
  <c r="K114" i="80"/>
  <c r="I114" i="80"/>
  <c r="G114" i="80"/>
  <c r="Q113" i="80"/>
  <c r="O113" i="80"/>
  <c r="M113" i="80"/>
  <c r="K113" i="80"/>
  <c r="I113" i="80"/>
  <c r="G113" i="80"/>
  <c r="Q112" i="80"/>
  <c r="O112" i="80"/>
  <c r="M112" i="80"/>
  <c r="K112" i="80"/>
  <c r="I112" i="80"/>
  <c r="G112" i="80"/>
  <c r="Q111" i="80"/>
  <c r="O111" i="80"/>
  <c r="M111" i="80"/>
  <c r="K111" i="80"/>
  <c r="I111" i="80"/>
  <c r="G111" i="80"/>
  <c r="Q110" i="80"/>
  <c r="O110" i="80"/>
  <c r="M110" i="80"/>
  <c r="K110" i="80"/>
  <c r="I110" i="80"/>
  <c r="G110" i="80"/>
  <c r="Q109" i="80"/>
  <c r="O109" i="80"/>
  <c r="M109" i="80"/>
  <c r="K109" i="80"/>
  <c r="I109" i="80"/>
  <c r="G109" i="80"/>
  <c r="Q108" i="80"/>
  <c r="O108" i="80"/>
  <c r="M108" i="80"/>
  <c r="K108" i="80"/>
  <c r="I108" i="80"/>
  <c r="G108" i="80"/>
  <c r="Q107" i="80"/>
  <c r="O107" i="80"/>
  <c r="M107" i="80"/>
  <c r="K107" i="80"/>
  <c r="I107" i="80"/>
  <c r="G107" i="80"/>
  <c r="Q106" i="80"/>
  <c r="O106" i="80"/>
  <c r="M106" i="80"/>
  <c r="K106" i="80"/>
  <c r="I106" i="80"/>
  <c r="G106" i="80"/>
  <c r="Q105" i="80"/>
  <c r="O105" i="80"/>
  <c r="M105" i="80"/>
  <c r="K105" i="80"/>
  <c r="I105" i="80"/>
  <c r="G105" i="80"/>
  <c r="Q104" i="80"/>
  <c r="O104" i="80"/>
  <c r="M104" i="80"/>
  <c r="K104" i="80"/>
  <c r="I104" i="80"/>
  <c r="G104" i="80"/>
  <c r="Q103" i="80"/>
  <c r="O103" i="80"/>
  <c r="M103" i="80"/>
  <c r="K103" i="80"/>
  <c r="I103" i="80"/>
  <c r="G103" i="80"/>
  <c r="Q102" i="80"/>
  <c r="O102" i="80"/>
  <c r="M102" i="80"/>
  <c r="K102" i="80"/>
  <c r="I102" i="80"/>
  <c r="G102" i="80"/>
  <c r="Q101" i="80"/>
  <c r="O101" i="80"/>
  <c r="M101" i="80"/>
  <c r="K101" i="80"/>
  <c r="I101" i="80"/>
  <c r="G101" i="80"/>
  <c r="Q100" i="80"/>
  <c r="O100" i="80"/>
  <c r="M100" i="80"/>
  <c r="K100" i="80"/>
  <c r="I100" i="80"/>
  <c r="G100" i="80"/>
  <c r="Q99" i="80"/>
  <c r="O99" i="80"/>
  <c r="M99" i="80"/>
  <c r="K99" i="80"/>
  <c r="I99" i="80"/>
  <c r="G99" i="80"/>
  <c r="Q98" i="80"/>
  <c r="O98" i="80"/>
  <c r="M98" i="80"/>
  <c r="K98" i="80"/>
  <c r="I98" i="80"/>
  <c r="G98" i="80"/>
  <c r="Q97" i="80"/>
  <c r="O97" i="80"/>
  <c r="M97" i="80"/>
  <c r="K97" i="80"/>
  <c r="I97" i="80"/>
  <c r="G97" i="80"/>
  <c r="Q96" i="80"/>
  <c r="O96" i="80"/>
  <c r="M96" i="80"/>
  <c r="K96" i="80"/>
  <c r="I96" i="80"/>
  <c r="G96" i="80"/>
  <c r="Q95" i="80"/>
  <c r="O95" i="80"/>
  <c r="M95" i="80"/>
  <c r="K95" i="80"/>
  <c r="I95" i="80"/>
  <c r="G95" i="80"/>
  <c r="Q94" i="80"/>
  <c r="O94" i="80"/>
  <c r="M94" i="80"/>
  <c r="K94" i="80"/>
  <c r="I94" i="80"/>
  <c r="G94" i="80"/>
  <c r="Q93" i="80"/>
  <c r="O93" i="80"/>
  <c r="M93" i="80"/>
  <c r="K93" i="80"/>
  <c r="I93" i="80"/>
  <c r="G93" i="80"/>
  <c r="Q92" i="80"/>
  <c r="O92" i="80"/>
  <c r="M92" i="80"/>
  <c r="K92" i="80"/>
  <c r="I92" i="80"/>
  <c r="G92" i="80"/>
  <c r="Q91" i="80"/>
  <c r="O91" i="80"/>
  <c r="M91" i="80"/>
  <c r="K91" i="80"/>
  <c r="I91" i="80"/>
  <c r="G91" i="80"/>
  <c r="Q90" i="80"/>
  <c r="O90" i="80"/>
  <c r="M90" i="80"/>
  <c r="K90" i="80"/>
  <c r="I90" i="80"/>
  <c r="G90" i="80"/>
  <c r="Q89" i="80"/>
  <c r="O89" i="80"/>
  <c r="M89" i="80"/>
  <c r="K89" i="80"/>
  <c r="I89" i="80"/>
  <c r="G89" i="80"/>
  <c r="Q88" i="80"/>
  <c r="O88" i="80"/>
  <c r="M88" i="80"/>
  <c r="K88" i="80"/>
  <c r="I88" i="80"/>
  <c r="G88" i="80"/>
  <c r="Q87" i="80"/>
  <c r="O87" i="80"/>
  <c r="M87" i="80"/>
  <c r="K87" i="80"/>
  <c r="I87" i="80"/>
  <c r="G87" i="80"/>
  <c r="Q86" i="80"/>
  <c r="O86" i="80"/>
  <c r="M86" i="80"/>
  <c r="K86" i="80"/>
  <c r="I86" i="80"/>
  <c r="G86" i="80"/>
  <c r="Q85" i="80"/>
  <c r="O85" i="80"/>
  <c r="M85" i="80"/>
  <c r="K85" i="80"/>
  <c r="I85" i="80"/>
  <c r="G85" i="80"/>
  <c r="Q84" i="80"/>
  <c r="O84" i="80"/>
  <c r="M84" i="80"/>
  <c r="K84" i="80"/>
  <c r="I84" i="80"/>
  <c r="G84" i="80"/>
  <c r="Q83" i="80"/>
  <c r="O83" i="80"/>
  <c r="M83" i="80"/>
  <c r="K83" i="80"/>
  <c r="I83" i="80"/>
  <c r="G83" i="80"/>
  <c r="Q82" i="80"/>
  <c r="O82" i="80"/>
  <c r="M82" i="80"/>
  <c r="K82" i="80"/>
  <c r="I82" i="80"/>
  <c r="G82" i="80"/>
  <c r="Q81" i="80"/>
  <c r="O81" i="80"/>
  <c r="M81" i="80"/>
  <c r="K81" i="80"/>
  <c r="I81" i="80"/>
  <c r="G81" i="80"/>
  <c r="Q80" i="80"/>
  <c r="O80" i="80"/>
  <c r="M80" i="80"/>
  <c r="K80" i="80"/>
  <c r="I80" i="80"/>
  <c r="G80" i="80"/>
  <c r="Q79" i="80"/>
  <c r="O79" i="80"/>
  <c r="M79" i="80"/>
  <c r="K79" i="80"/>
  <c r="I79" i="80"/>
  <c r="G79" i="80"/>
  <c r="Q78" i="80"/>
  <c r="O78" i="80"/>
  <c r="M78" i="80"/>
  <c r="K78" i="80"/>
  <c r="I78" i="80"/>
  <c r="G78" i="80"/>
  <c r="Q77" i="80"/>
  <c r="O77" i="80"/>
  <c r="M77" i="80"/>
  <c r="K77" i="80"/>
  <c r="I77" i="80"/>
  <c r="G77" i="80"/>
  <c r="Q76" i="80"/>
  <c r="O76" i="80"/>
  <c r="M76" i="80"/>
  <c r="K76" i="80"/>
  <c r="I76" i="80"/>
  <c r="G76" i="80"/>
  <c r="Q75" i="80"/>
  <c r="O75" i="80"/>
  <c r="M75" i="80"/>
  <c r="K75" i="80"/>
  <c r="I75" i="80"/>
  <c r="G75" i="80"/>
  <c r="Q74" i="80"/>
  <c r="O74" i="80"/>
  <c r="M74" i="80"/>
  <c r="K74" i="80"/>
  <c r="I74" i="80"/>
  <c r="G74" i="80"/>
  <c r="Q73" i="80"/>
  <c r="O73" i="80"/>
  <c r="M73" i="80"/>
  <c r="K73" i="80"/>
  <c r="I73" i="80"/>
  <c r="G73" i="80"/>
  <c r="Q72" i="80"/>
  <c r="O72" i="80"/>
  <c r="M72" i="80"/>
  <c r="K72" i="80"/>
  <c r="I72" i="80"/>
  <c r="G72" i="80"/>
  <c r="Q71" i="80"/>
  <c r="O71" i="80"/>
  <c r="M71" i="80"/>
  <c r="K71" i="80"/>
  <c r="I71" i="80"/>
  <c r="G71" i="80"/>
  <c r="Q70" i="80"/>
  <c r="O70" i="80"/>
  <c r="M70" i="80"/>
  <c r="K70" i="80"/>
  <c r="I70" i="80"/>
  <c r="G70" i="80"/>
  <c r="Q69" i="80"/>
  <c r="O69" i="80"/>
  <c r="M69" i="80"/>
  <c r="K69" i="80"/>
  <c r="I69" i="80"/>
  <c r="G69" i="80"/>
  <c r="Q68" i="80"/>
  <c r="O68" i="80"/>
  <c r="M68" i="80"/>
  <c r="K68" i="80"/>
  <c r="I68" i="80"/>
  <c r="G68" i="80"/>
  <c r="Q67" i="80"/>
  <c r="O67" i="80"/>
  <c r="M67" i="80"/>
  <c r="K67" i="80"/>
  <c r="I67" i="80"/>
  <c r="G67" i="80"/>
  <c r="Q66" i="80"/>
  <c r="O66" i="80"/>
  <c r="M66" i="80"/>
  <c r="K66" i="80"/>
  <c r="I66" i="80"/>
  <c r="G66" i="80"/>
  <c r="Q65" i="80"/>
  <c r="O65" i="80"/>
  <c r="M65" i="80"/>
  <c r="K65" i="80"/>
  <c r="I65" i="80"/>
  <c r="G65" i="80"/>
  <c r="Q64" i="80"/>
  <c r="O64" i="80"/>
  <c r="M64" i="80"/>
  <c r="K64" i="80"/>
  <c r="I64" i="80"/>
  <c r="G64" i="80"/>
  <c r="Q63" i="80"/>
  <c r="O63" i="80"/>
  <c r="M63" i="80"/>
  <c r="K63" i="80"/>
  <c r="I63" i="80"/>
  <c r="G63" i="80"/>
  <c r="Q62" i="80"/>
  <c r="O62" i="80"/>
  <c r="M62" i="80"/>
  <c r="K62" i="80"/>
  <c r="I62" i="80"/>
  <c r="G62" i="80"/>
  <c r="Q61" i="80"/>
  <c r="O61" i="80"/>
  <c r="M61" i="80"/>
  <c r="K61" i="80"/>
  <c r="I61" i="80"/>
  <c r="G61" i="80"/>
  <c r="Q60" i="80"/>
  <c r="O60" i="80"/>
  <c r="M60" i="80"/>
  <c r="K60" i="80"/>
  <c r="I60" i="80"/>
  <c r="G60" i="80"/>
  <c r="Q59" i="80"/>
  <c r="O59" i="80"/>
  <c r="M59" i="80"/>
  <c r="K59" i="80"/>
  <c r="I59" i="80"/>
  <c r="G59" i="80"/>
  <c r="Q58" i="80"/>
  <c r="O58" i="80"/>
  <c r="M58" i="80"/>
  <c r="K58" i="80"/>
  <c r="I58" i="80"/>
  <c r="G58" i="80"/>
  <c r="Q57" i="80"/>
  <c r="O57" i="80"/>
  <c r="M57" i="80"/>
  <c r="K57" i="80"/>
  <c r="I57" i="80"/>
  <c r="G57" i="80"/>
  <c r="Q56" i="80"/>
  <c r="O56" i="80"/>
  <c r="M56" i="80"/>
  <c r="K56" i="80"/>
  <c r="I56" i="80"/>
  <c r="G56" i="80"/>
  <c r="Q55" i="80"/>
  <c r="O55" i="80"/>
  <c r="M55" i="80"/>
  <c r="K55" i="80"/>
  <c r="I55" i="80"/>
  <c r="G55" i="80"/>
  <c r="Q54" i="80"/>
  <c r="O54" i="80"/>
  <c r="M54" i="80"/>
  <c r="K54" i="80"/>
  <c r="I54" i="80"/>
  <c r="G54" i="80"/>
  <c r="Q53" i="80"/>
  <c r="O53" i="80"/>
  <c r="M53" i="80"/>
  <c r="K53" i="80"/>
  <c r="I53" i="80"/>
  <c r="G53" i="80"/>
  <c r="Q52" i="80"/>
  <c r="O52" i="80"/>
  <c r="M52" i="80"/>
  <c r="K52" i="80"/>
  <c r="I52" i="80"/>
  <c r="G52" i="80"/>
  <c r="Q51" i="80"/>
  <c r="O51" i="80"/>
  <c r="M51" i="80"/>
  <c r="K51" i="80"/>
  <c r="I51" i="80"/>
  <c r="G51" i="80"/>
  <c r="Q50" i="80"/>
  <c r="O50" i="80"/>
  <c r="M50" i="80"/>
  <c r="K50" i="80"/>
  <c r="I50" i="80"/>
  <c r="G50" i="80"/>
  <c r="Q49" i="80"/>
  <c r="O49" i="80"/>
  <c r="M49" i="80"/>
  <c r="K49" i="80"/>
  <c r="I49" i="80"/>
  <c r="G49" i="80"/>
  <c r="Q48" i="80"/>
  <c r="O48" i="80"/>
  <c r="M48" i="80"/>
  <c r="K48" i="80"/>
  <c r="I48" i="80"/>
  <c r="G48" i="80"/>
  <c r="Q47" i="80"/>
  <c r="O47" i="80"/>
  <c r="M47" i="80"/>
  <c r="K47" i="80"/>
  <c r="I47" i="80"/>
  <c r="G47" i="80"/>
  <c r="Q46" i="80"/>
  <c r="O46" i="80"/>
  <c r="M46" i="80"/>
  <c r="K46" i="80"/>
  <c r="I46" i="80"/>
  <c r="G46" i="80"/>
  <c r="Q45" i="80"/>
  <c r="O45" i="80"/>
  <c r="M45" i="80"/>
  <c r="K45" i="80"/>
  <c r="I45" i="80"/>
  <c r="G45" i="80"/>
  <c r="Q44" i="80"/>
  <c r="O44" i="80"/>
  <c r="M44" i="80"/>
  <c r="K44" i="80"/>
  <c r="I44" i="80"/>
  <c r="G44" i="80"/>
  <c r="Q43" i="80"/>
  <c r="O43" i="80"/>
  <c r="M43" i="80"/>
  <c r="K43" i="80"/>
  <c r="I43" i="80"/>
  <c r="G43" i="80"/>
  <c r="Q42" i="80"/>
  <c r="O42" i="80"/>
  <c r="M42" i="80"/>
  <c r="K42" i="80"/>
  <c r="I42" i="80"/>
  <c r="G42" i="80"/>
  <c r="Q41" i="80"/>
  <c r="O41" i="80"/>
  <c r="M41" i="80"/>
  <c r="K41" i="80"/>
  <c r="I41" i="80"/>
  <c r="G41" i="80"/>
  <c r="Q40" i="80"/>
  <c r="O40" i="80"/>
  <c r="M40" i="80"/>
  <c r="K40" i="80"/>
  <c r="I40" i="80"/>
  <c r="G40" i="80"/>
  <c r="Q39" i="80"/>
  <c r="O39" i="80"/>
  <c r="M39" i="80"/>
  <c r="K39" i="80"/>
  <c r="I39" i="80"/>
  <c r="G39" i="80"/>
  <c r="Q38" i="80"/>
  <c r="O38" i="80"/>
  <c r="M38" i="80"/>
  <c r="K38" i="80"/>
  <c r="I38" i="80"/>
  <c r="G38" i="80"/>
  <c r="Q37" i="80"/>
  <c r="O37" i="80"/>
  <c r="M37" i="80"/>
  <c r="K37" i="80"/>
  <c r="I37" i="80"/>
  <c r="G37" i="80"/>
  <c r="Q36" i="80"/>
  <c r="O36" i="80"/>
  <c r="M36" i="80"/>
  <c r="K36" i="80"/>
  <c r="I36" i="80"/>
  <c r="G36" i="80"/>
  <c r="Q35" i="80"/>
  <c r="O35" i="80"/>
  <c r="M35" i="80"/>
  <c r="K35" i="80"/>
  <c r="I35" i="80"/>
  <c r="G35" i="80"/>
  <c r="Q34" i="80"/>
  <c r="O34" i="80"/>
  <c r="M34" i="80"/>
  <c r="K34" i="80"/>
  <c r="I34" i="80"/>
  <c r="G34" i="80"/>
  <c r="Q33" i="80"/>
  <c r="O33" i="80"/>
  <c r="M33" i="80"/>
  <c r="K33" i="80"/>
  <c r="I33" i="80"/>
  <c r="G33" i="80"/>
  <c r="Q32" i="80"/>
  <c r="O32" i="80"/>
  <c r="M32" i="80"/>
  <c r="K32" i="80"/>
  <c r="I32" i="80"/>
  <c r="G32" i="80"/>
  <c r="Q31" i="80"/>
  <c r="O31" i="80"/>
  <c r="M31" i="80"/>
  <c r="K31" i="80"/>
  <c r="I31" i="80"/>
  <c r="G31" i="80"/>
  <c r="Q30" i="80"/>
  <c r="O30" i="80"/>
  <c r="M30" i="80"/>
  <c r="K30" i="80"/>
  <c r="I30" i="80"/>
  <c r="G30" i="80"/>
  <c r="Q29" i="80"/>
  <c r="O29" i="80"/>
  <c r="M29" i="80"/>
  <c r="K29" i="80"/>
  <c r="I29" i="80"/>
  <c r="G29" i="80"/>
  <c r="Q28" i="80"/>
  <c r="O28" i="80"/>
  <c r="M28" i="80"/>
  <c r="K28" i="80"/>
  <c r="I28" i="80"/>
  <c r="G28" i="80"/>
  <c r="Q27" i="80"/>
  <c r="O27" i="80"/>
  <c r="M27" i="80"/>
  <c r="K27" i="80"/>
  <c r="I27" i="80"/>
  <c r="G27" i="80"/>
  <c r="Q26" i="80"/>
  <c r="O26" i="80"/>
  <c r="M26" i="80"/>
  <c r="K26" i="80"/>
  <c r="I26" i="80"/>
  <c r="G26" i="80"/>
  <c r="E26" i="80"/>
  <c r="Q25" i="80"/>
  <c r="O25" i="80"/>
  <c r="M25" i="80"/>
  <c r="K25" i="80"/>
  <c r="I25" i="80"/>
  <c r="G25" i="80"/>
  <c r="P23" i="80"/>
  <c r="N23" i="80"/>
  <c r="L23" i="80"/>
  <c r="J23" i="80"/>
  <c r="H23" i="80"/>
  <c r="F23" i="80"/>
  <c r="D23" i="80"/>
  <c r="B22" i="80"/>
  <c r="E12" i="80"/>
  <c r="F12" i="80"/>
  <c r="G12" i="80"/>
  <c r="H12" i="80"/>
  <c r="I12" i="80"/>
  <c r="J12" i="80"/>
  <c r="K12" i="80"/>
  <c r="L12" i="80"/>
  <c r="M12" i="80"/>
  <c r="N12" i="80"/>
  <c r="O12" i="80"/>
  <c r="P12" i="80"/>
  <c r="Q12" i="80"/>
  <c r="R12" i="80"/>
  <c r="S12" i="80"/>
  <c r="D12" i="80"/>
  <c r="E10" i="80"/>
  <c r="F10" i="80"/>
  <c r="G10" i="80"/>
  <c r="H10" i="80"/>
  <c r="I10" i="80"/>
  <c r="J10" i="80"/>
  <c r="K10" i="80"/>
  <c r="L10" i="80"/>
  <c r="M10" i="80"/>
  <c r="N10" i="80"/>
  <c r="O10" i="80"/>
  <c r="P10" i="80"/>
  <c r="Q10" i="80"/>
  <c r="R10" i="80"/>
  <c r="S10" i="80"/>
  <c r="D10" i="80"/>
  <c r="E8" i="80"/>
  <c r="F8" i="80"/>
  <c r="G8" i="80"/>
  <c r="H8" i="80"/>
  <c r="I8" i="80"/>
  <c r="J8" i="80"/>
  <c r="K8" i="80"/>
  <c r="L8" i="80"/>
  <c r="M8" i="80"/>
  <c r="N8" i="80"/>
  <c r="O8" i="80"/>
  <c r="P8" i="80"/>
  <c r="Q8" i="80"/>
  <c r="R8" i="80"/>
  <c r="S8" i="80"/>
  <c r="D8" i="80"/>
  <c r="D6" i="80"/>
  <c r="E32" i="80"/>
  <c r="S2" i="80"/>
  <c r="R2" i="80"/>
  <c r="Q2" i="80"/>
  <c r="P2" i="80"/>
  <c r="O2" i="80"/>
  <c r="N2" i="80"/>
  <c r="M2" i="80"/>
  <c r="L2" i="80"/>
  <c r="K2" i="80"/>
  <c r="J2" i="80"/>
  <c r="I2" i="80"/>
  <c r="H2" i="80"/>
  <c r="G2" i="80"/>
  <c r="F2" i="80"/>
  <c r="E2" i="80"/>
  <c r="D2" i="80"/>
  <c r="C2" i="80"/>
  <c r="Q72" i="79"/>
  <c r="Q59" i="79"/>
  <c r="K59" i="79"/>
  <c r="P74" i="79"/>
  <c r="Q58" i="79"/>
  <c r="Q51" i="79"/>
  <c r="J50" i="79"/>
  <c r="M47" i="79"/>
  <c r="D46" i="79"/>
  <c r="F33" i="79"/>
  <c r="F61" i="79"/>
  <c r="F32" i="79"/>
  <c r="F60" i="79"/>
  <c r="F28" i="79"/>
  <c r="F23" i="79"/>
  <c r="D23" i="79"/>
  <c r="F21" i="79"/>
  <c r="F20" i="79"/>
  <c r="M19" i="79"/>
  <c r="M18" i="79"/>
  <c r="F18" i="79"/>
  <c r="F17" i="79"/>
  <c r="F15" i="79"/>
  <c r="G1" i="79"/>
  <c r="F20" i="80"/>
  <c r="D35" i="81"/>
  <c r="D34" i="81"/>
  <c r="C18" i="81"/>
  <c r="D18" i="81"/>
  <c r="C26" i="85"/>
  <c r="E30" i="80"/>
  <c r="E34" i="80"/>
  <c r="E6" i="80"/>
  <c r="F6" i="80"/>
  <c r="G6" i="80"/>
  <c r="H6" i="80"/>
  <c r="I6" i="80"/>
  <c r="J6" i="80"/>
  <c r="K6" i="80"/>
  <c r="L6" i="80"/>
  <c r="M6" i="80"/>
  <c r="N6" i="80"/>
  <c r="O6" i="80"/>
  <c r="P6" i="80"/>
  <c r="Q6" i="80"/>
  <c r="R6" i="80"/>
  <c r="S6" i="80"/>
  <c r="E28" i="80"/>
  <c r="E523" i="80"/>
  <c r="E521" i="80"/>
  <c r="E519" i="80"/>
  <c r="E517" i="80"/>
  <c r="E515" i="80"/>
  <c r="E513" i="80"/>
  <c r="E511" i="80"/>
  <c r="E509" i="80"/>
  <c r="E507" i="80"/>
  <c r="E505" i="80"/>
  <c r="E503" i="80"/>
  <c r="E501" i="80"/>
  <c r="E499" i="80"/>
  <c r="E497" i="80"/>
  <c r="E495" i="80"/>
  <c r="E493" i="80"/>
  <c r="E491" i="80"/>
  <c r="E489" i="80"/>
  <c r="E487" i="80"/>
  <c r="E485" i="80"/>
  <c r="E483" i="80"/>
  <c r="E481" i="80"/>
  <c r="E479" i="80"/>
  <c r="E477" i="80"/>
  <c r="E475" i="80"/>
  <c r="E473" i="80"/>
  <c r="E471" i="80"/>
  <c r="E469" i="80"/>
  <c r="E467" i="80"/>
  <c r="E465" i="80"/>
  <c r="E463" i="80"/>
  <c r="E461" i="80"/>
  <c r="E459" i="80"/>
  <c r="E457" i="80"/>
  <c r="E455" i="80"/>
  <c r="E453" i="80"/>
  <c r="E451" i="80"/>
  <c r="E449" i="80"/>
  <c r="E447" i="80"/>
  <c r="E445" i="80"/>
  <c r="E443" i="80"/>
  <c r="E441" i="80"/>
  <c r="E439" i="80"/>
  <c r="E437" i="80"/>
  <c r="E435" i="80"/>
  <c r="E433" i="80"/>
  <c r="E431" i="80"/>
  <c r="E429" i="80"/>
  <c r="E427" i="80"/>
  <c r="E425" i="80"/>
  <c r="E423" i="80"/>
  <c r="E421" i="80"/>
  <c r="E419" i="80"/>
  <c r="E417" i="80"/>
  <c r="E415"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524" i="80"/>
  <c r="E522" i="80"/>
  <c r="E520" i="80"/>
  <c r="E518" i="80"/>
  <c r="E516" i="80"/>
  <c r="E514" i="80"/>
  <c r="E512" i="80"/>
  <c r="E510" i="80"/>
  <c r="E508" i="80"/>
  <c r="E506" i="80"/>
  <c r="E504" i="80"/>
  <c r="E502" i="80"/>
  <c r="E500" i="80"/>
  <c r="E498" i="80"/>
  <c r="E496" i="80"/>
  <c r="E494" i="80"/>
  <c r="E492" i="80"/>
  <c r="E490" i="80"/>
  <c r="E488" i="80"/>
  <c r="E486" i="80"/>
  <c r="E484" i="80"/>
  <c r="E482" i="80"/>
  <c r="E480" i="80"/>
  <c r="E478" i="80"/>
  <c r="E476" i="80"/>
  <c r="E474" i="80"/>
  <c r="E472" i="80"/>
  <c r="E470" i="80"/>
  <c r="E468" i="80"/>
  <c r="E466" i="80"/>
  <c r="E464" i="80"/>
  <c r="E462" i="80"/>
  <c r="E460" i="80"/>
  <c r="E458" i="80"/>
  <c r="E456" i="80"/>
  <c r="E454" i="80"/>
  <c r="E452" i="80"/>
  <c r="E450" i="80"/>
  <c r="E448" i="80"/>
  <c r="E446" i="80"/>
  <c r="E444" i="80"/>
  <c r="E442" i="80"/>
  <c r="E440" i="80"/>
  <c r="E438" i="80"/>
  <c r="E436" i="80"/>
  <c r="E434" i="80"/>
  <c r="E432" i="80"/>
  <c r="E430" i="80"/>
  <c r="E428"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6" i="80"/>
  <c r="E353" i="80"/>
  <c r="E351" i="80"/>
  <c r="E349" i="80"/>
  <c r="E347" i="80"/>
  <c r="E345" i="80"/>
  <c r="E343" i="80"/>
  <c r="E341" i="80"/>
  <c r="E339" i="80"/>
  <c r="E337" i="80"/>
  <c r="E335" i="80"/>
  <c r="E333" i="80"/>
  <c r="E331" i="80"/>
  <c r="E329" i="80"/>
  <c r="E327" i="80"/>
  <c r="E325" i="80"/>
  <c r="E323" i="80"/>
  <c r="E321" i="80"/>
  <c r="E319" i="80"/>
  <c r="E317" i="80"/>
  <c r="E315" i="80"/>
  <c r="E313" i="80"/>
  <c r="E311" i="80"/>
  <c r="E309" i="80"/>
  <c r="E307" i="80"/>
  <c r="E305" i="80"/>
  <c r="E303" i="80"/>
  <c r="E301" i="80"/>
  <c r="E299" i="80"/>
  <c r="E297" i="80"/>
  <c r="E295" i="80"/>
  <c r="E293" i="80"/>
  <c r="E291" i="80"/>
  <c r="E289" i="80"/>
  <c r="E287" i="80"/>
  <c r="E285" i="80"/>
  <c r="E283" i="80"/>
  <c r="E281" i="80"/>
  <c r="E279" i="80"/>
  <c r="E277" i="80"/>
  <c r="E275" i="80"/>
  <c r="E273" i="80"/>
  <c r="E271" i="80"/>
  <c r="E269" i="80"/>
  <c r="E267" i="80"/>
  <c r="E265" i="80"/>
  <c r="E263" i="80"/>
  <c r="E261" i="80"/>
  <c r="E259" i="80"/>
  <c r="E257" i="80"/>
  <c r="E255" i="80"/>
  <c r="E253" i="80"/>
  <c r="E251" i="80"/>
  <c r="E249" i="80"/>
  <c r="E247" i="80"/>
  <c r="E245" i="80"/>
  <c r="E243" i="80"/>
  <c r="E241" i="80"/>
  <c r="E240" i="80"/>
  <c r="E238" i="80"/>
  <c r="E236" i="80"/>
  <c r="E234" i="80"/>
  <c r="E232" i="80"/>
  <c r="E230" i="80"/>
  <c r="E228" i="80"/>
  <c r="E226" i="80"/>
  <c r="E224" i="80"/>
  <c r="E222" i="80"/>
  <c r="E220" i="80"/>
  <c r="E218" i="80"/>
  <c r="E216" i="80"/>
  <c r="E214" i="80"/>
  <c r="E212" i="80"/>
  <c r="E210" i="80"/>
  <c r="E208" i="80"/>
  <c r="E206" i="80"/>
  <c r="E204" i="80"/>
  <c r="E202" i="80"/>
  <c r="E200" i="80"/>
  <c r="E198" i="80"/>
  <c r="E196" i="80"/>
  <c r="E358"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6" i="80"/>
  <c r="E284" i="80"/>
  <c r="E282" i="80"/>
  <c r="E280" i="80"/>
  <c r="E278" i="80"/>
  <c r="E276" i="80"/>
  <c r="E274" i="80"/>
  <c r="E272" i="80"/>
  <c r="E270" i="80"/>
  <c r="E268" i="80"/>
  <c r="E266" i="80"/>
  <c r="E264" i="80"/>
  <c r="E262" i="80"/>
  <c r="E260" i="80"/>
  <c r="E258" i="80"/>
  <c r="E256" i="80"/>
  <c r="E254" i="80"/>
  <c r="E252" i="80"/>
  <c r="E250" i="80"/>
  <c r="E248" i="80"/>
  <c r="E246" i="80"/>
  <c r="E244" i="80"/>
  <c r="E242" i="80"/>
  <c r="E239" i="80"/>
  <c r="E237" i="80"/>
  <c r="E235" i="80"/>
  <c r="E233" i="80"/>
  <c r="E231" i="80"/>
  <c r="E229" i="80"/>
  <c r="E227" i="80"/>
  <c r="E225" i="80"/>
  <c r="E223" i="80"/>
  <c r="E221" i="80"/>
  <c r="E219" i="80"/>
  <c r="E217" i="80"/>
  <c r="E215" i="80"/>
  <c r="E213" i="80"/>
  <c r="E211" i="80"/>
  <c r="E209" i="80"/>
  <c r="E207" i="80"/>
  <c r="E205" i="80"/>
  <c r="E203" i="80"/>
  <c r="E201" i="80"/>
  <c r="E199" i="80"/>
  <c r="E197" i="80"/>
  <c r="E195" i="80"/>
  <c r="E193" i="80"/>
  <c r="E191" i="80"/>
  <c r="E189" i="80"/>
  <c r="E187" i="80"/>
  <c r="E25" i="80"/>
  <c r="E27" i="80"/>
  <c r="E29" i="80"/>
  <c r="E31" i="80"/>
  <c r="E33" i="80"/>
  <c r="E35" i="80"/>
  <c r="E37" i="80"/>
  <c r="E39" i="80"/>
  <c r="E41" i="80"/>
  <c r="E43" i="80"/>
  <c r="E45" i="80"/>
  <c r="E47" i="80"/>
  <c r="E49" i="80"/>
  <c r="E51" i="80"/>
  <c r="E53" i="80"/>
  <c r="E55" i="80"/>
  <c r="E57" i="80"/>
  <c r="E59" i="80"/>
  <c r="E61" i="80"/>
  <c r="E63" i="80"/>
  <c r="E65" i="80"/>
  <c r="E67" i="80"/>
  <c r="E69" i="80"/>
  <c r="E71" i="80"/>
  <c r="E73" i="80"/>
  <c r="E75" i="80"/>
  <c r="E77" i="80"/>
  <c r="E79" i="80"/>
  <c r="E81" i="80"/>
  <c r="E83" i="80"/>
  <c r="E85" i="80"/>
  <c r="E87" i="80"/>
  <c r="E89" i="80"/>
  <c r="E91" i="80"/>
  <c r="E93" i="80"/>
  <c r="E95" i="80"/>
  <c r="E97" i="80"/>
  <c r="E99" i="80"/>
  <c r="E101" i="80"/>
  <c r="E103" i="80"/>
  <c r="E105" i="80"/>
  <c r="E107" i="80"/>
  <c r="E109" i="80"/>
  <c r="E111" i="80"/>
  <c r="E113" i="80"/>
  <c r="E115" i="80"/>
  <c r="E117" i="80"/>
  <c r="E119" i="80"/>
  <c r="E121" i="80"/>
  <c r="E123" i="80"/>
  <c r="E125" i="80"/>
  <c r="E127" i="80"/>
  <c r="E129" i="80"/>
  <c r="E131" i="80"/>
  <c r="E133" i="80"/>
  <c r="E135" i="80"/>
  <c r="E137" i="80"/>
  <c r="E139" i="80"/>
  <c r="E141" i="80"/>
  <c r="E143" i="80"/>
  <c r="E145" i="80"/>
  <c r="E147" i="80"/>
  <c r="E149" i="80"/>
  <c r="E151" i="80"/>
  <c r="E153" i="80"/>
  <c r="E155" i="80"/>
  <c r="E157" i="80"/>
  <c r="E159" i="80"/>
  <c r="E161" i="80"/>
  <c r="E163" i="80"/>
  <c r="E165" i="80"/>
  <c r="E167" i="80"/>
  <c r="E169" i="80"/>
  <c r="E171" i="80"/>
  <c r="E173" i="80"/>
  <c r="E175" i="80"/>
  <c r="E177" i="80"/>
  <c r="E179" i="80"/>
  <c r="E181" i="80"/>
  <c r="E183" i="80"/>
  <c r="E185" i="80"/>
  <c r="E188" i="80"/>
  <c r="E192" i="80"/>
  <c r="E36" i="80"/>
  <c r="E38" i="80"/>
  <c r="E40" i="80"/>
  <c r="E42" i="80"/>
  <c r="E44" i="80"/>
  <c r="E46" i="80"/>
  <c r="E48" i="80"/>
  <c r="E50" i="80"/>
  <c r="E52" i="80"/>
  <c r="E54" i="80"/>
  <c r="E56" i="80"/>
  <c r="E58" i="80"/>
  <c r="E60" i="80"/>
  <c r="E62" i="80"/>
  <c r="E64" i="80"/>
  <c r="E66" i="80"/>
  <c r="E68" i="80"/>
  <c r="E70" i="80"/>
  <c r="E72" i="80"/>
  <c r="E74" i="80"/>
  <c r="E76" i="80"/>
  <c r="E78" i="80"/>
  <c r="E80" i="80"/>
  <c r="E82" i="80"/>
  <c r="E84" i="80"/>
  <c r="E86" i="80"/>
  <c r="E88" i="80"/>
  <c r="E90" i="80"/>
  <c r="E92" i="80"/>
  <c r="E94" i="80"/>
  <c r="E96" i="80"/>
  <c r="E98" i="80"/>
  <c r="E100" i="80"/>
  <c r="E102" i="80"/>
  <c r="E104" i="80"/>
  <c r="E106" i="80"/>
  <c r="E108" i="80"/>
  <c r="E110" i="80"/>
  <c r="E112" i="80"/>
  <c r="E114" i="80"/>
  <c r="E116" i="80"/>
  <c r="E118" i="80"/>
  <c r="E120" i="80"/>
  <c r="E122" i="80"/>
  <c r="E124" i="80"/>
  <c r="E126" i="80"/>
  <c r="E128" i="80"/>
  <c r="E130" i="80"/>
  <c r="E132" i="80"/>
  <c r="E134" i="80"/>
  <c r="E136" i="80"/>
  <c r="E138" i="80"/>
  <c r="E140" i="80"/>
  <c r="E142" i="80"/>
  <c r="E144" i="80"/>
  <c r="E146" i="80"/>
  <c r="E148" i="80"/>
  <c r="E150" i="80"/>
  <c r="E152" i="80"/>
  <c r="E154" i="80"/>
  <c r="E156" i="80"/>
  <c r="E158" i="80"/>
  <c r="E160" i="80"/>
  <c r="E162" i="80"/>
  <c r="E164" i="80"/>
  <c r="E166" i="80"/>
  <c r="E168" i="80"/>
  <c r="E170" i="80"/>
  <c r="E172" i="80"/>
  <c r="E174" i="80"/>
  <c r="E176" i="80"/>
  <c r="E178" i="80"/>
  <c r="E180" i="80"/>
  <c r="E182" i="80"/>
  <c r="E184" i="80"/>
  <c r="E186" i="80"/>
  <c r="E190" i="80"/>
  <c r="E194" i="80"/>
  <c r="K120" i="81"/>
  <c r="D121" i="81"/>
  <c r="C92" i="81"/>
  <c r="C94" i="81"/>
  <c r="H109" i="81"/>
  <c r="C26" i="80"/>
  <c r="C28" i="80"/>
  <c r="C30" i="80"/>
  <c r="C32" i="80"/>
  <c r="C34" i="80"/>
  <c r="R34" i="80"/>
  <c r="S34" i="80"/>
  <c r="C36" i="80"/>
  <c r="R36" i="80"/>
  <c r="S36" i="80"/>
  <c r="C38" i="80"/>
  <c r="R38" i="80"/>
  <c r="S38" i="80"/>
  <c r="C41" i="80"/>
  <c r="R41" i="80"/>
  <c r="S41" i="80"/>
  <c r="C42" i="80"/>
  <c r="R42" i="80"/>
  <c r="S42" i="80"/>
  <c r="C240" i="80"/>
  <c r="R240" i="80"/>
  <c r="S240" i="80"/>
  <c r="C239" i="80"/>
  <c r="R239" i="80"/>
  <c r="S239" i="80"/>
  <c r="C238" i="80"/>
  <c r="R238" i="80"/>
  <c r="S238" i="80"/>
  <c r="C237" i="80"/>
  <c r="R237" i="80"/>
  <c r="S237" i="80"/>
  <c r="C236" i="80"/>
  <c r="R236" i="80"/>
  <c r="S236" i="80"/>
  <c r="C235" i="80"/>
  <c r="R235" i="80"/>
  <c r="S235" i="80"/>
  <c r="C234" i="80"/>
  <c r="R234" i="80"/>
  <c r="S234" i="80"/>
  <c r="C233" i="80"/>
  <c r="R233" i="80"/>
  <c r="S233" i="80"/>
  <c r="C232" i="80"/>
  <c r="R232" i="80"/>
  <c r="S232" i="80"/>
  <c r="C231" i="80"/>
  <c r="R231" i="80"/>
  <c r="S231" i="80"/>
  <c r="C230" i="80"/>
  <c r="R230" i="80"/>
  <c r="S230" i="80"/>
  <c r="C229" i="80"/>
  <c r="R229" i="80"/>
  <c r="S229" i="80"/>
  <c r="C228" i="80"/>
  <c r="R228" i="80"/>
  <c r="S228" i="80"/>
  <c r="C227" i="80"/>
  <c r="R227" i="80"/>
  <c r="S227" i="80"/>
  <c r="C226" i="80"/>
  <c r="R226" i="80"/>
  <c r="S226" i="80"/>
  <c r="C225" i="80"/>
  <c r="R225" i="80"/>
  <c r="S225" i="80"/>
  <c r="C224" i="80"/>
  <c r="R224" i="80"/>
  <c r="S224" i="80"/>
  <c r="C223" i="80"/>
  <c r="R223" i="80"/>
  <c r="S223" i="80"/>
  <c r="C222" i="80"/>
  <c r="R222" i="80"/>
  <c r="S222" i="80"/>
  <c r="C221" i="80"/>
  <c r="R221" i="80"/>
  <c r="S221" i="80"/>
  <c r="C220" i="80"/>
  <c r="R220" i="80"/>
  <c r="S220" i="80"/>
  <c r="C219" i="80"/>
  <c r="R219" i="80"/>
  <c r="S219" i="80"/>
  <c r="C218" i="80"/>
  <c r="R218" i="80"/>
  <c r="S218" i="80"/>
  <c r="C217" i="80"/>
  <c r="R217" i="80"/>
  <c r="S217" i="80"/>
  <c r="C216" i="80"/>
  <c r="R216" i="80"/>
  <c r="S216" i="80"/>
  <c r="C215" i="80"/>
  <c r="R215" i="80"/>
  <c r="S215" i="80"/>
  <c r="C214" i="80"/>
  <c r="R214" i="80"/>
  <c r="S214" i="80"/>
  <c r="C213" i="80"/>
  <c r="R213" i="80"/>
  <c r="S213" i="80"/>
  <c r="C212" i="80"/>
  <c r="R212" i="80"/>
  <c r="S212" i="80"/>
  <c r="C211" i="80"/>
  <c r="R211" i="80"/>
  <c r="S211" i="80"/>
  <c r="C210" i="80"/>
  <c r="R210" i="80"/>
  <c r="S210" i="80"/>
  <c r="C209" i="80"/>
  <c r="R209" i="80"/>
  <c r="S209" i="80"/>
  <c r="C208" i="80"/>
  <c r="R208" i="80"/>
  <c r="S208" i="80"/>
  <c r="C207" i="80"/>
  <c r="R207" i="80"/>
  <c r="S207" i="80"/>
  <c r="C206" i="80"/>
  <c r="R206" i="80"/>
  <c r="S206" i="80"/>
  <c r="C205" i="80"/>
  <c r="R205" i="80"/>
  <c r="S205" i="80"/>
  <c r="C204" i="80"/>
  <c r="R204" i="80"/>
  <c r="S204" i="80"/>
  <c r="C203" i="80"/>
  <c r="R203" i="80"/>
  <c r="S203" i="80"/>
  <c r="C202" i="80"/>
  <c r="R202" i="80"/>
  <c r="S202" i="80"/>
  <c r="C201" i="80"/>
  <c r="R201" i="80"/>
  <c r="S201" i="80"/>
  <c r="C200" i="80"/>
  <c r="R200" i="80"/>
  <c r="S200" i="80"/>
  <c r="C199" i="80"/>
  <c r="R199" i="80"/>
  <c r="S199" i="80"/>
  <c r="C198" i="80"/>
  <c r="R198" i="80"/>
  <c r="S198" i="80"/>
  <c r="C197" i="80"/>
  <c r="R197" i="80"/>
  <c r="S197" i="80"/>
  <c r="C196" i="80"/>
  <c r="R196" i="80"/>
  <c r="S196" i="80"/>
  <c r="C195" i="80"/>
  <c r="R195" i="80"/>
  <c r="S195" i="80"/>
  <c r="C194" i="80"/>
  <c r="R194" i="80"/>
  <c r="S194" i="80"/>
  <c r="C193" i="80"/>
  <c r="R193" i="80"/>
  <c r="S193" i="80"/>
  <c r="C192" i="80"/>
  <c r="R192" i="80"/>
  <c r="S192" i="80"/>
  <c r="C191" i="80"/>
  <c r="R191" i="80"/>
  <c r="S191" i="80"/>
  <c r="C190" i="80"/>
  <c r="R190" i="80"/>
  <c r="S190" i="80"/>
  <c r="C189" i="80"/>
  <c r="R189" i="80"/>
  <c r="S189" i="80"/>
  <c r="C188" i="80"/>
  <c r="R188" i="80"/>
  <c r="S188" i="80"/>
  <c r="C187" i="80"/>
  <c r="R187" i="80"/>
  <c r="S187" i="80"/>
  <c r="C186" i="80"/>
  <c r="R186" i="80"/>
  <c r="S186" i="80"/>
  <c r="C185" i="80"/>
  <c r="R185" i="80"/>
  <c r="S185" i="80"/>
  <c r="C184" i="80"/>
  <c r="R184" i="80"/>
  <c r="S184" i="80"/>
  <c r="C183" i="80"/>
  <c r="R183" i="80"/>
  <c r="S183" i="80"/>
  <c r="C182" i="80"/>
  <c r="R182" i="80"/>
  <c r="S182" i="80"/>
  <c r="C181" i="80"/>
  <c r="R181" i="80"/>
  <c r="S181" i="80"/>
  <c r="C180" i="80"/>
  <c r="R180" i="80"/>
  <c r="S180" i="80"/>
  <c r="C179" i="80"/>
  <c r="R179" i="80"/>
  <c r="S179" i="80"/>
  <c r="C178" i="80"/>
  <c r="R178" i="80"/>
  <c r="S178" i="80"/>
  <c r="C177" i="80"/>
  <c r="R177" i="80"/>
  <c r="S177" i="80"/>
  <c r="C175" i="80"/>
  <c r="R175" i="80"/>
  <c r="S175" i="80"/>
  <c r="C173" i="80"/>
  <c r="R173" i="80"/>
  <c r="S173" i="80"/>
  <c r="C171" i="80"/>
  <c r="R171" i="80"/>
  <c r="S171" i="80"/>
  <c r="C176" i="80"/>
  <c r="R176" i="80"/>
  <c r="S176" i="80"/>
  <c r="C174" i="80"/>
  <c r="R174" i="80"/>
  <c r="S174" i="80"/>
  <c r="C172" i="80"/>
  <c r="R172" i="80"/>
  <c r="S172" i="80"/>
  <c r="C170" i="80"/>
  <c r="R170" i="80"/>
  <c r="S170" i="80"/>
  <c r="C169" i="80"/>
  <c r="R169" i="80"/>
  <c r="S169" i="80"/>
  <c r="C168" i="80"/>
  <c r="R168" i="80"/>
  <c r="S168" i="80"/>
  <c r="C167" i="80"/>
  <c r="R167" i="80"/>
  <c r="S167" i="80"/>
  <c r="C166" i="80"/>
  <c r="R166" i="80"/>
  <c r="S166" i="80"/>
  <c r="C165" i="80"/>
  <c r="R165" i="80"/>
  <c r="S165" i="80"/>
  <c r="C164" i="80"/>
  <c r="R164" i="80"/>
  <c r="S164" i="80"/>
  <c r="C163" i="80"/>
  <c r="R163" i="80"/>
  <c r="S163" i="80"/>
  <c r="C162" i="80"/>
  <c r="R162" i="80"/>
  <c r="S162" i="80"/>
  <c r="C161" i="80"/>
  <c r="R161" i="80"/>
  <c r="S161" i="80"/>
  <c r="C160" i="80"/>
  <c r="R160" i="80"/>
  <c r="S160" i="80"/>
  <c r="C159" i="80"/>
  <c r="R159" i="80"/>
  <c r="S159" i="80"/>
  <c r="C158" i="80"/>
  <c r="R158" i="80"/>
  <c r="S158" i="80"/>
  <c r="C157" i="80"/>
  <c r="R157" i="80"/>
  <c r="S157" i="80"/>
  <c r="C156" i="80"/>
  <c r="R156" i="80"/>
  <c r="S156" i="80"/>
  <c r="C155" i="80"/>
  <c r="R155" i="80"/>
  <c r="S155" i="80"/>
  <c r="C154" i="80"/>
  <c r="R154" i="80"/>
  <c r="S154" i="80"/>
  <c r="C153" i="80"/>
  <c r="R153" i="80"/>
  <c r="S153" i="80"/>
  <c r="C152" i="80"/>
  <c r="R152" i="80"/>
  <c r="S152" i="80"/>
  <c r="C151" i="80"/>
  <c r="R151" i="80"/>
  <c r="S151" i="80"/>
  <c r="C150" i="80"/>
  <c r="R150" i="80"/>
  <c r="S150" i="80"/>
  <c r="C149" i="80"/>
  <c r="R149" i="80"/>
  <c r="S149" i="80"/>
  <c r="C148" i="80"/>
  <c r="R148" i="80"/>
  <c r="S148" i="80"/>
  <c r="C147" i="80"/>
  <c r="R147" i="80"/>
  <c r="S147" i="80"/>
  <c r="C146" i="80"/>
  <c r="R146" i="80"/>
  <c r="S146" i="80"/>
  <c r="C145" i="80"/>
  <c r="R145" i="80"/>
  <c r="S145" i="80"/>
  <c r="C144" i="80"/>
  <c r="R144" i="80"/>
  <c r="S144" i="80"/>
  <c r="C143" i="80"/>
  <c r="R143" i="80"/>
  <c r="S143" i="80"/>
  <c r="C142" i="80"/>
  <c r="R142" i="80"/>
  <c r="S142" i="80"/>
  <c r="C141" i="80"/>
  <c r="R141" i="80"/>
  <c r="S141" i="80"/>
  <c r="C140" i="80"/>
  <c r="R140" i="80"/>
  <c r="S140" i="80"/>
  <c r="C139" i="80"/>
  <c r="R139" i="80"/>
  <c r="S139" i="80"/>
  <c r="C138" i="80"/>
  <c r="R138" i="80"/>
  <c r="S138" i="80"/>
  <c r="C137" i="80"/>
  <c r="R137" i="80"/>
  <c r="S137" i="80"/>
  <c r="C136" i="80"/>
  <c r="R136" i="80"/>
  <c r="S136" i="80"/>
  <c r="C135" i="80"/>
  <c r="R135" i="80"/>
  <c r="S135" i="80"/>
  <c r="C134" i="80"/>
  <c r="R134" i="80"/>
  <c r="S134" i="80"/>
  <c r="C133" i="80"/>
  <c r="R133" i="80"/>
  <c r="S133" i="80"/>
  <c r="C132" i="80"/>
  <c r="R132" i="80"/>
  <c r="S132" i="80"/>
  <c r="C131" i="80"/>
  <c r="R131" i="80"/>
  <c r="S131" i="80"/>
  <c r="C130" i="80"/>
  <c r="R130" i="80"/>
  <c r="S130" i="80"/>
  <c r="C129" i="80"/>
  <c r="R129" i="80"/>
  <c r="S129" i="80"/>
  <c r="C128" i="80"/>
  <c r="R128" i="80"/>
  <c r="S128" i="80"/>
  <c r="C127" i="80"/>
  <c r="R127" i="80"/>
  <c r="S127" i="80"/>
  <c r="C126" i="80"/>
  <c r="R126" i="80"/>
  <c r="S126" i="80"/>
  <c r="C125" i="80"/>
  <c r="R125" i="80"/>
  <c r="S125" i="80"/>
  <c r="C124" i="80"/>
  <c r="R124" i="80"/>
  <c r="S124" i="80"/>
  <c r="C123" i="80"/>
  <c r="R123" i="80"/>
  <c r="S123" i="80"/>
  <c r="C122" i="80"/>
  <c r="R122" i="80"/>
  <c r="S122" i="80"/>
  <c r="C121" i="80"/>
  <c r="R121" i="80"/>
  <c r="S121" i="80"/>
  <c r="C120" i="80"/>
  <c r="R120" i="80"/>
  <c r="S120" i="80"/>
  <c r="C119" i="80"/>
  <c r="R119" i="80"/>
  <c r="S119" i="80"/>
  <c r="C118" i="80"/>
  <c r="R118" i="80"/>
  <c r="S118" i="80"/>
  <c r="C117" i="80"/>
  <c r="R117" i="80"/>
  <c r="S117" i="80"/>
  <c r="C116" i="80"/>
  <c r="R116" i="80"/>
  <c r="S116" i="80"/>
  <c r="C115" i="80"/>
  <c r="R115" i="80"/>
  <c r="S115" i="80"/>
  <c r="C114" i="80"/>
  <c r="R114" i="80"/>
  <c r="S114" i="80"/>
  <c r="C113" i="80"/>
  <c r="R113" i="80"/>
  <c r="S113" i="80"/>
  <c r="C112" i="80"/>
  <c r="R112" i="80"/>
  <c r="S112" i="80"/>
  <c r="C111" i="80"/>
  <c r="R111" i="80"/>
  <c r="S111" i="80"/>
  <c r="C110" i="80"/>
  <c r="R110" i="80"/>
  <c r="S110" i="80"/>
  <c r="C109" i="80"/>
  <c r="R109" i="80"/>
  <c r="S109" i="80"/>
  <c r="C108" i="80"/>
  <c r="R108" i="80"/>
  <c r="S108" i="80"/>
  <c r="C107" i="80"/>
  <c r="R107" i="80"/>
  <c r="S107" i="80"/>
  <c r="C106" i="80"/>
  <c r="R106" i="80"/>
  <c r="S106" i="80"/>
  <c r="C105" i="80"/>
  <c r="R105" i="80"/>
  <c r="S105" i="80"/>
  <c r="C104" i="80"/>
  <c r="R104" i="80"/>
  <c r="S104" i="80"/>
  <c r="C103" i="80"/>
  <c r="R103" i="80"/>
  <c r="S103" i="80"/>
  <c r="C102" i="80"/>
  <c r="R102" i="80"/>
  <c r="S102" i="80"/>
  <c r="C101" i="80"/>
  <c r="R101" i="80"/>
  <c r="S101" i="80"/>
  <c r="C100" i="80"/>
  <c r="R100" i="80"/>
  <c r="S100" i="80"/>
  <c r="C99" i="80"/>
  <c r="R99" i="80"/>
  <c r="S99" i="80"/>
  <c r="C98" i="80"/>
  <c r="R98" i="80"/>
  <c r="S98" i="80"/>
  <c r="C97" i="80"/>
  <c r="R97" i="80"/>
  <c r="S97" i="80"/>
  <c r="C96" i="80"/>
  <c r="R96" i="80"/>
  <c r="S96" i="80"/>
  <c r="C95" i="80"/>
  <c r="R95" i="80"/>
  <c r="S95" i="80"/>
  <c r="C94" i="80"/>
  <c r="R94" i="80"/>
  <c r="S94" i="80"/>
  <c r="C93" i="80"/>
  <c r="R93" i="80"/>
  <c r="S93" i="80"/>
  <c r="C92" i="80"/>
  <c r="R92" i="80"/>
  <c r="S92" i="80"/>
  <c r="C91" i="80"/>
  <c r="R91" i="80"/>
  <c r="S91" i="80"/>
  <c r="C90" i="80"/>
  <c r="R90" i="80"/>
  <c r="S90" i="80"/>
  <c r="C89" i="80"/>
  <c r="R89" i="80"/>
  <c r="S89" i="80"/>
  <c r="C25" i="80"/>
  <c r="C27" i="80"/>
  <c r="C29" i="80"/>
  <c r="C31" i="80"/>
  <c r="C33" i="80"/>
  <c r="C35" i="80"/>
  <c r="R35" i="80"/>
  <c r="S35" i="80"/>
  <c r="C37" i="80"/>
  <c r="R37" i="80"/>
  <c r="S37" i="80"/>
  <c r="C39" i="80"/>
  <c r="R39" i="80"/>
  <c r="S39" i="80"/>
  <c r="C40" i="80"/>
  <c r="R40" i="80"/>
  <c r="S40" i="80"/>
  <c r="C43" i="80"/>
  <c r="R43" i="80"/>
  <c r="S43" i="80"/>
  <c r="C44" i="80"/>
  <c r="R44" i="80"/>
  <c r="S44" i="80"/>
  <c r="C45" i="80"/>
  <c r="R45" i="80"/>
  <c r="S45" i="80"/>
  <c r="C46" i="80"/>
  <c r="R46" i="80"/>
  <c r="S46" i="80"/>
  <c r="C47" i="80"/>
  <c r="R47" i="80"/>
  <c r="S47" i="80"/>
  <c r="C48" i="80"/>
  <c r="R48" i="80"/>
  <c r="S48" i="80"/>
  <c r="C49" i="80"/>
  <c r="R49" i="80"/>
  <c r="S49" i="80"/>
  <c r="C50" i="80"/>
  <c r="R50" i="80"/>
  <c r="S50" i="80"/>
  <c r="C51" i="80"/>
  <c r="R51" i="80"/>
  <c r="S51" i="80"/>
  <c r="C52" i="80"/>
  <c r="R52" i="80"/>
  <c r="S52" i="80"/>
  <c r="C53" i="80"/>
  <c r="R53" i="80"/>
  <c r="S53" i="80"/>
  <c r="C54" i="80"/>
  <c r="R54" i="80"/>
  <c r="S54" i="80"/>
  <c r="C55" i="80"/>
  <c r="R55" i="80"/>
  <c r="S55" i="80"/>
  <c r="C56" i="80"/>
  <c r="R56" i="80"/>
  <c r="S56" i="80"/>
  <c r="C57" i="80"/>
  <c r="R57" i="80"/>
  <c r="S57" i="80"/>
  <c r="C58" i="80"/>
  <c r="R58" i="80"/>
  <c r="S58" i="80"/>
  <c r="C59" i="80"/>
  <c r="R59" i="80"/>
  <c r="S59" i="80"/>
  <c r="C60" i="80"/>
  <c r="R60" i="80"/>
  <c r="S60" i="80"/>
  <c r="C61" i="80"/>
  <c r="R61" i="80"/>
  <c r="S61" i="80"/>
  <c r="C62" i="80"/>
  <c r="R62" i="80"/>
  <c r="S62" i="80"/>
  <c r="C63" i="80"/>
  <c r="R63" i="80"/>
  <c r="S63" i="80"/>
  <c r="C64" i="80"/>
  <c r="R64" i="80"/>
  <c r="S64" i="80"/>
  <c r="C65" i="80"/>
  <c r="R65" i="80"/>
  <c r="S65" i="80"/>
  <c r="C66" i="80"/>
  <c r="R66" i="80"/>
  <c r="S66" i="80"/>
  <c r="C67" i="80"/>
  <c r="R67" i="80"/>
  <c r="S67" i="80"/>
  <c r="C68" i="80"/>
  <c r="R68" i="80"/>
  <c r="S68" i="80"/>
  <c r="C69" i="80"/>
  <c r="R69" i="80"/>
  <c r="S69" i="80"/>
  <c r="C70" i="80"/>
  <c r="R70" i="80"/>
  <c r="S70" i="80"/>
  <c r="C71" i="80"/>
  <c r="R71" i="80"/>
  <c r="S71" i="80"/>
  <c r="C72" i="80"/>
  <c r="R72" i="80"/>
  <c r="S72" i="80"/>
  <c r="C73" i="80"/>
  <c r="R73" i="80"/>
  <c r="S73" i="80"/>
  <c r="C74" i="80"/>
  <c r="R74" i="80"/>
  <c r="S74" i="80"/>
  <c r="C75" i="80"/>
  <c r="R75" i="80"/>
  <c r="S75" i="80"/>
  <c r="C76" i="80"/>
  <c r="R76" i="80"/>
  <c r="S76" i="80"/>
  <c r="C77" i="80"/>
  <c r="R77" i="80"/>
  <c r="S77" i="80"/>
  <c r="C78" i="80"/>
  <c r="R78" i="80"/>
  <c r="S78" i="80"/>
  <c r="C79" i="80"/>
  <c r="R79" i="80"/>
  <c r="S79" i="80"/>
  <c r="C80" i="80"/>
  <c r="R80" i="80"/>
  <c r="S80" i="80"/>
  <c r="C81" i="80"/>
  <c r="R81" i="80"/>
  <c r="S81" i="80"/>
  <c r="C82" i="80"/>
  <c r="R82" i="80"/>
  <c r="S82" i="80"/>
  <c r="C83" i="80"/>
  <c r="R83" i="80"/>
  <c r="S83" i="80"/>
  <c r="C84" i="80"/>
  <c r="R84" i="80"/>
  <c r="S84" i="80"/>
  <c r="C85" i="80"/>
  <c r="R85" i="80"/>
  <c r="S85" i="80"/>
  <c r="C86" i="80"/>
  <c r="R86" i="80"/>
  <c r="S86" i="80"/>
  <c r="C87" i="80"/>
  <c r="R87" i="80"/>
  <c r="S87" i="80"/>
  <c r="C88" i="80"/>
  <c r="R88" i="80"/>
  <c r="S88" i="80"/>
  <c r="D24" i="79"/>
  <c r="P61" i="79"/>
  <c r="D22" i="79"/>
  <c r="J51" i="79"/>
  <c r="F20" i="6"/>
  <c r="C33" i="33"/>
  <c r="F19" i="6"/>
  <c r="B24" i="31"/>
  <c r="D235" i="77"/>
  <c r="D220" i="77"/>
  <c r="M22" i="79"/>
  <c r="M28" i="79"/>
  <c r="F16" i="79"/>
  <c r="F9" i="79"/>
  <c r="F37" i="79"/>
  <c r="F36" i="79"/>
  <c r="J15" i="79"/>
  <c r="M6" i="79"/>
  <c r="F26" i="79"/>
  <c r="M27" i="79"/>
  <c r="F6" i="79"/>
  <c r="M8" i="79"/>
  <c r="M23" i="79"/>
  <c r="M24" i="79"/>
  <c r="F42" i="79"/>
  <c r="F13" i="79"/>
  <c r="F38" i="79"/>
  <c r="M26" i="79"/>
  <c r="F8" i="79"/>
  <c r="M9" i="79"/>
  <c r="C76" i="79"/>
  <c r="F40" i="79"/>
  <c r="C41" i="21"/>
  <c r="C42" i="34"/>
  <c r="D124" i="81"/>
  <c r="D125" i="81"/>
  <c r="H110" i="81"/>
  <c r="F64" i="79"/>
  <c r="F66" i="79"/>
  <c r="F51" i="79"/>
  <c r="F68" i="79"/>
  <c r="C27" i="79"/>
  <c r="F65" i="79"/>
  <c r="Q71" i="79"/>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D116" i="39"/>
  <c r="E116" i="39"/>
  <c r="F116" i="39"/>
  <c r="G116" i="39"/>
  <c r="H116" i="39"/>
  <c r="I116" i="39"/>
  <c r="J116" i="39"/>
  <c r="K116" i="39"/>
  <c r="L116" i="39"/>
  <c r="M116" i="39"/>
  <c r="C116" i="39"/>
  <c r="A21" i="62"/>
  <c r="A20" i="62"/>
  <c r="B66" i="72"/>
  <c r="A22" i="51"/>
  <c r="A21" i="51"/>
  <c r="A20" i="51"/>
  <c r="A15" i="62"/>
  <c r="A14" i="62"/>
  <c r="A13" i="62"/>
  <c r="B59" i="72"/>
  <c r="A19" i="62"/>
  <c r="A12" i="62"/>
  <c r="B58" i="72"/>
  <c r="A120" i="9"/>
  <c r="H2" i="52"/>
  <c r="A1" i="52"/>
  <c r="A3" i="53"/>
  <c r="Q15" i="71"/>
  <c r="P15" i="71"/>
  <c r="O15" i="71"/>
  <c r="N15" i="71"/>
  <c r="A15" i="51"/>
  <c r="B12" i="72"/>
  <c r="C76" i="9"/>
  <c r="I107" i="40"/>
  <c r="K6" i="4"/>
  <c r="B22" i="31"/>
  <c r="B15" i="74"/>
  <c r="N56" i="9"/>
  <c r="M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D83" i="21"/>
  <c r="F21" i="21"/>
  <c r="AA21" i="21"/>
  <c r="D81" i="21"/>
  <c r="H19"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c r="F21" i="33"/>
  <c r="AA21" i="33"/>
  <c r="E83" i="21"/>
  <c r="F83" i="21"/>
  <c r="G83" i="21"/>
  <c r="H1" i="69"/>
  <c r="AC25" i="40"/>
  <c r="W25" i="40"/>
  <c r="AB25" i="40"/>
  <c r="U25" i="40"/>
  <c r="AB29" i="39"/>
  <c r="U29" i="39"/>
  <c r="AC29" i="39"/>
  <c r="W29" i="39"/>
  <c r="AC18" i="36"/>
  <c r="W18" i="36"/>
  <c r="AB21" i="37"/>
  <c r="U21" i="37"/>
  <c r="AA21" i="37"/>
  <c r="S21" i="37"/>
  <c r="AB21" i="34"/>
  <c r="U21" i="34"/>
  <c r="S21" i="33"/>
  <c r="AB18" i="35"/>
  <c r="U18" i="35"/>
  <c r="AC18" i="35"/>
  <c r="W18" i="35"/>
  <c r="G77" i="37"/>
  <c r="J21" i="37"/>
  <c r="G84" i="34"/>
  <c r="J21" i="34"/>
  <c r="J21" i="33"/>
  <c r="W21" i="33"/>
  <c r="H21" i="21"/>
  <c r="AB21" i="21"/>
  <c r="F38" i="69"/>
  <c r="E37" i="69"/>
  <c r="F36" i="69"/>
  <c r="F35" i="69"/>
  <c r="F21" i="69"/>
  <c r="C21" i="69"/>
  <c r="F20" i="69"/>
  <c r="E10" i="69"/>
  <c r="E9" i="69"/>
  <c r="C7" i="69"/>
  <c r="AC21" i="37"/>
  <c r="W21" i="37"/>
  <c r="AC21" i="34"/>
  <c r="W21" i="34"/>
  <c r="J21" i="21"/>
  <c r="AC21" i="21"/>
  <c r="F38" i="68"/>
  <c r="E37" i="68"/>
  <c r="F36" i="68"/>
  <c r="F35" i="68"/>
  <c r="F21" i="68"/>
  <c r="C21" i="68"/>
  <c r="F20" i="68"/>
  <c r="E10" i="68"/>
  <c r="E9" i="68"/>
  <c r="C7" i="68"/>
  <c r="C5"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8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R269" i="31"/>
  <c r="S269" i="31"/>
  <c r="R270" i="31"/>
  <c r="S270" i="31"/>
  <c r="R271" i="31"/>
  <c r="S271" i="31"/>
  <c r="R272" i="31"/>
  <c r="S272" i="31"/>
  <c r="R273" i="31"/>
  <c r="S273" i="31"/>
  <c r="R274" i="31"/>
  <c r="S274" i="31"/>
  <c r="R275" i="31"/>
  <c r="S275" i="31"/>
  <c r="R276" i="31"/>
  <c r="S276" i="31"/>
  <c r="R277" i="31"/>
  <c r="S277" i="31"/>
  <c r="R278" i="31"/>
  <c r="R279" i="31"/>
  <c r="S279" i="31"/>
  <c r="R280" i="31"/>
  <c r="S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R301" i="31"/>
  <c r="S301" i="31"/>
  <c r="R302" i="31"/>
  <c r="S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S326" i="31"/>
  <c r="R327" i="31"/>
  <c r="S327" i="31"/>
  <c r="R328" i="31"/>
  <c r="S328" i="31"/>
  <c r="R329" i="31"/>
  <c r="S329" i="31"/>
  <c r="R330" i="31"/>
  <c r="R331" i="31"/>
  <c r="S331" i="31"/>
  <c r="R332" i="31"/>
  <c r="S332" i="31"/>
  <c r="R333" i="31"/>
  <c r="S333" i="31"/>
  <c r="R334" i="31"/>
  <c r="S334" i="31"/>
  <c r="R335" i="31"/>
  <c r="S335" i="31"/>
  <c r="R336" i="31"/>
  <c r="S336" i="31"/>
  <c r="R337" i="31"/>
  <c r="S337" i="31"/>
  <c r="R338" i="31"/>
  <c r="S338" i="31"/>
  <c r="R339" i="31"/>
  <c r="S339" i="31"/>
  <c r="R340" i="31"/>
  <c r="R341" i="31"/>
  <c r="S341" i="31"/>
  <c r="R342" i="31"/>
  <c r="S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R363" i="31"/>
  <c r="S363" i="31"/>
  <c r="R364" i="31"/>
  <c r="S364" i="31"/>
  <c r="R365" i="31"/>
  <c r="S365" i="31"/>
  <c r="R366" i="31"/>
  <c r="S366" i="31"/>
  <c r="R367" i="31"/>
  <c r="S367" i="31"/>
  <c r="R368" i="31"/>
  <c r="S368" i="31"/>
  <c r="R369" i="31"/>
  <c r="S369" i="31"/>
  <c r="R370" i="31"/>
  <c r="S370" i="31"/>
  <c r="R371" i="31"/>
  <c r="S371" i="31"/>
  <c r="R372" i="31"/>
  <c r="R373" i="31"/>
  <c r="S373" i="31"/>
  <c r="R374" i="31"/>
  <c r="S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R395" i="31"/>
  <c r="S395" i="31"/>
  <c r="R396" i="31"/>
  <c r="S396" i="31"/>
  <c r="R397" i="31"/>
  <c r="S397" i="31"/>
  <c r="R398" i="31"/>
  <c r="S398" i="31"/>
  <c r="R399" i="31"/>
  <c r="S399" i="31"/>
  <c r="R400" i="31"/>
  <c r="S400" i="31"/>
  <c r="R401" i="31"/>
  <c r="S401" i="31"/>
  <c r="R402" i="31"/>
  <c r="S402" i="31"/>
  <c r="R403" i="31"/>
  <c r="S403" i="31"/>
  <c r="R404" i="31"/>
  <c r="R405" i="31"/>
  <c r="S405" i="31"/>
  <c r="R406" i="31"/>
  <c r="S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R509" i="31"/>
  <c r="R510" i="31"/>
  <c r="R511" i="31"/>
  <c r="R512" i="31"/>
  <c r="R513" i="31"/>
  <c r="R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4" i="31"/>
  <c r="S382" i="31"/>
  <c r="S372" i="31"/>
  <c r="S362" i="31"/>
  <c r="S350" i="31"/>
  <c r="S340" i="31"/>
  <c r="S330" i="31"/>
  <c r="S320" i="31"/>
  <c r="S310" i="31"/>
  <c r="S300" i="31"/>
  <c r="S288" i="31"/>
  <c r="S278" i="31"/>
  <c r="S268" i="31"/>
  <c r="S256" i="31"/>
  <c r="S253" i="31"/>
  <c r="S251" i="31"/>
  <c r="S249" i="31"/>
  <c r="S247" i="31"/>
  <c r="S245" i="31"/>
  <c r="S243" i="31"/>
  <c r="S241" i="31"/>
  <c r="S429" i="31"/>
  <c r="S427" i="31"/>
  <c r="S425" i="31"/>
  <c r="S497" i="31"/>
  <c r="S495" i="31"/>
  <c r="S493" i="31"/>
  <c r="S491" i="31"/>
  <c r="S489" i="31"/>
  <c r="S487" i="31"/>
  <c r="S485" i="31"/>
  <c r="S483" i="31"/>
  <c r="S481" i="31"/>
  <c r="S479" i="31"/>
  <c r="S477" i="31"/>
  <c r="S475" i="31"/>
  <c r="S473" i="31"/>
  <c r="S471" i="31"/>
  <c r="S469" i="31"/>
  <c r="S443" i="31"/>
  <c r="S441" i="31"/>
  <c r="S439" i="31"/>
  <c r="S437" i="31"/>
  <c r="S435" i="31"/>
  <c r="S433" i="31"/>
  <c r="S431" i="31"/>
  <c r="S467" i="31"/>
  <c r="S465" i="31"/>
  <c r="S463" i="31"/>
  <c r="S461" i="31"/>
  <c r="S459" i="31"/>
  <c r="S457" i="31"/>
  <c r="S455" i="31"/>
  <c r="S453" i="31"/>
  <c r="S45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7" i="31"/>
  <c r="S519" i="31"/>
  <c r="S521" i="31"/>
  <c r="S523"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F27"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D77" i="21"/>
  <c r="E77" i="21"/>
  <c r="F77" i="21"/>
  <c r="G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AC15" i="34"/>
  <c r="H15" i="34"/>
  <c r="AB15" i="34"/>
  <c r="S9" i="34"/>
  <c r="W8" i="34"/>
  <c r="J28" i="34"/>
  <c r="W28" i="34"/>
  <c r="F41" i="33"/>
  <c r="AA41" i="33"/>
  <c r="E113" i="33"/>
  <c r="F113" i="33"/>
  <c r="G113" i="33"/>
  <c r="H113" i="33"/>
  <c r="I113" i="33"/>
  <c r="J113" i="33"/>
  <c r="K113" i="33"/>
  <c r="L113" i="33"/>
  <c r="M113" i="33"/>
  <c r="F32" i="33"/>
  <c r="AA32"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S41" i="33"/>
  <c r="H37" i="33"/>
  <c r="AB37" i="33"/>
  <c r="H15" i="33"/>
  <c r="AB15" i="33"/>
  <c r="H11" i="33"/>
  <c r="AB11" i="33"/>
  <c r="F28" i="40"/>
  <c r="AA28" i="40"/>
  <c r="AA29" i="35"/>
  <c r="AA42" i="34"/>
  <c r="AC38" i="34"/>
  <c r="AA38" i="34"/>
  <c r="J37" i="34"/>
  <c r="AC37" i="34"/>
  <c r="J11" i="33"/>
  <c r="W11" i="33"/>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AB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W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G105" i="37"/>
  <c r="AB11" i="36"/>
  <c r="AB11" i="35"/>
  <c r="J10" i="36"/>
  <c r="AC10" i="36"/>
  <c r="AB30" i="21"/>
  <c r="AA14" i="37"/>
  <c r="AC13" i="36"/>
  <c r="W13" i="36"/>
  <c r="S11" i="36"/>
  <c r="W11" i="36"/>
  <c r="W11" i="35"/>
  <c r="AB46" i="34"/>
  <c r="AC30" i="34"/>
  <c r="AA14" i="34"/>
  <c r="AB45" i="33"/>
  <c r="U31" i="33"/>
  <c r="W29" i="33"/>
  <c r="U13" i="33"/>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J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G125"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35" i="21"/>
  <c r="AC35" i="21"/>
  <c r="U10" i="21"/>
  <c r="G8" i="1"/>
  <c r="G9" i="1"/>
  <c r="G10" i="1"/>
  <c r="F48" i="9"/>
  <c r="O52" i="9"/>
  <c r="AC11" i="3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S13" i="1"/>
  <c r="AR13" i="1"/>
  <c r="R13" i="1"/>
  <c r="S11" i="1"/>
  <c r="AQ11" i="1"/>
  <c r="R11" i="1"/>
  <c r="S9" i="1"/>
  <c r="T9" i="1"/>
  <c r="R9" i="1"/>
  <c r="J51" i="67"/>
  <c r="C42" i="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AA29" i="34"/>
  <c r="U27" i="34"/>
  <c r="S23" i="34"/>
  <c r="S10" i="34"/>
  <c r="S13" i="34"/>
  <c r="H67" i="34"/>
  <c r="H10" i="34"/>
  <c r="F11" i="34"/>
  <c r="S11" i="34"/>
  <c r="F70" i="34"/>
  <c r="AA29" i="33"/>
  <c r="AB29" i="33"/>
  <c r="W38" i="33"/>
  <c r="H41" i="33"/>
  <c r="J35" i="33"/>
  <c r="AC35" i="33"/>
  <c r="S37" i="33"/>
  <c r="AA37" i="33"/>
  <c r="S39" i="33"/>
  <c r="J32" i="33"/>
  <c r="S46" i="33"/>
  <c r="S43" i="33"/>
  <c r="H27" i="33"/>
  <c r="AB27" i="33"/>
  <c r="F87" i="33"/>
  <c r="H25" i="33"/>
  <c r="U25" i="33"/>
  <c r="F25" i="33"/>
  <c r="J23" i="33"/>
  <c r="W23" i="33"/>
  <c r="H23" i="33"/>
  <c r="U23" i="33"/>
  <c r="F19" i="33"/>
  <c r="S19" i="33"/>
  <c r="W19" i="33"/>
  <c r="J17" i="33"/>
  <c r="U9" i="33"/>
  <c r="J10" i="33"/>
  <c r="H10" i="33"/>
  <c r="AB10" i="33"/>
  <c r="AC11" i="33"/>
  <c r="AB14" i="33"/>
  <c r="W43" i="21"/>
  <c r="W36" i="21"/>
  <c r="W41" i="21"/>
  <c r="AA36" i="21"/>
  <c r="AC40" i="21"/>
  <c r="J15" i="21"/>
  <c r="W15" i="21"/>
  <c r="F23" i="21"/>
  <c r="S23" i="21"/>
  <c r="E85" i="21"/>
  <c r="AC11" i="21"/>
  <c r="AA14" i="21"/>
  <c r="AB8" i="21"/>
  <c r="M3" i="43"/>
  <c r="M1" i="43"/>
  <c r="N8" i="43"/>
  <c r="D120" i="9"/>
  <c r="C18" i="9"/>
  <c r="D18" i="9"/>
  <c r="F34" i="67"/>
  <c r="F62" i="67"/>
  <c r="M20" i="67"/>
  <c r="F34" i="15"/>
  <c r="F62" i="15"/>
  <c r="G13" i="3"/>
  <c r="G5" i="3"/>
  <c r="B3" i="3"/>
  <c r="BA13" i="3"/>
  <c r="E10" i="6"/>
  <c r="BA5" i="3"/>
  <c r="E11" i="6"/>
  <c r="E61" i="39"/>
  <c r="BL17" i="3"/>
  <c r="AZ17" i="3"/>
  <c r="BL13" i="3"/>
  <c r="E65" i="39"/>
  <c r="G30" i="6"/>
  <c r="G31" i="6"/>
  <c r="J56" i="9"/>
  <c r="J57" i="9"/>
  <c r="A24" i="51"/>
  <c r="B18" i="72"/>
  <c r="U29" i="34"/>
  <c r="E14" i="6"/>
  <c r="E64" i="39"/>
  <c r="E5" i="6"/>
  <c r="D9" i="11"/>
  <c r="C9" i="11"/>
  <c r="E32" i="6"/>
  <c r="L19" i="6"/>
  <c r="G1" i="68"/>
  <c r="K1" i="12"/>
  <c r="F30" i="6"/>
  <c r="E28" i="6"/>
  <c r="E56"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48" i="35"/>
  <c r="C7" i="33"/>
  <c r="C58" i="33"/>
  <c r="D58" i="33"/>
  <c r="C7" i="21"/>
  <c r="C58" i="21"/>
  <c r="D58" i="21"/>
  <c r="E58" i="21"/>
  <c r="F58" i="21"/>
  <c r="C7" i="40"/>
  <c r="C63" i="40"/>
  <c r="M47" i="9"/>
  <c r="G19" i="43"/>
  <c r="O19" i="43"/>
  <c r="C19" i="43"/>
  <c r="T35" i="4"/>
  <c r="A19" i="51"/>
  <c r="B14" i="72"/>
  <c r="C46" i="36"/>
  <c r="D46" i="36"/>
  <c r="C59" i="34"/>
  <c r="D59" i="34"/>
  <c r="E59" i="34"/>
  <c r="F59" i="34"/>
  <c r="G59" i="34"/>
  <c r="H59" i="34"/>
  <c r="I59" i="34"/>
  <c r="J59" i="34"/>
  <c r="C52" i="37"/>
  <c r="D52" i="37"/>
  <c r="E52" i="37"/>
  <c r="A4" i="51"/>
  <c r="B6" i="72"/>
  <c r="C4" i="12"/>
  <c r="H66" i="43"/>
  <c r="H65" i="43"/>
  <c r="H64" i="43"/>
  <c r="H63" i="43"/>
  <c r="H55" i="43"/>
  <c r="H56" i="43"/>
  <c r="H72" i="43"/>
  <c r="L20" i="6"/>
  <c r="B6" i="1"/>
  <c r="E6" i="1"/>
  <c r="S8" i="1"/>
  <c r="AQ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S31" i="33"/>
  <c r="W13" i="33"/>
  <c r="AC13" i="33"/>
  <c r="S11" i="33"/>
  <c r="W9" i="33"/>
  <c r="W8" i="33"/>
  <c r="S44" i="21"/>
  <c r="U28" i="21"/>
  <c r="AA11" i="21"/>
  <c r="S45" i="21"/>
  <c r="F33" i="21"/>
  <c r="J33" i="21"/>
  <c r="AC33" i="21"/>
  <c r="H33" i="21"/>
  <c r="AB33" i="21"/>
  <c r="AA26" i="21"/>
  <c r="AB14" i="21"/>
  <c r="AB46" i="21"/>
  <c r="U40" i="21"/>
  <c r="AB31" i="21"/>
  <c r="U31" i="21"/>
  <c r="AC15" i="21"/>
  <c r="U13" i="21"/>
  <c r="AB13" i="21"/>
  <c r="W8" i="21"/>
  <c r="S35" i="21"/>
  <c r="H15" i="21"/>
  <c r="U15" i="21"/>
  <c r="J17" i="21"/>
  <c r="AC17" i="21"/>
  <c r="AC19" i="21"/>
  <c r="W39" i="21"/>
  <c r="AC14" i="21"/>
  <c r="W30" i="21"/>
  <c r="S46" i="21"/>
  <c r="H45" i="21"/>
  <c r="U45" i="21"/>
  <c r="F29" i="21"/>
  <c r="S29" i="21"/>
  <c r="F13" i="21"/>
  <c r="AA13" i="21"/>
  <c r="AC38" i="21"/>
  <c r="H32" i="21"/>
  <c r="AB32" i="21"/>
  <c r="H9" i="21"/>
  <c r="J9" i="21"/>
  <c r="J32" i="21"/>
  <c r="AC32" i="21"/>
  <c r="F32" i="21"/>
  <c r="AA32" i="21"/>
  <c r="AA31" i="21"/>
  <c r="U17" i="21"/>
  <c r="S9" i="21"/>
  <c r="AA9" i="21"/>
  <c r="K141" i="21"/>
  <c r="K144" i="21"/>
  <c r="K143" i="21"/>
  <c r="U27" i="21"/>
  <c r="AB25" i="21"/>
  <c r="AB44" i="21"/>
  <c r="AA30" i="21"/>
  <c r="W13" i="21"/>
  <c r="W42" i="21"/>
  <c r="AC45" i="21"/>
  <c r="F10" i="21"/>
  <c r="AA10" i="21"/>
  <c r="K145" i="21"/>
  <c r="W25" i="21"/>
  <c r="AA29" i="21"/>
  <c r="W31" i="21"/>
  <c r="S27" i="21"/>
  <c r="AC26" i="21"/>
  <c r="AB29" i="21"/>
  <c r="S28" i="21"/>
  <c r="AC34" i="21"/>
  <c r="W12" i="21"/>
  <c r="AB36" i="21"/>
  <c r="W30" i="40"/>
  <c r="C19" i="39"/>
  <c r="C15" i="40"/>
  <c r="C17" i="40"/>
  <c r="C23" i="40"/>
  <c r="C21" i="40"/>
  <c r="U30" i="40"/>
  <c r="B54" i="43"/>
  <c r="B65" i="43"/>
  <c r="B49" i="43"/>
  <c r="B52" i="43"/>
  <c r="B56" i="43"/>
  <c r="B60" i="43"/>
  <c r="B63" i="43"/>
  <c r="B67" i="43"/>
  <c r="D23" i="15"/>
  <c r="D22" i="15"/>
  <c r="E4" i="4"/>
  <c r="B5" i="62"/>
  <c r="B73" i="72"/>
  <c r="C4" i="4"/>
  <c r="AQ13" i="1"/>
  <c r="AZ13" i="3"/>
  <c r="AZ5" i="3"/>
  <c r="F30" i="11"/>
  <c r="C48" i="11"/>
  <c r="E63" i="39"/>
  <c r="D9" i="69"/>
  <c r="C9" i="69"/>
  <c r="E30" i="6"/>
  <c r="K15" i="1"/>
  <c r="T13" i="1"/>
  <c r="D9" i="68"/>
  <c r="C9" i="68"/>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c r="AB10" i="34"/>
  <c r="U10" i="34"/>
  <c r="J10" i="34"/>
  <c r="W10" i="34"/>
  <c r="I67" i="34"/>
  <c r="AB41" i="33"/>
  <c r="U41" i="33"/>
  <c r="AC32" i="33"/>
  <c r="W32" i="33"/>
  <c r="J27" i="33"/>
  <c r="W27" i="33"/>
  <c r="AB25" i="33"/>
  <c r="S25" i="33"/>
  <c r="AA25" i="33"/>
  <c r="G87" i="33"/>
  <c r="H87" i="33"/>
  <c r="I87" i="33"/>
  <c r="J87" i="33"/>
  <c r="K87" i="33"/>
  <c r="L87" i="33"/>
  <c r="M87" i="33"/>
  <c r="J25" i="33"/>
  <c r="W25" i="33"/>
  <c r="AB23" i="33"/>
  <c r="F23" i="33"/>
  <c r="AA23" i="33"/>
  <c r="H19" i="33"/>
  <c r="U19" i="33"/>
  <c r="H17" i="33"/>
  <c r="U17" i="33"/>
  <c r="F17" i="33"/>
  <c r="S17" i="33"/>
  <c r="W17" i="33"/>
  <c r="AC17" i="33"/>
  <c r="AC10" i="33"/>
  <c r="W10" i="33"/>
  <c r="U33" i="21"/>
  <c r="AA23" i="21"/>
  <c r="J23" i="21"/>
  <c r="AC23" i="21"/>
  <c r="F85" i="21"/>
  <c r="G85" i="21"/>
  <c r="H23" i="21"/>
  <c r="D6" i="52"/>
  <c r="D121" i="9"/>
  <c r="D7" i="52"/>
  <c r="K120" i="9"/>
  <c r="K14" i="1"/>
  <c r="M14" i="1"/>
  <c r="BL5" i="3"/>
  <c r="J59" i="9"/>
  <c r="J61" i="9"/>
  <c r="E140" i="3"/>
  <c r="E120" i="3"/>
  <c r="E85" i="3"/>
  <c r="E45" i="3"/>
  <c r="E223" i="3"/>
  <c r="E277"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P7" i="1"/>
  <c r="C36" i="69"/>
  <c r="AB45" i="21"/>
  <c r="W33" i="21"/>
  <c r="S33" i="21"/>
  <c r="AA33" i="21"/>
  <c r="AB9" i="21"/>
  <c r="U9" i="21"/>
  <c r="W9" i="21"/>
  <c r="AC9" i="21"/>
  <c r="A18" i="62"/>
  <c r="B64" i="72"/>
  <c r="U32" i="39"/>
  <c r="AB32" i="39"/>
  <c r="AC32" i="39"/>
  <c r="W32" i="39"/>
  <c r="W19" i="37"/>
  <c r="AC19" i="37"/>
  <c r="W23" i="37"/>
  <c r="AC23" i="37"/>
  <c r="AB11" i="37"/>
  <c r="U11" i="37"/>
  <c r="H63" i="37"/>
  <c r="I63" i="37"/>
  <c r="J63" i="37"/>
  <c r="K63" i="37"/>
  <c r="L63" i="37"/>
  <c r="M63" i="37"/>
  <c r="J11" i="37"/>
  <c r="W10" i="37"/>
  <c r="AC10" i="37"/>
  <c r="H70" i="34"/>
  <c r="I70" i="34"/>
  <c r="J70" i="34"/>
  <c r="K70" i="34"/>
  <c r="L70" i="34"/>
  <c r="M70" i="34"/>
  <c r="J11" i="34"/>
  <c r="W11" i="34"/>
  <c r="AC25" i="33"/>
  <c r="AB17" i="33"/>
  <c r="U23" i="21"/>
  <c r="AB23" i="21"/>
  <c r="C17" i="4"/>
  <c r="B4" i="52"/>
  <c r="B43" i="72"/>
  <c r="L18" i="9"/>
  <c r="AC11" i="37"/>
  <c r="W11" i="37"/>
  <c r="F34" i="11"/>
  <c r="C36" i="11"/>
  <c r="F11" i="12"/>
  <c r="C23" i="12"/>
  <c r="F34" i="68"/>
  <c r="C36" i="68"/>
  <c r="R8" i="1"/>
  <c r="AE8" i="1"/>
  <c r="AG6" i="1"/>
  <c r="H10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V9" i="71"/>
  <c r="P23" i="43"/>
  <c r="B71" i="39"/>
  <c r="C9" i="71"/>
  <c r="D10" i="71"/>
  <c r="P25" i="43"/>
  <c r="E41" i="43"/>
  <c r="C41" i="43"/>
  <c r="C20" i="43"/>
  <c r="D7" i="71"/>
  <c r="T9" i="71"/>
  <c r="D8" i="71"/>
  <c r="D9" i="71"/>
  <c r="M20" i="43"/>
  <c r="U9" i="71"/>
  <c r="D2" i="36"/>
  <c r="M27" i="67"/>
  <c r="M6" i="67"/>
  <c r="F16" i="67"/>
  <c r="F16" i="15"/>
  <c r="AO8" i="1"/>
  <c r="B8" i="76"/>
  <c r="AO9" i="1"/>
  <c r="F40" i="15"/>
  <c r="F9" i="15"/>
  <c r="F7" i="67"/>
  <c r="B12" i="76"/>
  <c r="F38" i="67"/>
  <c r="J15" i="15"/>
  <c r="D2" i="35"/>
  <c r="D34" i="9"/>
  <c r="L47" i="67"/>
  <c r="F26" i="67"/>
  <c r="B10" i="76"/>
  <c r="F42" i="67"/>
  <c r="M26" i="67"/>
  <c r="L48" i="15"/>
  <c r="L48" i="85"/>
  <c r="F40" i="67"/>
  <c r="D3" i="73"/>
  <c r="F36" i="15"/>
  <c r="M22" i="15"/>
  <c r="D5" i="73"/>
  <c r="M9" i="67"/>
  <c r="L47" i="79"/>
  <c r="F4" i="73"/>
  <c r="M8" i="67"/>
  <c r="D2" i="33"/>
  <c r="B13" i="76"/>
  <c r="M27" i="15"/>
  <c r="E2" i="69"/>
  <c r="AO11" i="1"/>
  <c r="F6" i="15"/>
  <c r="F8" i="15"/>
  <c r="E7" i="76"/>
  <c r="E13" i="76"/>
  <c r="F8" i="67"/>
  <c r="M24" i="67"/>
  <c r="B7" i="76"/>
  <c r="M28" i="15"/>
  <c r="L48" i="67"/>
  <c r="C76" i="15"/>
  <c r="E8" i="76"/>
  <c r="F13" i="15"/>
  <c r="L47" i="15"/>
  <c r="F42" i="15"/>
  <c r="M23" i="15"/>
  <c r="F7" i="15"/>
  <c r="L48" i="79"/>
  <c r="F37" i="67"/>
  <c r="F43" i="15"/>
  <c r="M29" i="67"/>
  <c r="M9" i="15"/>
  <c r="M29" i="15"/>
  <c r="D6" i="73"/>
  <c r="J15" i="67"/>
  <c r="M28" i="67"/>
  <c r="M26" i="15"/>
  <c r="D2" i="21"/>
  <c r="F6" i="73"/>
  <c r="F20" i="31"/>
  <c r="E2" i="68"/>
  <c r="B11" i="76"/>
  <c r="D2" i="34"/>
  <c r="F5" i="73"/>
  <c r="E11" i="76"/>
  <c r="M24" i="15"/>
  <c r="F36" i="67"/>
  <c r="E12" i="76"/>
  <c r="F7" i="73"/>
  <c r="AO12" i="1"/>
  <c r="AO13" i="1"/>
  <c r="M8" i="15"/>
  <c r="F6" i="67"/>
  <c r="F26" i="15"/>
  <c r="D2" i="37"/>
  <c r="B9" i="76"/>
  <c r="F38" i="15"/>
  <c r="E10" i="76"/>
  <c r="M6" i="15"/>
  <c r="F9" i="67"/>
  <c r="M22" i="67"/>
  <c r="AO10" i="1"/>
  <c r="F3" i="73"/>
  <c r="C76" i="67"/>
  <c r="D35" i="9"/>
  <c r="F43" i="67"/>
  <c r="D4" i="73"/>
  <c r="F13" i="67"/>
  <c r="F37" i="15"/>
  <c r="E9" i="76"/>
  <c r="M23" i="67"/>
  <c r="D7" i="73"/>
  <c r="AC21" i="33"/>
  <c r="W43" i="33"/>
  <c r="U43" i="33"/>
  <c r="W35" i="33"/>
  <c r="AA34" i="33"/>
  <c r="S38" i="33"/>
  <c r="W39" i="33"/>
  <c r="AA27" i="33"/>
  <c r="S27" i="33"/>
  <c r="AB26" i="33"/>
  <c r="AC27" i="33"/>
  <c r="F34" i="85"/>
  <c r="F62" i="85"/>
  <c r="M20" i="85"/>
  <c r="L56" i="85"/>
  <c r="J57" i="85"/>
  <c r="J55" i="85"/>
  <c r="J58" i="85"/>
  <c r="Q50" i="85"/>
  <c r="L58" i="85"/>
  <c r="J53" i="85"/>
  <c r="I54" i="85"/>
  <c r="G6" i="1"/>
  <c r="K4" i="4"/>
  <c r="B46" i="48"/>
  <c r="B4" i="72"/>
  <c r="P74" i="67"/>
  <c r="L18" i="81"/>
  <c r="M18" i="81"/>
  <c r="B118" i="81"/>
  <c r="E12" i="6"/>
  <c r="M20" i="15"/>
  <c r="M20" i="79"/>
  <c r="F34" i="79"/>
  <c r="F62" i="79"/>
  <c r="C40" i="68"/>
  <c r="C40" i="69"/>
  <c r="S41" i="21"/>
  <c r="AB41" i="21"/>
  <c r="AA43" i="21"/>
  <c r="AB39" i="21"/>
  <c r="G113" i="21"/>
  <c r="F37" i="21"/>
  <c r="AA37" i="21"/>
  <c r="AB19" i="21"/>
  <c r="U19" i="21"/>
  <c r="S19" i="21"/>
  <c r="E81" i="21"/>
  <c r="F81" i="21"/>
  <c r="G81" i="21"/>
  <c r="U43" i="21"/>
  <c r="AB42" i="21"/>
  <c r="AA38" i="21"/>
  <c r="S37" i="21"/>
  <c r="S34" i="21"/>
  <c r="U32" i="21"/>
  <c r="S32" i="21"/>
  <c r="S42" i="21"/>
  <c r="S39" i="21"/>
  <c r="U34" i="21"/>
  <c r="AC28" i="21"/>
  <c r="W23" i="21"/>
  <c r="U21" i="21"/>
  <c r="S21" i="21"/>
  <c r="W17" i="21"/>
  <c r="S17" i="21"/>
  <c r="W32" i="21"/>
  <c r="AA15" i="21"/>
  <c r="AB15" i="21"/>
  <c r="S10" i="21"/>
  <c r="W10" i="21"/>
  <c r="S8" i="21"/>
  <c r="W27" i="21"/>
  <c r="AC27" i="21"/>
  <c r="AC29" i="21"/>
  <c r="W29" i="21"/>
  <c r="S13" i="21"/>
  <c r="S17" i="34"/>
  <c r="AC17" i="34"/>
  <c r="U15" i="34"/>
  <c r="W15" i="34"/>
  <c r="AC10" i="34"/>
  <c r="AC11" i="34"/>
  <c r="AA28" i="33"/>
  <c r="S28" i="33"/>
  <c r="U27" i="33"/>
  <c r="AC30" i="33"/>
  <c r="AB28" i="33"/>
  <c r="S32" i="33"/>
  <c r="S26" i="33"/>
  <c r="F36" i="33"/>
  <c r="H36" i="33"/>
  <c r="G111" i="33"/>
  <c r="H111" i="33"/>
  <c r="I111" i="33"/>
  <c r="J111" i="33"/>
  <c r="K111" i="33"/>
  <c r="L111" i="33"/>
  <c r="M111" i="33"/>
  <c r="J36" i="33"/>
  <c r="W36" i="33"/>
  <c r="AC42" i="33"/>
  <c r="W42" i="33"/>
  <c r="F123" i="33"/>
  <c r="G123" i="33"/>
  <c r="H123" i="33"/>
  <c r="I123" i="33"/>
  <c r="J123" i="33"/>
  <c r="K123" i="33"/>
  <c r="L123" i="33"/>
  <c r="M123" i="33"/>
  <c r="F42" i="33"/>
  <c r="AA42" i="33"/>
  <c r="S42" i="33"/>
  <c r="U42" i="33"/>
  <c r="AC37" i="33"/>
  <c r="AA35" i="33"/>
  <c r="U40" i="33"/>
  <c r="U37" i="33"/>
  <c r="U35" i="33"/>
  <c r="AC23" i="33"/>
  <c r="S23" i="33"/>
  <c r="AB21" i="33"/>
  <c r="AB19" i="33"/>
  <c r="AA19" i="33"/>
  <c r="AA17" i="33"/>
  <c r="W15" i="33"/>
  <c r="U15" i="33"/>
  <c r="S15" i="33"/>
  <c r="AC36" i="33"/>
  <c r="AA10" i="33"/>
  <c r="U10" i="33"/>
  <c r="AC28" i="33"/>
  <c r="U8" i="33"/>
  <c r="S8" i="33"/>
  <c r="S45" i="33"/>
  <c r="U46" i="33"/>
  <c r="A2" i="81"/>
  <c r="A118" i="81"/>
  <c r="D63" i="40"/>
  <c r="C65" i="40"/>
  <c r="C13" i="12"/>
  <c r="C77" i="81"/>
  <c r="C74" i="81"/>
  <c r="C28" i="79"/>
  <c r="G7" i="34"/>
  <c r="I7" i="34"/>
  <c r="E7" i="34"/>
  <c r="J51" i="15"/>
  <c r="N59" i="79"/>
  <c r="M59" i="79"/>
  <c r="L59" i="79"/>
  <c r="Q74" i="79"/>
  <c r="J53" i="79"/>
  <c r="L56" i="79"/>
  <c r="L58" i="79"/>
  <c r="Q73" i="79"/>
  <c r="J57" i="79"/>
  <c r="J55" i="79"/>
  <c r="J58" i="79"/>
  <c r="Q50" i="79"/>
  <c r="I54" i="79"/>
  <c r="P61" i="15"/>
  <c r="E13" i="49"/>
  <c r="B6" i="49"/>
  <c r="B13" i="49"/>
  <c r="AB11" i="34"/>
  <c r="AC28" i="34"/>
  <c r="W31" i="34"/>
  <c r="S28" i="34"/>
  <c r="AA11" i="34"/>
  <c r="G17" i="43"/>
  <c r="C16" i="43"/>
  <c r="C5" i="43"/>
  <c r="B4" i="62"/>
  <c r="B71" i="72"/>
  <c r="B10" i="49"/>
  <c r="E4" i="49"/>
  <c r="E22" i="49"/>
  <c r="E21" i="49"/>
  <c r="B22" i="49"/>
  <c r="E6" i="49"/>
  <c r="E10" i="49"/>
  <c r="E7" i="49"/>
  <c r="C92" i="9"/>
  <c r="C94" i="9"/>
  <c r="C5" i="11"/>
  <c r="F30" i="69"/>
  <c r="C48" i="69"/>
  <c r="F54" i="9"/>
  <c r="M18" i="15"/>
  <c r="F52" i="9"/>
  <c r="F32" i="15"/>
  <c r="F60" i="15"/>
  <c r="F32" i="67"/>
  <c r="F60" i="67"/>
  <c r="F28" i="67"/>
  <c r="C28" i="67"/>
  <c r="C30" i="11"/>
  <c r="D68" i="9"/>
  <c r="F28" i="15"/>
  <c r="C28" i="15"/>
  <c r="M18" i="67"/>
  <c r="F31" i="12"/>
  <c r="C31" i="12"/>
  <c r="F30" i="68"/>
  <c r="C24" i="12"/>
  <c r="C77" i="9"/>
  <c r="C74" i="9"/>
  <c r="B4" i="49"/>
  <c r="E11" i="49"/>
  <c r="E8" i="49"/>
  <c r="B11" i="49"/>
  <c r="E9" i="49"/>
  <c r="B14" i="49"/>
  <c r="B8" i="49"/>
  <c r="B9" i="49"/>
  <c r="E14" i="49"/>
  <c r="AR11" i="1"/>
  <c r="T11" i="1"/>
  <c r="T10" i="1"/>
  <c r="T12" i="1"/>
  <c r="L27" i="6"/>
  <c r="K6" i="1"/>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57" i="40"/>
  <c r="E62" i="39"/>
  <c r="D101" i="43"/>
  <c r="I101" i="43"/>
  <c r="AJ11" i="43"/>
  <c r="AJ13" i="43"/>
  <c r="AF11" i="43"/>
  <c r="AF13" i="43"/>
  <c r="AB11" i="43"/>
  <c r="AB13" i="43"/>
  <c r="Z7" i="43"/>
  <c r="AG11" i="43"/>
  <c r="AG13" i="43"/>
  <c r="AC11" i="43"/>
  <c r="AC13" i="43"/>
  <c r="Y11" i="43"/>
  <c r="Y13" i="43"/>
  <c r="J22" i="43"/>
  <c r="H22" i="43"/>
  <c r="M101" i="43"/>
  <c r="E101" i="43"/>
  <c r="AH11" i="43"/>
  <c r="AH13" i="43"/>
  <c r="AD11" i="43"/>
  <c r="AD13" i="43"/>
  <c r="Z11" i="43"/>
  <c r="Z13" i="43"/>
  <c r="AI11" i="43"/>
  <c r="AI13" i="43"/>
  <c r="AE11" i="43"/>
  <c r="AE13" i="43"/>
  <c r="AA11" i="43"/>
  <c r="AA13" i="43"/>
  <c r="AY6" i="3"/>
  <c r="F27" i="6"/>
  <c r="F31"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7" i="6"/>
  <c r="K24" i="6"/>
  <c r="M24" i="6"/>
  <c r="I24" i="6"/>
  <c r="D3" i="34"/>
  <c r="D3" i="33"/>
  <c r="E6" i="6"/>
  <c r="D37" i="11"/>
  <c r="C37" i="11"/>
  <c r="D14" i="12"/>
  <c r="M18" i="9"/>
  <c r="B118" i="9"/>
  <c r="B1" i="74"/>
  <c r="C8" i="74"/>
  <c r="D3" i="21"/>
  <c r="D19" i="11"/>
  <c r="C19" i="11"/>
  <c r="D3" i="37"/>
  <c r="AY82" i="3"/>
  <c r="AY191" i="3"/>
  <c r="AY132" i="3"/>
  <c r="AY31" i="3"/>
  <c r="AY292" i="3"/>
  <c r="AY147" i="3"/>
  <c r="AY220" i="3"/>
  <c r="AY350" i="3"/>
  <c r="AY486" i="3"/>
  <c r="AY425" i="3"/>
  <c r="AY199" i="3"/>
  <c r="AY244" i="3"/>
  <c r="AY355" i="3"/>
  <c r="AY481" i="3"/>
  <c r="AY404" i="3"/>
  <c r="AY562" i="3"/>
  <c r="BO6" i="3"/>
  <c r="AY207" i="3"/>
  <c r="AY42" i="3"/>
  <c r="AY168" i="3"/>
  <c r="AY366" i="3"/>
  <c r="AY441" i="3"/>
  <c r="AY260" i="3"/>
  <c r="AY310" i="3"/>
  <c r="AY549" i="3"/>
  <c r="AY555" i="3"/>
  <c r="AY85" i="3"/>
  <c r="AY68" i="3"/>
  <c r="AY25" i="3"/>
  <c r="AY178" i="3"/>
  <c r="AY157" i="3"/>
  <c r="AY117" i="3"/>
  <c r="AY271" i="3"/>
  <c r="AY254" i="3"/>
  <c r="AY211" i="3"/>
  <c r="AY365" i="3"/>
  <c r="BI6" i="3"/>
  <c r="AY57" i="3"/>
  <c r="AY186" i="3"/>
  <c r="AY130"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M7" i="1"/>
  <c r="K22" i="6"/>
  <c r="M22" i="6"/>
  <c r="I22" i="6"/>
  <c r="S22" i="6"/>
  <c r="E16" i="6"/>
  <c r="E66" i="39"/>
  <c r="E59" i="40"/>
  <c r="D19" i="12"/>
  <c r="C19" i="12"/>
  <c r="O14" i="1"/>
  <c r="P14" i="1"/>
  <c r="P11" i="1"/>
  <c r="AR9" i="1"/>
  <c r="AQ9" i="1"/>
  <c r="O12" i="1"/>
  <c r="P12" i="1"/>
  <c r="F22" i="43"/>
  <c r="K101" i="43"/>
  <c r="F101" i="43"/>
  <c r="N101" i="43"/>
  <c r="E22" i="43"/>
  <c r="B113" i="43"/>
  <c r="G101" i="43"/>
  <c r="C101" i="43"/>
  <c r="J101" i="43"/>
  <c r="N104" i="46"/>
  <c r="L101" i="43"/>
  <c r="H101" i="43"/>
  <c r="G22" i="43"/>
  <c r="K16" i="1"/>
  <c r="O9" i="1"/>
  <c r="P9" i="1"/>
  <c r="O8" i="1"/>
  <c r="D12" i="52"/>
  <c r="D127" i="9"/>
  <c r="D13" i="52"/>
  <c r="K59" i="34"/>
  <c r="G58" i="21"/>
  <c r="F52" i="37"/>
  <c r="G52" i="37"/>
  <c r="H52" i="37"/>
  <c r="I52" i="37"/>
  <c r="J52" i="37"/>
  <c r="K52" i="37"/>
  <c r="L52" i="37"/>
  <c r="M52" i="37"/>
  <c r="N52" i="37"/>
  <c r="O52" i="37"/>
  <c r="F7" i="37"/>
  <c r="D68" i="39"/>
  <c r="C70" i="39"/>
  <c r="E58" i="33"/>
  <c r="F58" i="33"/>
  <c r="G58" i="33"/>
  <c r="H58" i="33"/>
  <c r="I58" i="33"/>
  <c r="J58" i="33"/>
  <c r="K58" i="33"/>
  <c r="L58" i="33"/>
  <c r="M58" i="33"/>
  <c r="N58" i="33"/>
  <c r="O58" i="33"/>
  <c r="F7" i="33"/>
  <c r="D48" i="35"/>
  <c r="E48" i="35"/>
  <c r="F48" i="35"/>
  <c r="G48" i="35"/>
  <c r="H48" i="35"/>
  <c r="I48" i="35"/>
  <c r="J48" i="35"/>
  <c r="K48" i="35"/>
  <c r="L48" i="35"/>
  <c r="M48" i="35"/>
  <c r="N48" i="35"/>
  <c r="O48" i="35"/>
  <c r="J7" i="35"/>
  <c r="G46" i="36"/>
  <c r="C6" i="67"/>
  <c r="J53" i="15"/>
  <c r="L56" i="15"/>
  <c r="J57" i="15"/>
  <c r="J55" i="15"/>
  <c r="J58" i="15"/>
  <c r="Q50" i="15"/>
  <c r="I54" i="15"/>
  <c r="K1" i="73"/>
  <c r="B10" i="70"/>
  <c r="Q71" i="15"/>
  <c r="C6" i="15"/>
  <c r="E20" i="43"/>
  <c r="F66" i="67"/>
  <c r="B11" i="70"/>
  <c r="M59" i="15"/>
  <c r="L58" i="15"/>
  <c r="N59" i="15"/>
  <c r="L59" i="15"/>
  <c r="B8" i="70"/>
  <c r="F66" i="15"/>
  <c r="Q71" i="67"/>
  <c r="F64" i="15"/>
  <c r="F70" i="67"/>
  <c r="C27" i="67"/>
  <c r="F71" i="67"/>
  <c r="C27" i="15"/>
  <c r="I1" i="73"/>
  <c r="B39" i="1"/>
  <c r="F51" i="67"/>
  <c r="F65" i="15"/>
  <c r="F65" i="67"/>
  <c r="B9" i="70"/>
  <c r="L58" i="67"/>
  <c r="L59" i="67"/>
  <c r="M59" i="67"/>
  <c r="N59" i="67"/>
  <c r="M7" i="15"/>
  <c r="J6" i="15"/>
  <c r="F50" i="15"/>
  <c r="B13" i="70"/>
  <c r="F50" i="67"/>
  <c r="M7" i="67"/>
  <c r="F68" i="67"/>
  <c r="F51" i="15"/>
  <c r="B12" i="70"/>
  <c r="F64" i="67"/>
  <c r="F71" i="15"/>
  <c r="F68" i="15"/>
  <c r="J57" i="67"/>
  <c r="J55" i="67"/>
  <c r="J58" i="67"/>
  <c r="Q50" i="67"/>
  <c r="L56" i="67"/>
  <c r="I54" i="67"/>
  <c r="J53" i="67"/>
  <c r="M17" i="67"/>
  <c r="C14" i="67"/>
  <c r="F59" i="67"/>
  <c r="C16" i="67"/>
  <c r="F7" i="79"/>
  <c r="C17" i="67"/>
  <c r="C16" i="15"/>
  <c r="F31" i="67"/>
  <c r="F31" i="15"/>
  <c r="G1" i="73"/>
  <c r="F59" i="15"/>
  <c r="M29" i="79"/>
  <c r="M17" i="15"/>
  <c r="F43" i="79"/>
  <c r="Q52" i="85"/>
  <c r="F1" i="85"/>
  <c r="Q73" i="85"/>
  <c r="Q60" i="85"/>
  <c r="M11" i="85"/>
  <c r="J10" i="85"/>
  <c r="J5" i="85"/>
  <c r="F11" i="85"/>
  <c r="D5" i="43"/>
  <c r="C7" i="74"/>
  <c r="K25" i="6"/>
  <c r="M25" i="6"/>
  <c r="I25" i="6"/>
  <c r="S25" i="6"/>
  <c r="F71" i="79"/>
  <c r="C6" i="79"/>
  <c r="C32" i="79"/>
  <c r="F50" i="79"/>
  <c r="M7" i="79"/>
  <c r="K21" i="6"/>
  <c r="M21" i="6"/>
  <c r="I21" i="6"/>
  <c r="S21" i="6"/>
  <c r="Q16" i="1"/>
  <c r="F27" i="68"/>
  <c r="C29" i="68"/>
  <c r="D27" i="68"/>
  <c r="Q61" i="79"/>
  <c r="Q60" i="79"/>
  <c r="H37" i="21"/>
  <c r="J37" i="21"/>
  <c r="H113" i="21"/>
  <c r="C49" i="15"/>
  <c r="AB36" i="33"/>
  <c r="U36" i="33"/>
  <c r="AA36" i="33"/>
  <c r="S36" i="33"/>
  <c r="F7" i="35"/>
  <c r="H7" i="35"/>
  <c r="H7" i="33"/>
  <c r="J7" i="33"/>
  <c r="H7" i="37"/>
  <c r="J7" i="37"/>
  <c r="E63" i="40"/>
  <c r="D65" i="40"/>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87" i="3"/>
  <c r="AY34" i="3"/>
  <c r="AY144" i="3"/>
  <c r="AY95" i="3"/>
  <c r="AY152" i="3"/>
  <c r="AY111" i="3"/>
  <c r="AY253" i="3"/>
  <c r="AY382" i="3"/>
  <c r="AY303" i="3"/>
  <c r="AY460" i="3"/>
  <c r="AY529" i="3"/>
  <c r="AY300" i="3"/>
  <c r="AY217" i="3"/>
  <c r="AY327" i="3"/>
  <c r="AY463" i="3"/>
  <c r="AY401" i="3"/>
  <c r="AY544"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9" i="3"/>
  <c r="AY150" i="3"/>
  <c r="AY40" i="3"/>
  <c r="AY93" i="3"/>
  <c r="BS6" i="3"/>
  <c r="AY389" i="3"/>
  <c r="AY222" i="3"/>
  <c r="AY239" i="3"/>
  <c r="AY302" i="3"/>
  <c r="AY126" i="3"/>
  <c r="AY146" i="3"/>
  <c r="AY182" i="3"/>
  <c r="AY36" i="3"/>
  <c r="AY53" i="3"/>
  <c r="AY89" i="3"/>
  <c r="AY533" i="3"/>
  <c r="AY420" i="3"/>
  <c r="AY372" i="3"/>
  <c r="AY26" i="3"/>
  <c r="AY473" i="3"/>
  <c r="AY236" i="3"/>
  <c r="AY281" i="3"/>
  <c r="AY124" i="3"/>
  <c r="AY51" i="3"/>
  <c r="AY574" i="3"/>
  <c r="AY535" i="3"/>
  <c r="AY447" i="3"/>
  <c r="AY311" i="3"/>
  <c r="AY390" i="3"/>
  <c r="AY269" i="3"/>
  <c r="AY526" i="3"/>
  <c r="AY444" i="3"/>
  <c r="AY334" i="3"/>
  <c r="AY387" i="3"/>
  <c r="AY237" i="3"/>
  <c r="AY75" i="3"/>
  <c r="AY163" i="3"/>
  <c r="AY90" i="3"/>
  <c r="AY171" i="3"/>
  <c r="AY18" i="3"/>
  <c r="AY98" i="3"/>
  <c r="F1" i="79"/>
  <c r="Q52" i="79"/>
  <c r="T10" i="43"/>
  <c r="V10" i="43"/>
  <c r="T12" i="43"/>
  <c r="V12" i="43"/>
  <c r="T15" i="43"/>
  <c r="V15" i="43"/>
  <c r="T13" i="43"/>
  <c r="V13" i="43"/>
  <c r="T14" i="43"/>
  <c r="V14" i="43"/>
  <c r="T11" i="43"/>
  <c r="V11" i="43"/>
  <c r="T9" i="43"/>
  <c r="V9" i="43"/>
  <c r="T16" i="43"/>
  <c r="V16" i="43"/>
  <c r="T8" i="43"/>
  <c r="V8" i="43"/>
  <c r="F11" i="79"/>
  <c r="M11" i="79"/>
  <c r="C30" i="69"/>
  <c r="C48" i="68"/>
  <c r="C30" i="68"/>
  <c r="O7" i="1"/>
  <c r="P7" i="1"/>
  <c r="G16" i="1"/>
  <c r="H10" i="40"/>
  <c r="U10" i="40"/>
  <c r="H16" i="1"/>
  <c r="M6" i="1"/>
  <c r="M16" i="1"/>
  <c r="C34" i="69"/>
  <c r="J10" i="40"/>
  <c r="AC10" i="40"/>
  <c r="K19" i="6"/>
  <c r="K23" i="6"/>
  <c r="M23" i="6"/>
  <c r="I23" i="6"/>
  <c r="H6"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83" i="3"/>
  <c r="AY23" i="3"/>
  <c r="AY155" i="3"/>
  <c r="AY59" i="3"/>
  <c r="AY131" i="3"/>
  <c r="AY58" i="3"/>
  <c r="AY268" i="3"/>
  <c r="AY371" i="3"/>
  <c r="AY318" i="3"/>
  <c r="AY428" i="3"/>
  <c r="AY106" i="3"/>
  <c r="AY245" i="3"/>
  <c r="AY395" i="3"/>
  <c r="AY342" i="3"/>
  <c r="AY452" i="3"/>
  <c r="AY513" i="3"/>
  <c r="AY569"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37" i="3"/>
  <c r="AY321"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4" i="43"/>
  <c r="E107" i="43"/>
  <c r="E105" i="43"/>
  <c r="E109" i="43"/>
  <c r="E102" i="43"/>
  <c r="E106" i="43"/>
  <c r="E103" i="43"/>
  <c r="D109" i="43"/>
  <c r="D105" i="43"/>
  <c r="D106" i="43"/>
  <c r="D102" i="43"/>
  <c r="D103" i="43"/>
  <c r="D107" i="43"/>
  <c r="D104" i="43"/>
  <c r="M109" i="43"/>
  <c r="M104" i="43"/>
  <c r="M107" i="43"/>
  <c r="M105" i="43"/>
  <c r="M102" i="43"/>
  <c r="M106" i="43"/>
  <c r="M103" i="43"/>
  <c r="I109" i="43"/>
  <c r="I104" i="43"/>
  <c r="I107" i="43"/>
  <c r="I105" i="43"/>
  <c r="I106" i="43"/>
  <c r="I102" i="43"/>
  <c r="I103" i="43"/>
  <c r="S24" i="6"/>
  <c r="E31" i="6"/>
  <c r="K26" i="6"/>
  <c r="M26" i="6"/>
  <c r="I26" i="6"/>
  <c r="K20" i="6"/>
  <c r="AC6" i="3"/>
  <c r="D17" i="12"/>
  <c r="C17" i="12"/>
  <c r="C14" i="12"/>
  <c r="D10" i="68"/>
  <c r="D10" i="11"/>
  <c r="C10" i="11"/>
  <c r="D6" i="6"/>
  <c r="D10" i="69"/>
  <c r="D20" i="12"/>
  <c r="C20" i="12"/>
  <c r="C18" i="12"/>
  <c r="C20" i="11"/>
  <c r="C104" i="43"/>
  <c r="C107" i="43"/>
  <c r="C103" i="43"/>
  <c r="C105" i="43"/>
  <c r="C102" i="43"/>
  <c r="C106" i="43"/>
  <c r="C109"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18" i="43"/>
  <c r="J118" i="43"/>
  <c r="K118" i="43"/>
  <c r="L118" i="43"/>
  <c r="M118" i="43"/>
  <c r="D115" i="43"/>
  <c r="E115" i="43"/>
  <c r="F115" i="43"/>
  <c r="G115" i="43"/>
  <c r="H115" i="43"/>
  <c r="D118" i="43"/>
  <c r="E118" i="43"/>
  <c r="F118" i="43"/>
  <c r="N102" i="43"/>
  <c r="N105" i="43"/>
  <c r="N104" i="43"/>
  <c r="N109" i="43"/>
  <c r="N106" i="43"/>
  <c r="N103" i="43"/>
  <c r="N107" i="43"/>
  <c r="K103" i="43"/>
  <c r="K102" i="43"/>
  <c r="K105" i="43"/>
  <c r="K109" i="43"/>
  <c r="K104" i="43"/>
  <c r="K107" i="43"/>
  <c r="K106" i="43"/>
  <c r="H107" i="43"/>
  <c r="H106" i="43"/>
  <c r="H105" i="43"/>
  <c r="H102" i="43"/>
  <c r="H103" i="43"/>
  <c r="H104" i="43"/>
  <c r="H109" i="43"/>
  <c r="P8" i="1"/>
  <c r="L109" i="43"/>
  <c r="L102" i="43"/>
  <c r="L105" i="43"/>
  <c r="L104" i="43"/>
  <c r="L106" i="43"/>
  <c r="L107" i="43"/>
  <c r="L103" i="43"/>
  <c r="J104" i="43"/>
  <c r="J107" i="43"/>
  <c r="J102" i="43"/>
  <c r="J109" i="43"/>
  <c r="J106" i="43"/>
  <c r="J105" i="43"/>
  <c r="J103" i="43"/>
  <c r="G105" i="43"/>
  <c r="G107" i="43"/>
  <c r="G104" i="43"/>
  <c r="G106" i="43"/>
  <c r="G102" i="43"/>
  <c r="G103" i="43"/>
  <c r="G109" i="43"/>
  <c r="D22" i="43"/>
  <c r="F104" i="43"/>
  <c r="F102" i="43"/>
  <c r="F105" i="43"/>
  <c r="F109" i="43"/>
  <c r="F107" i="43"/>
  <c r="F106" i="43"/>
  <c r="F103" i="43"/>
  <c r="H46" i="36"/>
  <c r="I46" i="36"/>
  <c r="J46" i="36"/>
  <c r="K46" i="36"/>
  <c r="L46" i="36"/>
  <c r="M46" i="36"/>
  <c r="N46" i="36"/>
  <c r="O46" i="36"/>
  <c r="AA7" i="35"/>
  <c r="R38" i="35"/>
  <c r="S7" i="35"/>
  <c r="U7" i="35"/>
  <c r="AB7" i="35"/>
  <c r="T38" i="35"/>
  <c r="G38" i="35"/>
  <c r="AB7" i="33"/>
  <c r="U7" i="33"/>
  <c r="W7" i="33"/>
  <c r="AC7" i="33"/>
  <c r="V48" i="33"/>
  <c r="I48" i="33"/>
  <c r="AB7" i="37"/>
  <c r="T42" i="37"/>
  <c r="G42" i="37"/>
  <c r="U7" i="37"/>
  <c r="AC7" i="37"/>
  <c r="V42" i="37"/>
  <c r="I42" i="37"/>
  <c r="W7" i="37"/>
  <c r="J7" i="36"/>
  <c r="H58" i="21"/>
  <c r="I58" i="21"/>
  <c r="J58" i="21"/>
  <c r="K58" i="21"/>
  <c r="L58" i="21"/>
  <c r="M58" i="21"/>
  <c r="N58" i="21"/>
  <c r="O58" i="21"/>
  <c r="H7" i="36"/>
  <c r="W7" i="35"/>
  <c r="AC7" i="35"/>
  <c r="V38" i="35"/>
  <c r="I38" i="35"/>
  <c r="S7" i="33"/>
  <c r="AA7" i="33"/>
  <c r="D70" i="39"/>
  <c r="E68" i="39"/>
  <c r="AA7" i="37"/>
  <c r="R42" i="37"/>
  <c r="S7" i="37"/>
  <c r="H7" i="21"/>
  <c r="L59" i="34"/>
  <c r="C18" i="67"/>
  <c r="C15" i="67"/>
  <c r="B40" i="1"/>
  <c r="F24" i="85"/>
  <c r="J18" i="15"/>
  <c r="Q52" i="67"/>
  <c r="F1" i="67"/>
  <c r="Q74" i="67"/>
  <c r="Q61" i="67"/>
  <c r="Q52" i="15"/>
  <c r="F1" i="15"/>
  <c r="Q73" i="67"/>
  <c r="Q60" i="67"/>
  <c r="C49" i="67"/>
  <c r="F11" i="67"/>
  <c r="F11" i="15"/>
  <c r="M11" i="15"/>
  <c r="J10" i="15"/>
  <c r="J5" i="15"/>
  <c r="M11" i="67"/>
  <c r="J10" i="67"/>
  <c r="J6" i="67"/>
  <c r="Q61" i="15"/>
  <c r="Q74" i="15"/>
  <c r="Q73" i="15"/>
  <c r="Q60" i="15"/>
  <c r="O28" i="43"/>
  <c r="N28" i="43"/>
  <c r="P28" i="43"/>
  <c r="M28" i="43"/>
  <c r="C32" i="15"/>
  <c r="C32" i="67"/>
  <c r="AE6" i="1"/>
  <c r="F31" i="79"/>
  <c r="AE7" i="1"/>
  <c r="M17" i="79"/>
  <c r="F59" i="79"/>
  <c r="C16" i="79"/>
  <c r="C47" i="68"/>
  <c r="D45" i="68"/>
  <c r="F27" i="11"/>
  <c r="C28" i="11"/>
  <c r="C27" i="11"/>
  <c r="F28" i="12"/>
  <c r="C29" i="12"/>
  <c r="D28" i="12"/>
  <c r="F27" i="69"/>
  <c r="C47" i="69"/>
  <c r="D45" i="69"/>
  <c r="C24" i="85"/>
  <c r="C23" i="85"/>
  <c r="C53" i="85"/>
  <c r="C48" i="85"/>
  <c r="C10" i="85"/>
  <c r="C5" i="85"/>
  <c r="J24" i="85"/>
  <c r="J26" i="85"/>
  <c r="F24" i="79"/>
  <c r="C24" i="79"/>
  <c r="C34" i="43"/>
  <c r="C35" i="43"/>
  <c r="C39" i="43"/>
  <c r="C33" i="43"/>
  <c r="C37" i="43"/>
  <c r="C36" i="43"/>
  <c r="C38" i="43"/>
  <c r="C34" i="68"/>
  <c r="C35" i="68"/>
  <c r="L16" i="1"/>
  <c r="N16" i="1"/>
  <c r="F50" i="11"/>
  <c r="C34" i="11"/>
  <c r="J6" i="79"/>
  <c r="C49" i="79"/>
  <c r="H10" i="39"/>
  <c r="U10" i="39"/>
  <c r="O6" i="1"/>
  <c r="W37" i="21"/>
  <c r="AC37" i="21"/>
  <c r="U37" i="21"/>
  <c r="AB37" i="21"/>
  <c r="R48" i="33"/>
  <c r="E48" i="33"/>
  <c r="I53" i="33"/>
  <c r="J53" i="33"/>
  <c r="T48" i="33"/>
  <c r="G48" i="33"/>
  <c r="F7" i="21"/>
  <c r="S7" i="21"/>
  <c r="J7" i="21"/>
  <c r="F7" i="36"/>
  <c r="AA7" i="36"/>
  <c r="R36" i="36"/>
  <c r="F63" i="40"/>
  <c r="E65" i="40"/>
  <c r="L19" i="81"/>
  <c r="M19" i="81"/>
  <c r="C118" i="81"/>
  <c r="S3" i="43"/>
  <c r="T3" i="43"/>
  <c r="V3" i="43"/>
  <c r="C23" i="43"/>
  <c r="C21" i="43"/>
  <c r="C29" i="43"/>
  <c r="S6" i="43"/>
  <c r="T6" i="43"/>
  <c r="V6" i="43"/>
  <c r="S7" i="43"/>
  <c r="T7" i="43"/>
  <c r="V7" i="43"/>
  <c r="S2" i="43"/>
  <c r="T2" i="43"/>
  <c r="V2" i="43"/>
  <c r="S4" i="43"/>
  <c r="T4" i="43"/>
  <c r="V4" i="43"/>
  <c r="S5" i="43"/>
  <c r="T5" i="43"/>
  <c r="V5" i="43"/>
  <c r="W10" i="40"/>
  <c r="C53" i="79"/>
  <c r="C10" i="79"/>
  <c r="C5" i="79"/>
  <c r="M20" i="6"/>
  <c r="I20" i="6"/>
  <c r="S20" i="6"/>
  <c r="S7" i="1"/>
  <c r="M19" i="6"/>
  <c r="M27" i="6"/>
  <c r="S6" i="1"/>
  <c r="K27" i="6"/>
  <c r="F10" i="39"/>
  <c r="J10" i="39"/>
  <c r="F10" i="40"/>
  <c r="C38" i="69"/>
  <c r="C35" i="69"/>
  <c r="M19" i="9"/>
  <c r="C118" i="9"/>
  <c r="C14" i="74"/>
  <c r="B2" i="74"/>
  <c r="D19" i="6"/>
  <c r="D26" i="6"/>
  <c r="C18" i="4"/>
  <c r="D8" i="6"/>
  <c r="D23" i="6"/>
  <c r="D14" i="6"/>
  <c r="D12" i="6"/>
  <c r="D11" i="6"/>
  <c r="D13" i="6"/>
  <c r="D28" i="6"/>
  <c r="E61" i="40"/>
  <c r="D25" i="6"/>
  <c r="D15" i="6"/>
  <c r="D22" i="6"/>
  <c r="D21" i="6"/>
  <c r="D24" i="6"/>
  <c r="D20" i="6"/>
  <c r="D5" i="6"/>
  <c r="D9" i="6"/>
  <c r="D10" i="6"/>
  <c r="L19" i="9"/>
  <c r="D29" i="6"/>
  <c r="H21" i="6"/>
  <c r="R21" i="6"/>
  <c r="H25" i="6"/>
  <c r="R25" i="6"/>
  <c r="H22" i="6"/>
  <c r="E6" i="3"/>
  <c r="H23" i="6"/>
  <c r="S23" i="6"/>
  <c r="H24" i="6"/>
  <c r="S26" i="6"/>
  <c r="H26" i="6"/>
  <c r="C47" i="11"/>
  <c r="D45" i="11"/>
  <c r="D19" i="68"/>
  <c r="C10" i="68"/>
  <c r="I19" i="6"/>
  <c r="C10" i="69"/>
  <c r="C8" i="69"/>
  <c r="C5" i="69"/>
  <c r="D19" i="69"/>
  <c r="AB10" i="40"/>
  <c r="C115" i="43"/>
  <c r="D113" i="43"/>
  <c r="C38" i="11"/>
  <c r="C35" i="11"/>
  <c r="F50" i="69"/>
  <c r="C19" i="67"/>
  <c r="C20" i="67"/>
  <c r="C26" i="67"/>
  <c r="M59" i="34"/>
  <c r="F68" i="39"/>
  <c r="E70" i="39"/>
  <c r="I42" i="35"/>
  <c r="J42" i="35"/>
  <c r="AB7" i="36"/>
  <c r="T36" i="36"/>
  <c r="G36" i="36"/>
  <c r="U7" i="36"/>
  <c r="AC7" i="36"/>
  <c r="V36" i="36"/>
  <c r="I36" i="36"/>
  <c r="W7" i="36"/>
  <c r="I46" i="37"/>
  <c r="J46" i="37"/>
  <c r="G46" i="37"/>
  <c r="H46" i="37"/>
  <c r="G47" i="37"/>
  <c r="H47" i="37"/>
  <c r="I52" i="33"/>
  <c r="J52" i="33"/>
  <c r="G42" i="35"/>
  <c r="H42" i="35"/>
  <c r="G43" i="35"/>
  <c r="H43" i="35"/>
  <c r="S7" i="36"/>
  <c r="U7" i="21"/>
  <c r="AB7" i="21"/>
  <c r="E42" i="37"/>
  <c r="R43" i="37"/>
  <c r="AC7" i="21"/>
  <c r="V48" i="21"/>
  <c r="I48" i="21"/>
  <c r="W7" i="21"/>
  <c r="G52" i="33"/>
  <c r="H52" i="33"/>
  <c r="G53" i="33"/>
  <c r="H53" i="33"/>
  <c r="R39" i="35"/>
  <c r="E38" i="35"/>
  <c r="J26" i="15"/>
  <c r="J24" i="15"/>
  <c r="C53" i="15"/>
  <c r="C48" i="15"/>
  <c r="C10" i="15"/>
  <c r="C5" i="15"/>
  <c r="F22" i="68"/>
  <c r="F24" i="15"/>
  <c r="C24" i="15"/>
  <c r="F22" i="69"/>
  <c r="F24" i="67"/>
  <c r="C24" i="67"/>
  <c r="F22" i="11"/>
  <c r="F25" i="12"/>
  <c r="J18" i="67"/>
  <c r="J5" i="67"/>
  <c r="C10" i="67"/>
  <c r="C5" i="67"/>
  <c r="C53" i="67"/>
  <c r="C48" i="67"/>
  <c r="F41" i="67"/>
  <c r="C17" i="15"/>
  <c r="F41" i="15"/>
  <c r="F41" i="85"/>
  <c r="F41" i="79"/>
  <c r="C17" i="79"/>
  <c r="T48" i="21"/>
  <c r="G48" i="21"/>
  <c r="G53" i="21"/>
  <c r="H53" i="21"/>
  <c r="C29" i="69"/>
  <c r="D27" i="69"/>
  <c r="F50" i="68"/>
  <c r="C29" i="11"/>
  <c r="D27" i="11"/>
  <c r="F69" i="67"/>
  <c r="F69" i="85"/>
  <c r="J29" i="85"/>
  <c r="C38" i="68"/>
  <c r="C29" i="85"/>
  <c r="C57" i="85"/>
  <c r="C66" i="85"/>
  <c r="C60" i="85"/>
  <c r="C38" i="85"/>
  <c r="E38" i="43"/>
  <c r="G38" i="43"/>
  <c r="I38" i="43"/>
  <c r="G37" i="43"/>
  <c r="I37" i="43"/>
  <c r="E37" i="43"/>
  <c r="E39" i="43"/>
  <c r="G39" i="43"/>
  <c r="I39" i="43"/>
  <c r="E34" i="43"/>
  <c r="G34" i="43"/>
  <c r="I34" i="43"/>
  <c r="G36" i="43"/>
  <c r="I36" i="43"/>
  <c r="E36" i="43"/>
  <c r="G33" i="43"/>
  <c r="I33" i="43"/>
  <c r="E33" i="43"/>
  <c r="E35" i="43"/>
  <c r="G35" i="43"/>
  <c r="I35" i="43"/>
  <c r="C48" i="79"/>
  <c r="C66" i="79"/>
  <c r="H20" i="6"/>
  <c r="R20" i="6"/>
  <c r="R7" i="1"/>
  <c r="E6" i="70"/>
  <c r="R26" i="6"/>
  <c r="R24" i="6"/>
  <c r="E7" i="70"/>
  <c r="J10" i="79"/>
  <c r="J5" i="79"/>
  <c r="J18" i="79"/>
  <c r="AB10" i="39"/>
  <c r="P6" i="1"/>
  <c r="P16" i="1"/>
  <c r="C11" i="12"/>
  <c r="C15" i="12"/>
  <c r="O16" i="1"/>
  <c r="AA7" i="21"/>
  <c r="R48" i="21"/>
  <c r="R49" i="33"/>
  <c r="C49" i="33"/>
  <c r="B2" i="33"/>
  <c r="F65" i="40"/>
  <c r="G63" i="40"/>
  <c r="R23" i="6"/>
  <c r="C30" i="43"/>
  <c r="E30" i="43"/>
  <c r="C27" i="43"/>
  <c r="E29" i="43"/>
  <c r="C26" i="43"/>
  <c r="F69" i="79"/>
  <c r="F69" i="15"/>
  <c r="J29" i="15"/>
  <c r="C38" i="79"/>
  <c r="C33" i="79"/>
  <c r="AQ6" i="1"/>
  <c r="T6" i="1"/>
  <c r="S16" i="1"/>
  <c r="AR6" i="1"/>
  <c r="AQ7" i="1"/>
  <c r="AR7" i="1"/>
  <c r="T7" i="1"/>
  <c r="W10" i="39"/>
  <c r="AC10" i="39"/>
  <c r="S10" i="40"/>
  <c r="AA10" i="40"/>
  <c r="AA10" i="39"/>
  <c r="S10" i="39"/>
  <c r="D30" i="6"/>
  <c r="D16" i="6"/>
  <c r="D8" i="74"/>
  <c r="D7" i="74"/>
  <c r="R22" i="6"/>
  <c r="C4" i="52"/>
  <c r="B45" i="72"/>
  <c r="A7" i="51"/>
  <c r="B7" i="72"/>
  <c r="A10" i="51"/>
  <c r="B9" i="72"/>
  <c r="D27" i="6"/>
  <c r="D31" i="6"/>
  <c r="C19" i="68"/>
  <c r="C24" i="68"/>
  <c r="D37" i="68"/>
  <c r="C37" i="68"/>
  <c r="C19" i="69"/>
  <c r="C20" i="69"/>
  <c r="C28" i="69"/>
  <c r="C27" i="69"/>
  <c r="D37" i="69"/>
  <c r="C37" i="69"/>
  <c r="C33" i="69"/>
  <c r="C42" i="69"/>
  <c r="S19" i="6"/>
  <c r="S27" i="6"/>
  <c r="H19" i="6"/>
  <c r="I27" i="6"/>
  <c r="C33" i="11"/>
  <c r="C39" i="11"/>
  <c r="C46" i="11"/>
  <c r="C45" i="11"/>
  <c r="G40" i="36"/>
  <c r="H40" i="36"/>
  <c r="G41" i="36"/>
  <c r="H41" i="36"/>
  <c r="E53" i="33"/>
  <c r="F53" i="33"/>
  <c r="E52" i="33"/>
  <c r="F52" i="33"/>
  <c r="G68" i="39"/>
  <c r="F70" i="39"/>
  <c r="E43" i="35"/>
  <c r="F43" i="35"/>
  <c r="E42" i="35"/>
  <c r="F42" i="35"/>
  <c r="I52" i="21"/>
  <c r="J52" i="21"/>
  <c r="E47" i="37"/>
  <c r="F47" i="37"/>
  <c r="E46" i="37"/>
  <c r="F46" i="37"/>
  <c r="C39" i="35"/>
  <c r="B2" i="35"/>
  <c r="B3" i="35"/>
  <c r="C38" i="35"/>
  <c r="C42" i="37"/>
  <c r="C43" i="37"/>
  <c r="B2" i="37"/>
  <c r="B3" i="37"/>
  <c r="G52" i="21"/>
  <c r="H52" i="21"/>
  <c r="E36" i="36"/>
  <c r="R37" i="36"/>
  <c r="I47" i="37"/>
  <c r="J47" i="37"/>
  <c r="I40" i="36"/>
  <c r="J40" i="36"/>
  <c r="I41" i="36"/>
  <c r="J41" i="36"/>
  <c r="I43" i="35"/>
  <c r="J43" i="35"/>
  <c r="C48" i="33"/>
  <c r="N59" i="34"/>
  <c r="C66" i="67"/>
  <c r="C60" i="67"/>
  <c r="C38" i="67"/>
  <c r="C26" i="12"/>
  <c r="D25" i="12"/>
  <c r="C66" i="15"/>
  <c r="C60" i="15"/>
  <c r="C23" i="67"/>
  <c r="C29" i="67"/>
  <c r="J26" i="67"/>
  <c r="J29" i="67"/>
  <c r="J24" i="67"/>
  <c r="C25" i="11"/>
  <c r="C26" i="11"/>
  <c r="D22" i="11"/>
  <c r="C23" i="11"/>
  <c r="C44" i="11"/>
  <c r="D41" i="11"/>
  <c r="C24" i="11"/>
  <c r="C44" i="69"/>
  <c r="D41" i="69"/>
  <c r="C23" i="69"/>
  <c r="C26" i="69"/>
  <c r="D22" i="69"/>
  <c r="C23" i="68"/>
  <c r="C26" i="68"/>
  <c r="D22" i="68"/>
  <c r="C44" i="68"/>
  <c r="D41" i="68"/>
  <c r="C38" i="15"/>
  <c r="E6" i="76"/>
  <c r="M21" i="15"/>
  <c r="C14" i="15"/>
  <c r="F35" i="15"/>
  <c r="C14" i="79"/>
  <c r="R49" i="21"/>
  <c r="C49" i="21"/>
  <c r="B2" i="21"/>
  <c r="B3" i="21"/>
  <c r="C33" i="68"/>
  <c r="C39" i="68"/>
  <c r="C43" i="68"/>
  <c r="Q49" i="85"/>
  <c r="J59" i="85"/>
  <c r="J60" i="85"/>
  <c r="Q48" i="85"/>
  <c r="J14" i="85"/>
  <c r="J13" i="85"/>
  <c r="J23" i="85"/>
  <c r="C36" i="85"/>
  <c r="C13" i="85"/>
  <c r="C75" i="85"/>
  <c r="J19" i="85"/>
  <c r="C64" i="85"/>
  <c r="C61" i="85"/>
  <c r="C60" i="79"/>
  <c r="C34" i="15"/>
  <c r="F63" i="15"/>
  <c r="C62" i="15"/>
  <c r="J20" i="15"/>
  <c r="E2" i="70"/>
  <c r="C18" i="79"/>
  <c r="C15" i="79"/>
  <c r="C18" i="15"/>
  <c r="C15" i="15"/>
  <c r="J26" i="79"/>
  <c r="J29" i="79"/>
  <c r="J24" i="79"/>
  <c r="C12" i="12"/>
  <c r="C16" i="12"/>
  <c r="C21" i="12"/>
  <c r="C22" i="12"/>
  <c r="C30" i="12"/>
  <c r="C28" i="12"/>
  <c r="E48" i="21"/>
  <c r="I53" i="21"/>
  <c r="J53" i="21"/>
  <c r="H63" i="40"/>
  <c r="G65" i="40"/>
  <c r="E2" i="76"/>
  <c r="B2" i="43"/>
  <c r="C43" i="11"/>
  <c r="C25" i="69"/>
  <c r="B3" i="33"/>
  <c r="T16" i="1"/>
  <c r="C42" i="11"/>
  <c r="I6" i="6"/>
  <c r="I5" i="6"/>
  <c r="C24" i="69"/>
  <c r="R19" i="6"/>
  <c r="H27" i="6"/>
  <c r="C39" i="69"/>
  <c r="C43" i="69"/>
  <c r="C41" i="69"/>
  <c r="C20" i="68"/>
  <c r="C25" i="68"/>
  <c r="C22" i="68"/>
  <c r="C36" i="36"/>
  <c r="C37" i="36"/>
  <c r="B2" i="36"/>
  <c r="B3" i="36"/>
  <c r="G70" i="39"/>
  <c r="H68" i="39"/>
  <c r="O59" i="34"/>
  <c r="J7" i="34"/>
  <c r="H7" i="34"/>
  <c r="E40" i="36"/>
  <c r="F40" i="36"/>
  <c r="E41" i="36"/>
  <c r="F41" i="36"/>
  <c r="C22" i="11"/>
  <c r="C31" i="11"/>
  <c r="J19" i="67"/>
  <c r="C33" i="67"/>
  <c r="C13" i="67"/>
  <c r="Q49" i="67"/>
  <c r="J14" i="67"/>
  <c r="C36" i="67"/>
  <c r="C57" i="67"/>
  <c r="J59" i="67"/>
  <c r="J60" i="67"/>
  <c r="B6" i="76"/>
  <c r="J22" i="85"/>
  <c r="C48" i="21"/>
  <c r="C46" i="68"/>
  <c r="C45" i="68"/>
  <c r="C42" i="68"/>
  <c r="C41" i="68"/>
  <c r="Q70" i="85"/>
  <c r="C37" i="85"/>
  <c r="C56" i="85"/>
  <c r="C65" i="85"/>
  <c r="C19" i="79"/>
  <c r="C20" i="79"/>
  <c r="C26" i="79"/>
  <c r="C19" i="15"/>
  <c r="C20" i="15"/>
  <c r="C23" i="15"/>
  <c r="E53" i="21"/>
  <c r="F53" i="21"/>
  <c r="E52" i="21"/>
  <c r="F52" i="21"/>
  <c r="F7" i="34"/>
  <c r="I63" i="40"/>
  <c r="H65" i="40"/>
  <c r="B2" i="76"/>
  <c r="B3" i="76"/>
  <c r="B3" i="43"/>
  <c r="C41" i="11"/>
  <c r="C49" i="11"/>
  <c r="C51" i="11"/>
  <c r="C52" i="11"/>
  <c r="B2" i="11"/>
  <c r="B3" i="11"/>
  <c r="C22" i="69"/>
  <c r="C31" i="69"/>
  <c r="C27" i="12"/>
  <c r="C25" i="12"/>
  <c r="C32" i="12"/>
  <c r="B2" i="12"/>
  <c r="B3" i="12"/>
  <c r="R27" i="6"/>
  <c r="R6" i="1"/>
  <c r="C33" i="15"/>
  <c r="C31" i="15"/>
  <c r="C28" i="68"/>
  <c r="C27" i="68"/>
  <c r="C31" i="68"/>
  <c r="C46" i="69"/>
  <c r="C45" i="69"/>
  <c r="C49" i="69"/>
  <c r="C51" i="69"/>
  <c r="AA7" i="34"/>
  <c r="R49" i="34"/>
  <c r="S7" i="34"/>
  <c r="AB7" i="34"/>
  <c r="T49" i="34"/>
  <c r="G49" i="34"/>
  <c r="U7" i="34"/>
  <c r="AC7" i="34"/>
  <c r="V49" i="34"/>
  <c r="I49" i="34"/>
  <c r="W7" i="34"/>
  <c r="H70" i="39"/>
  <c r="I68" i="39"/>
  <c r="Q48" i="67"/>
  <c r="C64" i="67"/>
  <c r="C61" i="67"/>
  <c r="J13" i="67"/>
  <c r="J23" i="67"/>
  <c r="J22" i="67"/>
  <c r="C75" i="67"/>
  <c r="Q70" i="67"/>
  <c r="C37" i="67"/>
  <c r="C56" i="67"/>
  <c r="C65" i="67"/>
  <c r="F35" i="67"/>
  <c r="F35" i="79"/>
  <c r="M21" i="79"/>
  <c r="M21" i="67"/>
  <c r="M21" i="85"/>
  <c r="F35" i="85"/>
  <c r="C49" i="68"/>
  <c r="C51" i="68"/>
  <c r="J20" i="85"/>
  <c r="J17" i="85"/>
  <c r="J16" i="85"/>
  <c r="J25" i="85"/>
  <c r="F63" i="85"/>
  <c r="C62" i="85"/>
  <c r="C59" i="85"/>
  <c r="C58" i="85"/>
  <c r="C67" i="85"/>
  <c r="C68" i="85"/>
  <c r="C71" i="85"/>
  <c r="C34" i="85"/>
  <c r="C31" i="85"/>
  <c r="C30" i="85"/>
  <c r="C39" i="85"/>
  <c r="C80" i="85"/>
  <c r="C79" i="85"/>
  <c r="C34" i="67"/>
  <c r="C31" i="67"/>
  <c r="C30" i="67"/>
  <c r="C39" i="67"/>
  <c r="F63" i="67"/>
  <c r="C62" i="67"/>
  <c r="C59" i="67"/>
  <c r="C58" i="67"/>
  <c r="C67" i="67"/>
  <c r="C68" i="67"/>
  <c r="J20" i="67"/>
  <c r="J17" i="67"/>
  <c r="J16" i="67"/>
  <c r="J25" i="67"/>
  <c r="C23" i="79"/>
  <c r="C29" i="79"/>
  <c r="J19" i="79"/>
  <c r="C26" i="15"/>
  <c r="C29" i="15"/>
  <c r="I65" i="40"/>
  <c r="J63" i="40"/>
  <c r="J20" i="79"/>
  <c r="C34" i="79"/>
  <c r="C31" i="79"/>
  <c r="F63" i="79"/>
  <c r="C62" i="79"/>
  <c r="R16" i="1"/>
  <c r="C52" i="69"/>
  <c r="B2" i="69"/>
  <c r="B3" i="69"/>
  <c r="C52" i="68"/>
  <c r="B2" i="68"/>
  <c r="B3" i="68"/>
  <c r="J68" i="39"/>
  <c r="I70" i="39"/>
  <c r="I53" i="34"/>
  <c r="J53" i="34"/>
  <c r="G54" i="34"/>
  <c r="H54" i="34"/>
  <c r="G53" i="34"/>
  <c r="H53" i="34"/>
  <c r="E49" i="34"/>
  <c r="I54" i="34"/>
  <c r="J54" i="34"/>
  <c r="R50" i="34"/>
  <c r="C56" i="11"/>
  <c r="C57" i="11"/>
  <c r="L51" i="67"/>
  <c r="L51" i="85"/>
  <c r="Q69" i="67"/>
  <c r="Q68" i="67"/>
  <c r="C40" i="67"/>
  <c r="C45" i="67"/>
  <c r="C46" i="67"/>
  <c r="C80" i="67"/>
  <c r="C79" i="67"/>
  <c r="J17" i="79"/>
  <c r="C40" i="85"/>
  <c r="Q56" i="85"/>
  <c r="Q69" i="85"/>
  <c r="Q68" i="85"/>
  <c r="L57" i="85"/>
  <c r="L60" i="85"/>
  <c r="Q49" i="79"/>
  <c r="C57" i="79"/>
  <c r="C61" i="79"/>
  <c r="C59" i="79"/>
  <c r="J14" i="79"/>
  <c r="J22" i="79"/>
  <c r="C13" i="79"/>
  <c r="C56" i="79"/>
  <c r="C65" i="79"/>
  <c r="J59" i="79"/>
  <c r="J60" i="79"/>
  <c r="Q48" i="79"/>
  <c r="C36" i="79"/>
  <c r="Q67" i="85"/>
  <c r="Q65" i="85"/>
  <c r="Q49" i="15"/>
  <c r="C57" i="15"/>
  <c r="J59" i="15"/>
  <c r="J60" i="15"/>
  <c r="C36" i="15"/>
  <c r="C13" i="15"/>
  <c r="J14" i="15"/>
  <c r="J19" i="15"/>
  <c r="J17" i="15"/>
  <c r="J65" i="40"/>
  <c r="K63" i="40"/>
  <c r="L57" i="79"/>
  <c r="L60" i="79"/>
  <c r="C57" i="69"/>
  <c r="C56" i="69"/>
  <c r="C57" i="68"/>
  <c r="C56" i="68"/>
  <c r="C49" i="34"/>
  <c r="C50" i="34"/>
  <c r="B2" i="34"/>
  <c r="E53" i="34"/>
  <c r="F53" i="34"/>
  <c r="E54" i="34"/>
  <c r="F54" i="34"/>
  <c r="J70" i="39"/>
  <c r="K68" i="39"/>
  <c r="Q67" i="67"/>
  <c r="L57" i="67"/>
  <c r="L60" i="67"/>
  <c r="L46" i="67"/>
  <c r="L57" i="15"/>
  <c r="L60" i="15"/>
  <c r="C71" i="67"/>
  <c r="Q56" i="67"/>
  <c r="C19" i="9"/>
  <c r="C19" i="81"/>
  <c r="Q65" i="67"/>
  <c r="C83" i="67"/>
  <c r="C82" i="67"/>
  <c r="Q47" i="67"/>
  <c r="Q53" i="67"/>
  <c r="C43" i="67"/>
  <c r="D2" i="67"/>
  <c r="B3" i="67"/>
  <c r="C64" i="79"/>
  <c r="C58" i="79"/>
  <c r="C67" i="79"/>
  <c r="C68" i="79"/>
  <c r="C71" i="79"/>
  <c r="C83" i="85"/>
  <c r="C82" i="85"/>
  <c r="C75" i="79"/>
  <c r="Q47" i="85"/>
  <c r="Q53" i="85"/>
  <c r="L46" i="79"/>
  <c r="C37" i="79"/>
  <c r="C30" i="79"/>
  <c r="C39" i="79"/>
  <c r="Q69" i="79"/>
  <c r="Q70" i="79"/>
  <c r="C45" i="85"/>
  <c r="C46" i="85"/>
  <c r="C43" i="85"/>
  <c r="Q57" i="85"/>
  <c r="Q62" i="85"/>
  <c r="Q66" i="85"/>
  <c r="Q75" i="85"/>
  <c r="L46" i="85"/>
  <c r="D2" i="85"/>
  <c r="B2" i="85"/>
  <c r="J13" i="79"/>
  <c r="J23" i="79"/>
  <c r="J16" i="79"/>
  <c r="J25" i="79"/>
  <c r="L46" i="15"/>
  <c r="Q48" i="15"/>
  <c r="J22" i="15"/>
  <c r="J13" i="15"/>
  <c r="J23" i="15"/>
  <c r="C64" i="15"/>
  <c r="C61" i="15"/>
  <c r="C59" i="15"/>
  <c r="Q70" i="15"/>
  <c r="C56" i="15"/>
  <c r="C65" i="15"/>
  <c r="C75" i="15"/>
  <c r="C37" i="15"/>
  <c r="C30" i="15"/>
  <c r="C39" i="15"/>
  <c r="K65" i="40"/>
  <c r="L63" i="40"/>
  <c r="Q57" i="79"/>
  <c r="Q66" i="79"/>
  <c r="C102" i="81"/>
  <c r="C21" i="81"/>
  <c r="C102" i="9"/>
  <c r="C21" i="9"/>
  <c r="B3" i="34"/>
  <c r="K70" i="39"/>
  <c r="L68" i="39"/>
  <c r="Q66" i="15"/>
  <c r="Q57" i="15"/>
  <c r="Q66" i="67"/>
  <c r="Q57" i="67"/>
  <c r="Q62" i="67"/>
  <c r="C20" i="81"/>
  <c r="C20" i="9"/>
  <c r="L51" i="15"/>
  <c r="B2" i="67"/>
  <c r="Q75" i="67"/>
  <c r="C40" i="79"/>
  <c r="Q47" i="79"/>
  <c r="Q53" i="79"/>
  <c r="B3" i="85"/>
  <c r="Q68" i="79"/>
  <c r="C80" i="79"/>
  <c r="C79" i="79"/>
  <c r="C80" i="15"/>
  <c r="C79" i="15"/>
  <c r="C58" i="15"/>
  <c r="C67" i="15"/>
  <c r="C68" i="15"/>
  <c r="C71" i="15"/>
  <c r="J16" i="15"/>
  <c r="J25" i="15"/>
  <c r="Q67" i="15"/>
  <c r="C40" i="15"/>
  <c r="Q69" i="15"/>
  <c r="Q68" i="15"/>
  <c r="L65" i="40"/>
  <c r="M63" i="40"/>
  <c r="C103" i="81"/>
  <c r="C103" i="9"/>
  <c r="L70" i="39"/>
  <c r="M68" i="39"/>
  <c r="AO6" i="1"/>
  <c r="L51" i="79"/>
  <c r="Q67" i="79"/>
  <c r="Q56" i="79"/>
  <c r="Q62" i="79"/>
  <c r="C43" i="79"/>
  <c r="C83" i="79"/>
  <c r="C82" i="79"/>
  <c r="B2" i="79"/>
  <c r="B3" i="79"/>
  <c r="Q65" i="79"/>
  <c r="Q75" i="79"/>
  <c r="C46" i="79"/>
  <c r="B6" i="70"/>
  <c r="Q65" i="15"/>
  <c r="Q75" i="15"/>
  <c r="Q47" i="15"/>
  <c r="Q53" i="15"/>
  <c r="B2" i="15"/>
  <c r="C43" i="15"/>
  <c r="Q56" i="15"/>
  <c r="Q62" i="15"/>
  <c r="C83" i="15"/>
  <c r="C82" i="15"/>
  <c r="C46" i="15"/>
  <c r="N63" i="40"/>
  <c r="M65" i="40"/>
  <c r="M70" i="39"/>
  <c r="N68" i="39"/>
  <c r="AO7" i="1"/>
  <c r="D19" i="81"/>
  <c r="D19" i="9"/>
  <c r="D22" i="81"/>
  <c r="D21" i="81"/>
  <c r="D102" i="81"/>
  <c r="G19" i="81"/>
  <c r="C32" i="81"/>
  <c r="H118" i="81"/>
  <c r="C104" i="81"/>
  <c r="D21" i="9"/>
  <c r="D22" i="9"/>
  <c r="G19" i="9"/>
  <c r="D102" i="9"/>
  <c r="B7" i="70"/>
  <c r="B2" i="70"/>
  <c r="B3" i="70"/>
  <c r="B3" i="15"/>
  <c r="N65" i="40"/>
  <c r="H7" i="40"/>
  <c r="O63" i="40"/>
  <c r="O65" i="40"/>
  <c r="O68" i="39"/>
  <c r="O70" i="39"/>
  <c r="N70" i="39"/>
  <c r="D20" i="81"/>
  <c r="D20" i="9"/>
  <c r="H119" i="81"/>
  <c r="I118" i="81"/>
  <c r="H102" i="81"/>
  <c r="H101" i="81"/>
  <c r="D45" i="81"/>
  <c r="G21" i="81"/>
  <c r="G20" i="81"/>
  <c r="R24" i="31"/>
  <c r="D103" i="81"/>
  <c r="C35" i="81"/>
  <c r="F118" i="81"/>
  <c r="F119" i="81"/>
  <c r="G20" i="9"/>
  <c r="R24" i="80"/>
  <c r="D103" i="9"/>
  <c r="C32" i="9"/>
  <c r="G21" i="9"/>
  <c r="F7" i="40"/>
  <c r="J7" i="40"/>
  <c r="AB7" i="40"/>
  <c r="T42" i="40"/>
  <c r="G42" i="40"/>
  <c r="U7" i="40"/>
  <c r="C105" i="81"/>
  <c r="J7" i="39"/>
  <c r="F7" i="39"/>
  <c r="H7" i="39"/>
  <c r="M48" i="81"/>
  <c r="H107" i="81"/>
  <c r="D122" i="81"/>
  <c r="D123" i="81"/>
  <c r="C34" i="81"/>
  <c r="D118" i="81"/>
  <c r="D119" i="81"/>
  <c r="G118" i="81"/>
  <c r="E118" i="81"/>
  <c r="S24" i="31"/>
  <c r="R236" i="31"/>
  <c r="S236" i="31"/>
  <c r="R228" i="31"/>
  <c r="S228" i="31"/>
  <c r="R220" i="31"/>
  <c r="S220" i="31"/>
  <c r="R212" i="31"/>
  <c r="S212" i="31"/>
  <c r="R204" i="31"/>
  <c r="S204" i="31"/>
  <c r="R196" i="31"/>
  <c r="S196" i="31"/>
  <c r="R188" i="31"/>
  <c r="S188" i="31"/>
  <c r="R180" i="31"/>
  <c r="S180" i="31"/>
  <c r="R172" i="31"/>
  <c r="S172" i="31"/>
  <c r="R164" i="31"/>
  <c r="S164" i="31"/>
  <c r="R233" i="31"/>
  <c r="S233" i="31"/>
  <c r="R225" i="31"/>
  <c r="S225" i="31"/>
  <c r="R217" i="31"/>
  <c r="S217" i="31"/>
  <c r="R209" i="31"/>
  <c r="S209" i="31"/>
  <c r="R201" i="31"/>
  <c r="S201" i="31"/>
  <c r="R193" i="31"/>
  <c r="S193" i="31"/>
  <c r="R156" i="31"/>
  <c r="S156" i="31"/>
  <c r="R148" i="31"/>
  <c r="S148" i="31"/>
  <c r="R140" i="31"/>
  <c r="S140" i="31"/>
  <c r="R132" i="31"/>
  <c r="S132" i="31"/>
  <c r="R124" i="31"/>
  <c r="S124" i="31"/>
  <c r="R116" i="31"/>
  <c r="S116" i="31"/>
  <c r="R108" i="31"/>
  <c r="S108" i="31"/>
  <c r="R100" i="31"/>
  <c r="S100" i="31"/>
  <c r="R92" i="31"/>
  <c r="S92" i="31"/>
  <c r="R84" i="31"/>
  <c r="S84" i="31"/>
  <c r="R76" i="31"/>
  <c r="S76" i="31"/>
  <c r="R68" i="31"/>
  <c r="S68" i="31"/>
  <c r="R60" i="31"/>
  <c r="S60" i="31"/>
  <c r="R52" i="31"/>
  <c r="S52" i="31"/>
  <c r="R44" i="31"/>
  <c r="S44" i="31"/>
  <c r="R36" i="31"/>
  <c r="S36" i="31"/>
  <c r="R28" i="31"/>
  <c r="S28" i="31"/>
  <c r="R187" i="31"/>
  <c r="S187" i="31"/>
  <c r="R179" i="31"/>
  <c r="S179" i="31"/>
  <c r="R171" i="31"/>
  <c r="S171" i="31"/>
  <c r="R163" i="31"/>
  <c r="S163" i="31"/>
  <c r="R155" i="31"/>
  <c r="S155" i="31"/>
  <c r="R147" i="31"/>
  <c r="S147" i="31"/>
  <c r="R139" i="31"/>
  <c r="S139" i="31"/>
  <c r="R131" i="31"/>
  <c r="S131" i="31"/>
  <c r="R123" i="31"/>
  <c r="S123" i="31"/>
  <c r="R115" i="31"/>
  <c r="S115" i="31"/>
  <c r="R107" i="31"/>
  <c r="S107" i="31"/>
  <c r="R99" i="31"/>
  <c r="S99" i="31"/>
  <c r="R91" i="31"/>
  <c r="S91" i="31"/>
  <c r="R83" i="31"/>
  <c r="S83" i="31"/>
  <c r="R75" i="31"/>
  <c r="S75" i="31"/>
  <c r="R67" i="31"/>
  <c r="S67" i="31"/>
  <c r="R59" i="31"/>
  <c r="S59" i="31"/>
  <c r="R51" i="31"/>
  <c r="S51" i="31"/>
  <c r="R43" i="31"/>
  <c r="S43" i="31"/>
  <c r="R35" i="31"/>
  <c r="S35" i="31"/>
  <c r="R27" i="31"/>
  <c r="S27" i="31"/>
  <c r="R234" i="31"/>
  <c r="S234" i="31"/>
  <c r="R226" i="31"/>
  <c r="S226" i="31"/>
  <c r="R218" i="31"/>
  <c r="S218" i="31"/>
  <c r="R210" i="31"/>
  <c r="S210" i="31"/>
  <c r="R202" i="31"/>
  <c r="S202" i="31"/>
  <c r="R194" i="31"/>
  <c r="S194" i="31"/>
  <c r="R186" i="31"/>
  <c r="S186" i="31"/>
  <c r="R178" i="31"/>
  <c r="S178" i="31"/>
  <c r="R170" i="31"/>
  <c r="S170" i="31"/>
  <c r="R239" i="31"/>
  <c r="S239" i="31"/>
  <c r="R231" i="31"/>
  <c r="S231" i="31"/>
  <c r="R223" i="31"/>
  <c r="S223" i="31"/>
  <c r="R215" i="31"/>
  <c r="S215" i="31"/>
  <c r="R207" i="31"/>
  <c r="S207" i="31"/>
  <c r="R199" i="31"/>
  <c r="S199" i="31"/>
  <c r="R162" i="31"/>
  <c r="S162" i="31"/>
  <c r="R154" i="31"/>
  <c r="S154" i="31"/>
  <c r="R146" i="31"/>
  <c r="S146" i="31"/>
  <c r="R138" i="31"/>
  <c r="S138" i="31"/>
  <c r="R130" i="31"/>
  <c r="S130" i="31"/>
  <c r="R122" i="31"/>
  <c r="S122" i="31"/>
  <c r="R114" i="31"/>
  <c r="S114" i="31"/>
  <c r="R106" i="31"/>
  <c r="S106" i="31"/>
  <c r="R98" i="31"/>
  <c r="S98" i="31"/>
  <c r="R90" i="31"/>
  <c r="S90" i="31"/>
  <c r="R82" i="31"/>
  <c r="S82" i="31"/>
  <c r="R74" i="31"/>
  <c r="S74" i="31"/>
  <c r="R66" i="31"/>
  <c r="S66" i="31"/>
  <c r="R58" i="31"/>
  <c r="S58" i="31"/>
  <c r="R240" i="31"/>
  <c r="S240" i="31"/>
  <c r="R232" i="31"/>
  <c r="S232" i="31"/>
  <c r="R224" i="31"/>
  <c r="S224" i="31"/>
  <c r="R216" i="31"/>
  <c r="S216" i="31"/>
  <c r="R208" i="31"/>
  <c r="S208" i="31"/>
  <c r="R200" i="31"/>
  <c r="S200" i="31"/>
  <c r="R192" i="31"/>
  <c r="S192" i="31"/>
  <c r="R184" i="31"/>
  <c r="S184" i="31"/>
  <c r="R176" i="31"/>
  <c r="S176" i="31"/>
  <c r="R168" i="31"/>
  <c r="S168" i="31"/>
  <c r="R237" i="31"/>
  <c r="S237" i="31"/>
  <c r="R229" i="31"/>
  <c r="S229" i="31"/>
  <c r="R221" i="31"/>
  <c r="S221" i="31"/>
  <c r="R213" i="31"/>
  <c r="S213" i="31"/>
  <c r="R205" i="31"/>
  <c r="S205" i="31"/>
  <c r="R197" i="31"/>
  <c r="S197" i="31"/>
  <c r="R160" i="31"/>
  <c r="S160" i="31"/>
  <c r="R152" i="31"/>
  <c r="S152" i="31"/>
  <c r="R144" i="31"/>
  <c r="S144" i="31"/>
  <c r="R136" i="31"/>
  <c r="S136" i="31"/>
  <c r="R128" i="31"/>
  <c r="S128" i="31"/>
  <c r="R120" i="31"/>
  <c r="S120" i="31"/>
  <c r="R112" i="31"/>
  <c r="S112" i="31"/>
  <c r="R104" i="31"/>
  <c r="S104" i="31"/>
  <c r="R96" i="31"/>
  <c r="S96" i="31"/>
  <c r="R88" i="31"/>
  <c r="S88" i="31"/>
  <c r="R80" i="31"/>
  <c r="S80" i="31"/>
  <c r="R72" i="31"/>
  <c r="S72" i="31"/>
  <c r="R64" i="31"/>
  <c r="S64" i="31"/>
  <c r="R56" i="31"/>
  <c r="S56" i="31"/>
  <c r="R48" i="31"/>
  <c r="S48" i="31"/>
  <c r="R40" i="31"/>
  <c r="S40" i="31"/>
  <c r="R32" i="31"/>
  <c r="S32" i="31"/>
  <c r="R191" i="31"/>
  <c r="S191" i="31"/>
  <c r="R183" i="31"/>
  <c r="S183" i="31"/>
  <c r="R175" i="31"/>
  <c r="S175" i="31"/>
  <c r="R167" i="31"/>
  <c r="S167" i="31"/>
  <c r="R159" i="31"/>
  <c r="S159" i="31"/>
  <c r="R151" i="31"/>
  <c r="S151" i="31"/>
  <c r="R143" i="31"/>
  <c r="S143" i="31"/>
  <c r="R135" i="31"/>
  <c r="S135" i="31"/>
  <c r="R127" i="31"/>
  <c r="S127" i="31"/>
  <c r="R119" i="31"/>
  <c r="S119" i="31"/>
  <c r="R111" i="31"/>
  <c r="S111" i="31"/>
  <c r="R103" i="31"/>
  <c r="S103" i="31"/>
  <c r="R95" i="31"/>
  <c r="S95" i="31"/>
  <c r="R87" i="31"/>
  <c r="S87" i="31"/>
  <c r="R79" i="31"/>
  <c r="S79" i="31"/>
  <c r="R71" i="31"/>
  <c r="S71" i="31"/>
  <c r="R63" i="31"/>
  <c r="S63" i="31"/>
  <c r="R55" i="31"/>
  <c r="S55" i="31"/>
  <c r="R47" i="31"/>
  <c r="S47" i="31"/>
  <c r="R39" i="31"/>
  <c r="S39" i="31"/>
  <c r="R31" i="31"/>
  <c r="S31" i="31"/>
  <c r="R238" i="31"/>
  <c r="S238" i="31"/>
  <c r="R230" i="31"/>
  <c r="S230" i="31"/>
  <c r="R222" i="31"/>
  <c r="S222" i="31"/>
  <c r="R214" i="31"/>
  <c r="S214" i="31"/>
  <c r="R206" i="31"/>
  <c r="S206" i="31"/>
  <c r="R198" i="31"/>
  <c r="S198" i="31"/>
  <c r="R190" i="31"/>
  <c r="S190" i="31"/>
  <c r="R182" i="31"/>
  <c r="S182" i="31"/>
  <c r="R174" i="31"/>
  <c r="S174" i="31"/>
  <c r="R166" i="31"/>
  <c r="S166" i="31"/>
  <c r="R235" i="31"/>
  <c r="S235" i="31"/>
  <c r="R227" i="31"/>
  <c r="S227" i="31"/>
  <c r="R219" i="31"/>
  <c r="S219" i="31"/>
  <c r="R211" i="31"/>
  <c r="S211" i="31"/>
  <c r="R203" i="31"/>
  <c r="S203" i="31"/>
  <c r="R195" i="31"/>
  <c r="S195" i="31"/>
  <c r="R158" i="31"/>
  <c r="S158" i="31"/>
  <c r="R150" i="31"/>
  <c r="S150" i="31"/>
  <c r="R142" i="31"/>
  <c r="S142" i="31"/>
  <c r="R134" i="31"/>
  <c r="S134" i="31"/>
  <c r="R126" i="31"/>
  <c r="S126" i="31"/>
  <c r="R118" i="31"/>
  <c r="S118" i="31"/>
  <c r="R110" i="31"/>
  <c r="S110" i="31"/>
  <c r="R102" i="31"/>
  <c r="S102" i="31"/>
  <c r="R94" i="31"/>
  <c r="S94" i="31"/>
  <c r="R86" i="31"/>
  <c r="S86" i="31"/>
  <c r="R78" i="31"/>
  <c r="S78" i="31"/>
  <c r="R70" i="31"/>
  <c r="S70" i="31"/>
  <c r="R62" i="31"/>
  <c r="S62" i="31"/>
  <c r="R54" i="31"/>
  <c r="S54" i="31"/>
  <c r="R50" i="31"/>
  <c r="S50" i="31"/>
  <c r="R42" i="31"/>
  <c r="S42" i="31"/>
  <c r="R34" i="31"/>
  <c r="S34" i="31"/>
  <c r="R26" i="31"/>
  <c r="S26" i="31"/>
  <c r="R185" i="31"/>
  <c r="S185" i="31"/>
  <c r="R177" i="31"/>
  <c r="S177" i="31"/>
  <c r="R169" i="31"/>
  <c r="S169" i="31"/>
  <c r="R161" i="31"/>
  <c r="S161" i="31"/>
  <c r="R153" i="31"/>
  <c r="S153" i="31"/>
  <c r="R145" i="31"/>
  <c r="S145" i="31"/>
  <c r="R137" i="31"/>
  <c r="S137" i="31"/>
  <c r="R129" i="31"/>
  <c r="S129" i="31"/>
  <c r="R121" i="31"/>
  <c r="S121" i="31"/>
  <c r="R113" i="31"/>
  <c r="S113" i="31"/>
  <c r="R97" i="31"/>
  <c r="S97" i="31"/>
  <c r="R81" i="31"/>
  <c r="S81" i="31"/>
  <c r="R65" i="31"/>
  <c r="S65" i="31"/>
  <c r="R49" i="31"/>
  <c r="S49" i="31"/>
  <c r="R33" i="31"/>
  <c r="S33" i="31"/>
  <c r="R109" i="31"/>
  <c r="S109" i="31"/>
  <c r="R93" i="31"/>
  <c r="S93" i="31"/>
  <c r="R77" i="31"/>
  <c r="S77" i="31"/>
  <c r="R61" i="31"/>
  <c r="S61" i="31"/>
  <c r="R45" i="31"/>
  <c r="S45" i="31"/>
  <c r="R29" i="31"/>
  <c r="S29" i="31"/>
  <c r="R46" i="31"/>
  <c r="S46" i="31"/>
  <c r="R38" i="31"/>
  <c r="S38" i="31"/>
  <c r="R30" i="31"/>
  <c r="S30" i="31"/>
  <c r="R189" i="31"/>
  <c r="S189" i="31"/>
  <c r="R181" i="31"/>
  <c r="S181" i="31"/>
  <c r="R173" i="31"/>
  <c r="S173" i="31"/>
  <c r="R165" i="31"/>
  <c r="S165" i="31"/>
  <c r="R157" i="31"/>
  <c r="S157" i="31"/>
  <c r="R149" i="31"/>
  <c r="S149" i="31"/>
  <c r="R141" i="31"/>
  <c r="S141" i="31"/>
  <c r="R133" i="31"/>
  <c r="S133" i="31"/>
  <c r="R125" i="31"/>
  <c r="S125" i="31"/>
  <c r="R117" i="31"/>
  <c r="S117" i="31"/>
  <c r="R105" i="31"/>
  <c r="S105" i="31"/>
  <c r="R89" i="31"/>
  <c r="S89" i="31"/>
  <c r="R73" i="31"/>
  <c r="S73" i="31"/>
  <c r="R57" i="31"/>
  <c r="S57" i="31"/>
  <c r="R41" i="31"/>
  <c r="S41" i="31"/>
  <c r="R25" i="31"/>
  <c r="S25" i="31"/>
  <c r="R101" i="31"/>
  <c r="S101" i="31"/>
  <c r="R85" i="31"/>
  <c r="S85" i="31"/>
  <c r="R69" i="31"/>
  <c r="S69" i="31"/>
  <c r="R53" i="31"/>
  <c r="S53" i="31"/>
  <c r="R37" i="31"/>
  <c r="S37" i="31"/>
  <c r="H118" i="9"/>
  <c r="C35" i="9"/>
  <c r="F118" i="9"/>
  <c r="S24" i="80"/>
  <c r="R26" i="80"/>
  <c r="S26" i="80"/>
  <c r="R32" i="80"/>
  <c r="S32" i="80"/>
  <c r="R31" i="80"/>
  <c r="S31" i="80"/>
  <c r="R27" i="80"/>
  <c r="S27" i="80"/>
  <c r="R30" i="80"/>
  <c r="S30" i="80"/>
  <c r="R33" i="80"/>
  <c r="S33" i="80"/>
  <c r="R28" i="80"/>
  <c r="S28" i="80"/>
  <c r="R29" i="80"/>
  <c r="S29" i="80"/>
  <c r="R25" i="80"/>
  <c r="S25" i="80"/>
  <c r="W7" i="40"/>
  <c r="AC7" i="40"/>
  <c r="V42" i="40"/>
  <c r="I42" i="40"/>
  <c r="I46" i="40"/>
  <c r="J46" i="40"/>
  <c r="G46" i="40"/>
  <c r="H46" i="40"/>
  <c r="S7" i="40"/>
  <c r="AA7" i="40"/>
  <c r="R42" i="40"/>
  <c r="C78" i="81"/>
  <c r="C73" i="81"/>
  <c r="D52" i="81"/>
  <c r="C93" i="81"/>
  <c r="C86" i="81"/>
  <c r="C85" i="81"/>
  <c r="C72" i="81"/>
  <c r="C64" i="81"/>
  <c r="C63" i="81"/>
  <c r="C67" i="81"/>
  <c r="C68" i="81"/>
  <c r="D54" i="81"/>
  <c r="D55" i="81"/>
  <c r="M53" i="81"/>
  <c r="D53" i="81"/>
  <c r="AB7" i="39"/>
  <c r="T47" i="39"/>
  <c r="G47" i="39"/>
  <c r="U7" i="39"/>
  <c r="S7" i="39"/>
  <c r="AA7" i="39"/>
  <c r="R47" i="39"/>
  <c r="AC7" i="39"/>
  <c r="V47" i="39"/>
  <c r="I47" i="39"/>
  <c r="W7" i="39"/>
  <c r="H108" i="81"/>
  <c r="M49" i="81"/>
  <c r="L66" i="81"/>
  <c r="M66" i="81"/>
  <c r="S22" i="31"/>
  <c r="C34" i="9"/>
  <c r="D118" i="9"/>
  <c r="D4" i="52"/>
  <c r="B47" i="72"/>
  <c r="H4" i="52"/>
  <c r="H101" i="9"/>
  <c r="H119" i="9"/>
  <c r="H5" i="52"/>
  <c r="C104" i="9"/>
  <c r="I118" i="9"/>
  <c r="S22" i="80"/>
  <c r="F4" i="52"/>
  <c r="B51" i="72"/>
  <c r="F119" i="9"/>
  <c r="F5" i="52"/>
  <c r="B53" i="72"/>
  <c r="G118" i="9"/>
  <c r="G4" i="52"/>
  <c r="B52" i="72"/>
  <c r="R43" i="40"/>
  <c r="E42" i="40"/>
  <c r="G47" i="40"/>
  <c r="H47" i="40"/>
  <c r="C79" i="81"/>
  <c r="C95" i="81"/>
  <c r="I51" i="39"/>
  <c r="J51" i="39"/>
  <c r="R48" i="39"/>
  <c r="E47" i="39"/>
  <c r="I52" i="39"/>
  <c r="J52" i="39"/>
  <c r="G52" i="39"/>
  <c r="H52" i="39"/>
  <c r="G51" i="39"/>
  <c r="H51" i="39"/>
  <c r="L68" i="81"/>
  <c r="M68" i="81"/>
  <c r="L63" i="81"/>
  <c r="M63" i="81"/>
  <c r="L65" i="81"/>
  <c r="M65" i="81"/>
  <c r="L67" i="81"/>
  <c r="M67" i="81"/>
  <c r="L64" i="81"/>
  <c r="M64" i="81"/>
  <c r="R22" i="31"/>
  <c r="B21" i="31"/>
  <c r="B20" i="31"/>
  <c r="D15" i="74"/>
  <c r="D119" i="9"/>
  <c r="D5" i="52"/>
  <c r="B49" i="72"/>
  <c r="E118" i="9"/>
  <c r="E4" i="52"/>
  <c r="B48" i="72"/>
  <c r="C105" i="9"/>
  <c r="H102" i="9"/>
  <c r="D7" i="53"/>
  <c r="B21" i="72"/>
  <c r="I4" i="52"/>
  <c r="D14" i="74"/>
  <c r="B20" i="80"/>
  <c r="R22" i="80"/>
  <c r="B21" i="80"/>
  <c r="M48" i="9"/>
  <c r="H107" i="9"/>
  <c r="D5" i="53"/>
  <c r="D45" i="9"/>
  <c r="I47" i="40"/>
  <c r="J47" i="40"/>
  <c r="E47" i="40"/>
  <c r="F47" i="40"/>
  <c r="E46" i="40"/>
  <c r="F46" i="40"/>
  <c r="C42" i="40"/>
  <c r="C43" i="40"/>
  <c r="C80" i="81"/>
  <c r="E80" i="81"/>
  <c r="E81" i="81"/>
  <c r="C96" i="81"/>
  <c r="E96" i="81"/>
  <c r="E97" i="81"/>
  <c r="C48" i="39"/>
  <c r="C47" i="39"/>
  <c r="E52" i="39"/>
  <c r="F52" i="39"/>
  <c r="E51" i="39"/>
  <c r="F51" i="39"/>
  <c r="M69" i="81"/>
  <c r="N69" i="81"/>
  <c r="G15" i="74"/>
  <c r="F15" i="74"/>
  <c r="E15" i="74"/>
  <c r="B20" i="72"/>
  <c r="D6" i="53"/>
  <c r="B22" i="72"/>
  <c r="C72" i="9"/>
  <c r="D53" i="9"/>
  <c r="C93" i="9"/>
  <c r="C86" i="9"/>
  <c r="C85" i="9"/>
  <c r="D55" i="9"/>
  <c r="M53" i="9"/>
  <c r="D52" i="9"/>
  <c r="C64" i="9"/>
  <c r="C63" i="9"/>
  <c r="C67" i="9"/>
  <c r="C68" i="9"/>
  <c r="D54" i="9"/>
  <c r="C78" i="9"/>
  <c r="C73" i="9"/>
  <c r="H108" i="9"/>
  <c r="D15" i="53"/>
  <c r="B31" i="72"/>
  <c r="D13" i="53"/>
  <c r="M49" i="9"/>
  <c r="D122" i="9"/>
  <c r="G14" i="74"/>
  <c r="F14" i="74"/>
  <c r="E14" i="74"/>
  <c r="B5" i="74"/>
  <c r="B52" i="40"/>
  <c r="F52" i="40"/>
  <c r="B53" i="40"/>
  <c r="F53" i="40"/>
  <c r="B59" i="40"/>
  <c r="F59" i="40"/>
  <c r="B55" i="40"/>
  <c r="F55" i="40"/>
  <c r="B58" i="40"/>
  <c r="F58" i="40"/>
  <c r="B54" i="40"/>
  <c r="F54" i="40"/>
  <c r="B57" i="40"/>
  <c r="F57" i="40"/>
  <c r="B51" i="40"/>
  <c r="F51" i="40"/>
  <c r="F61" i="40"/>
  <c r="B2" i="40"/>
  <c r="B3" i="40"/>
  <c r="B56" i="40"/>
  <c r="F56" i="40"/>
  <c r="B60" i="40"/>
  <c r="F60" i="40"/>
  <c r="C97" i="81"/>
  <c r="D58" i="81"/>
  <c r="D56" i="81"/>
  <c r="M54" i="81"/>
  <c r="N57" i="81"/>
  <c r="N58" i="81"/>
  <c r="C81" i="81"/>
  <c r="B61" i="39"/>
  <c r="F61" i="39"/>
  <c r="B56" i="39"/>
  <c r="F56" i="39"/>
  <c r="F66" i="39"/>
  <c r="B2" i="39"/>
  <c r="B3" i="39"/>
  <c r="B59" i="39"/>
  <c r="F59" i="39"/>
  <c r="B65" i="39"/>
  <c r="F65" i="39"/>
  <c r="B63" i="39"/>
  <c r="F63" i="39"/>
  <c r="B60" i="39"/>
  <c r="F60" i="39"/>
  <c r="B58" i="39"/>
  <c r="F58" i="39"/>
  <c r="B64" i="39"/>
  <c r="F64" i="39"/>
  <c r="B57" i="39"/>
  <c r="F57" i="39"/>
  <c r="B62" i="39"/>
  <c r="F62" i="39"/>
  <c r="B6" i="74"/>
  <c r="C6" i="74"/>
  <c r="C79" i="9"/>
  <c r="L64" i="9"/>
  <c r="M64" i="9"/>
  <c r="L68" i="9"/>
  <c r="M68" i="9"/>
  <c r="L63" i="9"/>
  <c r="M63" i="9"/>
  <c r="L65" i="9"/>
  <c r="M65" i="9"/>
  <c r="L67" i="9"/>
  <c r="M67" i="9"/>
  <c r="L66" i="9"/>
  <c r="M66" i="9"/>
  <c r="C5" i="74"/>
  <c r="D5" i="74"/>
  <c r="D8" i="52"/>
  <c r="D123" i="9"/>
  <c r="D9" i="52"/>
  <c r="D14" i="53"/>
  <c r="B32" i="72"/>
  <c r="B30" i="72"/>
  <c r="C95" i="9"/>
  <c r="P57" i="81"/>
  <c r="N59" i="81"/>
  <c r="N61" i="81"/>
  <c r="D6" i="74"/>
  <c r="C80" i="9"/>
  <c r="E80" i="9"/>
  <c r="E81" i="9"/>
  <c r="C96" i="9"/>
  <c r="E96" i="9"/>
  <c r="E97" i="9"/>
  <c r="M69" i="9"/>
  <c r="N69" i="9"/>
  <c r="N60" i="81"/>
  <c r="C81"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<sst xmlns="http://schemas.openxmlformats.org/spreadsheetml/2006/main" count="9117" uniqueCount="3167">
  <si>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</si>
  <si>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</si>
  <si>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</si>
  <si>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</si>
  <si>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</si>
  <si>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</si>
  <si>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</si>
  <si>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</si>
  <si>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</si>
  <si>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</si>
  <si>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</si>
  <si>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</si>
  <si>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</si>
  <si>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</si>
  <si>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</si>
  <si>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</si>
  <si>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</si>
  <si>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</si>
  <si>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</si>
  <si>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</si>
  <si>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</si>
  <si>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</si>
  <si>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</si>
  <si>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</si>
  <si>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</si>
  <si>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</si>
  <si>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</si>
  <si>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</si>
  <si>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</si>
  <si>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</si>
  <si>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</si>
  <si>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</si>
  <si>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</si>
  <si>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</si>
  <si>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</si>
  <si>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</si>
  <si>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</si>
  <si>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</si>
  <si>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</si>
  <si>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</si>
  <si>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</si>
  <si>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</si>
  <si>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</si>
  <si>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</si>
  <si>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</si>
  <si>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</si>
  <si>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</si>
  <si>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</si>
  <si>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</si>
  <si>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</si>
  <si>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</si>
  <si>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</si>
  <si>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</si>
  <si>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</si>
  <si>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</si>
  <si>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</si>
  <si>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</si>
  <si>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</si>
  <si>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</si>
  <si>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</si>
  <si>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</si>
  <si>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</si>
  <si>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</si>
  <si>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</si>
  <si>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</si>
  <si>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</si>
  <si>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</si>
  <si>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</si>
  <si>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</si>
  <si>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</si>
  <si>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</si>
  <si>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</si>
  <si>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</si>
  <si>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</si>
  <si>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</si>
  <si>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</si>
  <si>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</si>
  <si>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</si>
  <si>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</si>
  <si>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</si>
  <si>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</si>
  <si>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</si>
  <si>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</si>
  <si>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</si>
  <si>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</si>
  <si>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</si>
  <si>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</si>
  <si>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</si>
  <si>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</si>
  <si>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</si>
  <si>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</si>
  <si>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</si>
  <si>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</si>
  <si>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</si>
  <si>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</si>
  <si>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</si>
  <si>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</si>
  <si>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</si>
  <si>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</si>
  <si>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</si>
  <si>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</si>
  <si>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</si>
  <si>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</si>
  <si>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</si>
  <si>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</si>
  <si>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</si>
  <si>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</si>
  <si>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</si>
  <si>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</si>
  <si>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</si>
  <si>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</si>
  <si>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</si>
  <si>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</si>
  <si>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</si>
  <si>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</si>
  <si>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</si>
  <si>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</si>
  <si>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</si>
  <si>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</si>
  <si>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</si>
  <si>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</si>
  <si>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</si>
  <si>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</si>
  <si>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</si>
  <si>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</si>
  <si>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</si>
  <si>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</si>
  <si>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</si>
  <si>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</si>
  <si>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</si>
  <si>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</si>
  <si>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</si>
  <si>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</si>
  <si>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</si>
  <si>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</si>
  <si>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</si>
  <si>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</si>
  <si>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</si>
  <si>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</si>
  <si>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</si>
  <si>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</si>
  <si>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</si>
  <si>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</si>
  <si>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</si>
  <si>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</si>
  <si>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</si>
  <si>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</si>
  <si>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</si>
  <si>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</si>
  <si>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</si>
  <si>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</si>
  <si>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</si>
  <si>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</si>
  <si>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</si>
  <si>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</si>
  <si>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</si>
  <si>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</si>
  <si>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</si>
  <si>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</si>
  <si>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</si>
  <si>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</si>
  <si>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</si>
  <si>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</si>
  <si>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</si>
  <si>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</si>
  <si>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</si>
  <si>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</si>
  <si>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</si>
  <si>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</si>
  <si>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</si>
  <si>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</si>
  <si>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</si>
  <si>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</si>
  <si>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</si>
  <si>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</si>
  <si>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</si>
  <si>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</si>
  <si>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</si>
  <si>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</si>
  <si>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</si>
  <si>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</si>
  <si>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</si>
  <si>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</si>
  <si>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</si>
  <si>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</si>
  <si>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</si>
  <si>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</si>
  <si>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</si>
  <si>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</si>
  <si>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</si>
  <si>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</si>
  <si>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</si>
  <si>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</si>
  <si>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</si>
  <si>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</si>
  <si>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</si>
  <si>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</si>
  <si>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</si>
  <si>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</si>
  <si>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</si>
  <si>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</si>
  <si>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</si>
  <si>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</si>
  <si>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</si>
  <si>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</si>
  <si>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</si>
  <si>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</si>
  <si>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</si>
  <si>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</si>
  <si>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</si>
  <si>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</si>
  <si>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</si>
  <si>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</si>
  <si>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</si>
  <si>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</si>
  <si>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</si>
  <si>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</si>
  <si>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</si>
  <si>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</si>
  <si>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</si>
  <si>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</si>
  <si>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</si>
  <si>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</si>
  <si>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</si>
  <si>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</si>
  <si>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</si>
  <si>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</si>
  <si>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</si>
  <si>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</si>
  <si>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</si>
  <si>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</si>
  <si>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</si>
  <si>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</si>
  <si>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</si>
  <si>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</si>
  <si>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</si>
  <si>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</si>
  <si>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</si>
  <si>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</si>
  <si>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</si>
  <si>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</si>
  <si>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</si>
  <si>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</si>
  <si>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</si>
  <si>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</si>
  <si>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</si>
  <si>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</si>
  <si>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</si>
  <si>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</si>
  <si>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</si>
  <si>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</si>
  <si>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</si>
  <si>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</si>
  <si>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</si>
  <si>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</si>
  <si>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</si>
  <si>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</si>
  <si>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</si>
  <si>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</si>
  <si>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</si>
  <si>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</si>
  <si>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</si>
  <si>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</si>
  <si>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</si>
  <si>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</si>
  <si>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</si>
  <si>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</si>
  <si>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</si>
  <si>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</si>
  <si>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</si>
  <si>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</si>
  <si>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</si>
  <si>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</si>
  <si>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</si>
  <si>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</si>
  <si>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</si>
  <si>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</si>
  <si>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</si>
  <si>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</si>
  <si>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</si>
  <si>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</si>
  <si>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</si>
  <si>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</si>
  <si>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</si>
  <si>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</si>
  <si>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</si>
  <si>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</si>
  <si>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</si>
  <si>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</si>
  <si>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</si>
  <si>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</si>
  <si>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</si>
  <si>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</si>
  <si>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</si>
  <si>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</si>
  <si>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</si>
  <si>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</si>
  <si>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</si>
  <si>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</si>
  <si>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</si>
  <si>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</si>
  <si>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</si>
  <si>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</si>
  <si>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</si>
  <si>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</si>
  <si>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</si>
  <si>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</si>
  <si>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</si>
  <si>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</si>
  <si>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</si>
  <si>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</si>
  <si>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</si>
  <si>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</si>
  <si>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</si>
  <si>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</si>
  <si>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</si>
  <si>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</si>
  <si>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</si>
  <si>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</si>
  <si>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</si>
  <si>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</si>
  <si>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</si>
  <si>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</si>
  <si>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</si>
  <si>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</si>
  <si>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</si>
  <si>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</si>
  <si>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</si>
  <si>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</si>
  <si>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</si>
  <si>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</si>
  <si>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</si>
  <si>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</si>
  <si>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</si>
  <si>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</si>
  <si>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</si>
  <si>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</si>
  <si>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</si>
  <si>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</si>
  <si>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</si>
  <si>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</si>
  <si>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</si>
  <si>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</si>
  <si>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</si>
  <si>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</si>
  <si>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</si>
  <si>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</si>
  <si>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</si>
  <si>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</si>
  <si>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</si>
  <si>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</si>
  <si>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</si>
  <si>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</si>
  <si>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</si>
  <si>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</si>
  <si>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</si>
  <si>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</si>
  <si>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</si>
  <si>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</si>
  <si>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</si>
  <si>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</si>
  <si>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</si>
  <si>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</si>
  <si>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</si>
  <si>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</si>
  <si>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</si>
  <si>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</si>
  <si>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</si>
  <si>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</si>
  <si>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</si>
  <si>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</si>
  <si>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</si>
  <si>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</si>
  <si>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</si>
  <si>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</si>
  <si>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</si>
  <si>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</si>
  <si>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</si>
  <si>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</si>
  <si>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</si>
  <si>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</si>
  <si>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</si>
  <si>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</si>
  <si>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</si>
  <si>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</si>
  <si>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</si>
  <si>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</si>
  <si>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</si>
  <si>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</si>
  <si>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</si>
  <si>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</si>
  <si>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</si>
  <si>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</si>
  <si>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</si>
  <si>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</si>
  <si>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</si>
  <si>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</si>
  <si>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</si>
  <si>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</si>
  <si>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</si>
  <si>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</si>
  <si>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</si>
  <si>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</si>
  <si>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</si>
  <si>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</si>
  <si>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</si>
  <si>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</si>
  <si>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</si>
  <si>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</si>
  <si>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</si>
  <si>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</si>
  <si>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</si>
  <si>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</si>
  <si>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</si>
  <si>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</si>
  <si>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</si>
  <si>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</si>
  <si>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</si>
  <si>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</si>
  <si>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</si>
  <si>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</si>
  <si>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</si>
  <si>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</si>
  <si>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</si>
  <si>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</si>
  <si>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</si>
  <si>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</si>
  <si>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</si>
  <si>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</si>
  <si>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</si>
  <si>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</si>
  <si>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</si>
  <si>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</si>
  <si>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</si>
  <si>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</si>
  <si>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</si>
  <si>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</si>
  <si>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</si>
  <si>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</si>
  <si>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</si>
  <si>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</si>
  <si>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</si>
  <si>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</si>
  <si>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</si>
  <si>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</si>
  <si>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</si>
  <si>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</si>
  <si>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</si>
  <si>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</si>
  <si>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</si>
  <si>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</si>
  <si>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</si>
  <si>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</si>
  <si>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</si>
  <si>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</si>
  <si>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</si>
  <si>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</si>
  <si>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</si>
  <si>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</si>
  <si>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</si>
  <si>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</si>
  <si>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</si>
  <si>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</si>
  <si>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</si>
  <si>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</si>
  <si>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</si>
  <si>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</si>
  <si>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</si>
  <si>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</si>
  <si>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</si>
  <si>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</si>
  <si>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</si>
  <si>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</si>
  <si>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</si>
  <si>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</si>
  <si>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</si>
  <si>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</si>
  <si>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</si>
  <si>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</si>
  <si>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</si>
  <si>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</si>
  <si>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</si>
  <si>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</si>
  <si>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</si>
  <si>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</si>
  <si>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</si>
  <si>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</si>
  <si>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</si>
  <si>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</si>
  <si>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</si>
  <si>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</si>
  <si>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</si>
  <si>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</si>
  <si>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</si>
  <si>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</si>
  <si>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</si>
  <si>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</si>
  <si>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</si>
  <si>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</si>
  <si>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</si>
  <si>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</si>
  <si>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</si>
  <si>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</si>
  <si>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</si>
  <si>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</si>
  <si>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</si>
  <si>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</si>
  <si>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</si>
  <si>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</si>
  <si>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</si>
  <si>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</si>
  <si>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</si>
  <si>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</si>
  <si>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</si>
  <si>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</si>
  <si>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</si>
  <si>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</si>
  <si>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</si>
  <si>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</si>
  <si>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</si>
  <si>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</si>
  <si>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</si>
  <si>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</si>
  <si>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</si>
  <si>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</si>
  <si>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</si>
  <si>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</si>
  <si>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</si>
  <si>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</si>
  <si>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</si>
  <si>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</si>
  <si>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</si>
  <si>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</si>
  <si>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</si>
  <si>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</si>
  <si>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</si>
  <si>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</si>
  <si>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</si>
  <si>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</si>
  <si>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</si>
  <si>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</si>
  <si>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</si>
  <si>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</si>
  <si>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</si>
  <si>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</si>
  <si>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</si>
  <si>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</si>
  <si>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</si>
  <si>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</si>
  <si>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</si>
  <si>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</si>
  <si>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</si>
  <si>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</si>
  <si>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</si>
  <si>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</si>
  <si>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</si>
  <si>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</si>
  <si>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</si>
  <si>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</si>
  <si>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</si>
  <si>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</si>
  <si>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</si>
  <si>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</si>
  <si>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</si>
  <si>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</si>
  <si>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</si>
  <si>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</si>
  <si>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</si>
  <si>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</si>
  <si>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</si>
  <si>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</si>
  <si>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</si>
  <si>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</si>
  <si>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</si>
  <si>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</si>
  <si>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</si>
  <si>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</si>
  <si>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</si>
  <si>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</si>
  <si>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</si>
  <si>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</si>
  <si>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</si>
  <si>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</si>
  <si>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</si>
  <si>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</si>
  <si>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</si>
  <si>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</si>
  <si>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</si>
  <si>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</si>
  <si>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</si>
  <si>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</si>
  <si>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</si>
  <si>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</si>
  <si>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</si>
  <si>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</si>
  <si>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</si>
  <si>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</si>
  <si>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</si>
  <si>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</si>
  <si>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</si>
  <si>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</si>
  <si>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</si>
  <si>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</si>
  <si>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</si>
  <si>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</si>
  <si>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</si>
  <si>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</si>
  <si>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</si>
  <si>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</si>
  <si>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</si>
  <si>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</si>
  <si>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</si>
  <si>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</si>
  <si>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</si>
  <si>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</si>
  <si>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</si>
  <si>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</si>
  <si>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</si>
  <si>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</si>
  <si>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</si>
  <si>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</si>
  <si>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</si>
  <si>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</si>
  <si>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</si>
  <si>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</si>
  <si>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</si>
  <si>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</si>
  <si>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</si>
  <si>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</si>
  <si>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</si>
  <si>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</si>
  <si>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</si>
  <si>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</si>
  <si>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</si>
  <si>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</si>
  <si>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</si>
  <si>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</si>
  <si>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</si>
  <si>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</si>
  <si>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</si>
  <si>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</si>
  <si>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</si>
  <si>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</si>
  <si>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</si>
  <si>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</si>
  <si>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</si>
  <si>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</si>
  <si>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</si>
  <si>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</si>
  <si>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</si>
  <si>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</si>
  <si>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</si>
  <si>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</si>
  <si>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</si>
  <si>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</si>
  <si>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</si>
  <si>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</si>
  <si>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</si>
  <si>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</si>
  <si>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</si>
  <si>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</si>
  <si>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</si>
  <si>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</si>
  <si>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</si>
  <si>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</si>
  <si>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</si>
  <si>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</si>
  <si>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</si>
  <si>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</si>
  <si>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</si>
  <si>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</si>
  <si>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</si>
  <si>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</si>
  <si>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</si>
  <si>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</si>
  <si>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</si>
  <si>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</si>
  <si>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</si>
  <si>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</si>
  <si>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</si>
  <si>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</si>
  <si>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</si>
  <si>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</si>
  <si>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</si>
  <si>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</si>
  <si>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</si>
  <si>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</si>
  <si>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</si>
  <si>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</si>
  <si>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</si>
  <si>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</si>
  <si>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</si>
  <si>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</si>
  <si>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</si>
  <si>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</si>
  <si>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</si>
  <si>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</si>
  <si>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</si>
  <si>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</si>
  <si>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</si>
  <si>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</si>
  <si>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</si>
  <si>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</si>
  <si>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</si>
  <si>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</si>
  <si>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</si>
  <si>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</si>
  <si>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</si>
  <si>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</si>
  <si>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</si>
  <si>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</si>
  <si>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</si>
  <si>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</si>
  <si>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</si>
  <si>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</si>
  <si>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</si>
  <si>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</si>
  <si>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</si>
  <si>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</si>
  <si>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</si>
  <si>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</si>
  <si>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</si>
  <si>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</si>
  <si>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</si>
  <si>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</si>
  <si>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</si>
  <si>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</si>
  <si>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</si>
  <si>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</si>
  <si>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</si>
  <si>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</si>
  <si>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</si>
  <si>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</si>
  <si>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</si>
  <si>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</si>
  <si>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</si>
  <si>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</si>
  <si>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</si>
  <si>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</si>
  <si>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</si>
  <si>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</si>
  <si>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</si>
  <si>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</si>
  <si>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</si>
  <si>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</si>
  <si>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</si>
  <si>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</si>
  <si>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</si>
  <si>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</si>
  <si>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</si>
  <si>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</si>
  <si>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</si>
  <si>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</si>
  <si>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</si>
  <si>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</si>
  <si>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</si>
  <si>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</si>
  <si>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</si>
  <si>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</si>
  <si>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</si>
  <si>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</si>
  <si>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</si>
  <si>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</si>
  <si>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</si>
  <si>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</si>
  <si>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</si>
  <si>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</si>
  <si>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</si>
  <si>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</si>
  <si>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</si>
  <si>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</si>
  <si>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</si>
  <si>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</si>
  <si>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</si>
  <si>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</si>
  <si>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</si>
  <si>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</si>
  <si>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</si>
  <si>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</si>
  <si>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</si>
  <si>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</si>
  <si>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</si>
  <si>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</si>
  <si>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</si>
  <si>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</si>
  <si>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</si>
  <si>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</si>
  <si>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</si>
  <si>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</si>
  <si>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</si>
  <si>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</si>
  <si>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</si>
  <si>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</si>
  <si>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</si>
  <si>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</si>
  <si>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</si>
  <si>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</si>
  <si>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</si>
  <si>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</si>
  <si>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</si>
  <si>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</si>
  <si>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</si>
  <si>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</si>
  <si>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</si>
  <si>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</si>
  <si>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</si>
  <si>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</si>
  <si>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</si>
  <si>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</si>
  <si>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</si>
  <si>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</si>
  <si>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</si>
  <si>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</si>
  <si>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</si>
  <si>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</si>
  <si>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</si>
  <si>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</si>
  <si>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</si>
  <si>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</si>
  <si>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</si>
  <si>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</si>
  <si>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</si>
  <si>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</si>
  <si>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</si>
  <si>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</si>
  <si>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</si>
  <si>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</si>
  <si>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</si>
  <si>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</si>
  <si>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</si>
  <si>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</si>
  <si>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</si>
  <si>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</si>
  <si>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</si>
  <si>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</si>
  <si>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</si>
  <si>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</si>
  <si>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</si>
  <si>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</si>
  <si>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</si>
  <si>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</si>
  <si>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</si>
  <si>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</si>
  <si>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</si>
  <si>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</si>
  <si>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</si>
  <si>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</si>
  <si>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</si>
  <si>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</si>
  <si>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</si>
  <si>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</si>
  <si>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</si>
  <si>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</si>
  <si>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</si>
  <si>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</si>
  <si>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</si>
  <si>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</si>
  <si>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</si>
  <si>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</si>
  <si>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</si>
  <si>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</si>
  <si>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</si>
  <si>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</si>
  <si>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</si>
  <si>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</si>
  <si>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</si>
  <si>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</si>
  <si>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</si>
  <si>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</si>
  <si>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</si>
  <si>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</si>
  <si>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</si>
  <si>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</si>
  <si>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</si>
  <si>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</si>
  <si>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</si>
  <si>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</si>
  <si>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</si>
  <si>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</si>
  <si>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</si>
  <si>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</si>
  <si>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</si>
  <si>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</si>
  <si>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</si>
  <si>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</si>
  <si>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</si>
  <si>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</si>
  <si>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</si>
  <si>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</si>
  <si>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</si>
  <si>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</si>
  <si>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</si>
  <si>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</si>
  <si>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</si>
  <si>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</si>
  <si>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</si>
  <si>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</si>
  <si>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</si>
  <si>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</si>
  <si>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</si>
  <si>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</si>
  <si>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</si>
  <si>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</si>
  <si>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</si>
  <si>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</si>
  <si>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</si>
  <si>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</si>
  <si>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</si>
  <si>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</si>
  <si>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</si>
  <si>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</si>
  <si>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</si>
  <si>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</si>
  <si>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</si>
  <si>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</si>
  <si>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</si>
  <si>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</si>
  <si>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</si>
  <si>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</si>
  <si>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</si>
  <si>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</si>
  <si>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</si>
  <si>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</si>
  <si>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</si>
  <si>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</si>
  <si>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</si>
  <si>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</si>
  <si>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</si>
  <si>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</si>
  <si>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</si>
  <si>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</si>
  <si>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</si>
  <si>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</si>
  <si>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</si>
  <si>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</si>
  <si>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</si>
  <si>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</si>
  <si>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</si>
  <si>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</si>
  <si>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</si>
  <si>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</si>
  <si>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</si>
  <si>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</si>
  <si>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</si>
  <si>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</si>
  <si>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</si>
  <si>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</si>
  <si>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</si>
  <si>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</si>
  <si>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</si>
  <si>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</si>
  <si>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</si>
  <si>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</si>
  <si>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</si>
  <si>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</si>
  <si>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</si>
  <si>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</si>
  <si>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</si>
  <si>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</si>
  <si>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</si>
  <si>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</si>
  <si>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</si>
  <si>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</si>
  <si>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</si>
  <si>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</si>
  <si>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</si>
  <si>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</si>
  <si>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</si>
  <si>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</si>
  <si>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</si>
  <si>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</si>
  <si>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</si>
  <si>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</si>
  <si>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</si>
  <si>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</si>
  <si>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</si>
  <si>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</si>
  <si>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</si>
  <si>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</si>
  <si>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</si>
  <si>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</si>
  <si>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</si>
  <si>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</si>
  <si>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</si>
  <si>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</si>
  <si>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</si>
  <si>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</si>
  <si>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</si>
  <si>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</si>
  <si>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</si>
  <si>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</si>
  <si>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</si>
  <si>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</si>
  <si>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</si>
  <si>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</si>
  <si>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</si>
  <si>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</si>
  <si>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</si>
  <si>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</si>
  <si>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</si>
  <si>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</si>
  <si>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</si>
  <si>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</si>
  <si>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</si>
  <si>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</si>
  <si>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</si>
  <si>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</si>
  <si>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</si>
  <si>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</si>
  <si>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</si>
  <si>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</si>
  <si>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</si>
  <si>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</si>
  <si>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</si>
  <si>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</si>
  <si>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</si>
  <si>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</si>
  <si>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</si>
  <si>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</si>
  <si>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</si>
  <si>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</si>
  <si>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</si>
  <si>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</si>
  <si>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</si>
  <si>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</si>
  <si>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</si>
  <si>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</si>
  <si>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</si>
  <si>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</si>
  <si>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</si>
  <si>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</si>
  <si>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</si>
  <si>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</si>
  <si>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</si>
  <si>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</si>
  <si>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</si>
  <si>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</si>
  <si>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</si>
  <si>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</si>
  <si>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</si>
  <si>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</si>
  <si>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</si>
  <si>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</si>
  <si>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</si>
  <si>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</si>
  <si>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</si>
  <si>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</si>
  <si>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</si>
  <si>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</si>
  <si>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</si>
  <si>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</si>
  <si>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</si>
  <si>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</si>
  <si>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</si>
  <si>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</si>
  <si>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</si>
  <si>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</si>
  <si>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</si>
  <si>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</si>
  <si>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</si>
  <si>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</si>
  <si>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</si>
  <si>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</si>
  <si>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</si>
  <si>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</si>
  <si>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</si>
  <si>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</si>
  <si>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</si>
  <si>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</si>
  <si>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</si>
  <si>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</si>
  <si>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</si>
  <si>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</si>
  <si>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</si>
  <si>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</si>
  <si>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</si>
  <si>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</si>
  <si>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</si>
  <si>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</si>
  <si>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</si>
  <si>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</si>
  <si>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</si>
  <si>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</si>
  <si>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</si>
  <si>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</si>
  <si>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</si>
  <si>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</si>
  <si>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</si>
  <si>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</si>
  <si>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</si>
  <si>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</si>
  <si>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</si>
  <si>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</si>
  <si>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</si>
  <si>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</si>
  <si>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</si>
  <si>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</si>
  <si>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</si>
  <si>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</si>
  <si>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</si>
  <si>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</si>
  <si>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</si>
  <si>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</si>
  <si>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</si>
  <si>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</si>
  <si>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</si>
  <si>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</si>
  <si>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</si>
  <si>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</si>
  <si>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</si>
  <si>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</si>
  <si>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</si>
  <si>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</si>
  <si>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</si>
  <si>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</si>
  <si>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</si>
  <si>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</si>
  <si>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</si>
  <si>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</si>
  <si>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</si>
  <si>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</si>
  <si>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</si>
  <si>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</si>
  <si>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</si>
  <si>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</si>
  <si>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</si>
  <si>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</si>
  <si>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</si>
  <si>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</si>
  <si>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</si>
  <si>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</si>
  <si>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</si>
  <si>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</si>
  <si>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</si>
  <si>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</si>
  <si>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</si>
  <si>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</si>
  <si>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</si>
  <si>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</si>
  <si>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</si>
  <si>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</si>
  <si>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</si>
  <si>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</si>
  <si>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</si>
  <si>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</si>
  <si>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</si>
  <si>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</si>
  <si>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</si>
  <si>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</si>
  <si>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</si>
  <si>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</si>
  <si>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</si>
  <si>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</si>
  <si>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</si>
  <si>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</si>
  <si>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</si>
  <si>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</si>
  <si>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</si>
  <si>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</si>
  <si>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</si>
  <si>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</si>
  <si>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</si>
  <si>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</si>
  <si>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</si>
  <si>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</si>
  <si>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</si>
  <si>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</si>
  <si>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</si>
  <si>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</si>
  <si>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</si>
  <si>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</si>
  <si>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</si>
  <si>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</si>
  <si>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</si>
  <si>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</si>
  <si>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</si>
  <si>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</si>
  <si>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</si>
  <si>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</si>
  <si>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</si>
  <si>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</si>
  <si>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</si>
  <si>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</si>
  <si>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</si>
  <si>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</si>
  <si>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</si>
  <si>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</si>
  <si>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</si>
  <si>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</si>
  <si>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</si>
  <si>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</si>
  <si>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</si>
  <si>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</si>
  <si>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</si>
  <si>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</si>
  <si>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</si>
  <si>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</si>
  <si>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</si>
  <si>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</si>
  <si>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</si>
  <si>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</si>
  <si>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</si>
  <si>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</si>
  <si>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</si>
  <si>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</si>
  <si>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</si>
  <si>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</si>
  <si>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</si>
  <si>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</si>
  <si>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</si>
  <si>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</si>
  <si>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</si>
  <si>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</si>
  <si>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</si>
  <si>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</si>
  <si>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</si>
  <si>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</si>
  <si>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</si>
  <si>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</si>
  <si>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</si>
  <si>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</si>
  <si>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</si>
  <si>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</si>
  <si>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</si>
  <si>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</si>
  <si>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</si>
  <si>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</si>
  <si>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</si>
  <si>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</si>
  <si>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</si>
  <si>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</si>
  <si>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</si>
  <si>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</si>
  <si>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</si>
  <si>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</si>
  <si>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</si>
  <si>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</si>
  <si>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</si>
  <si>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</si>
  <si>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</si>
  <si>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</si>
  <si>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</si>
  <si>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</si>
  <si>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</si>
  <si>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</si>
  <si>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</si>
  <si>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</si>
  <si>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</si>
  <si>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</si>
  <si>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</si>
  <si>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</si>
  <si>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</si>
  <si>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</si>
  <si>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</si>
  <si>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</si>
  <si>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</si>
  <si>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</si>
  <si>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</si>
  <si>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</si>
  <si>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</si>
  <si>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</si>
  <si>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</si>
  <si>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</si>
  <si>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</si>
  <si>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</si>
  <si>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</si>
  <si>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</si>
  <si>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</si>
  <si>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</si>
  <si>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</si>
  <si>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</si>
  <si>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</si>
  <si>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</si>
  <si>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</si>
  <si>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</si>
  <si>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</si>
  <si>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</si>
  <si>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</si>
  <si>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</si>
  <si>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</si>
  <si>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</si>
  <si>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</si>
  <si>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</si>
  <si>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</si>
  <si>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</si>
  <si>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</si>
  <si>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</si>
  <si>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</si>
  <si>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</si>
  <si>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</si>
  <si>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</si>
  <si>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</si>
  <si>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</si>
  <si>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</si>
  <si>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</si>
  <si>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</si>
  <si>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</si>
  <si>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</si>
  <si>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</si>
  <si>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</si>
  <si>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</si>
  <si>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</si>
  <si>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</si>
  <si>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</si>
  <si>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</si>
  <si>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</si>
  <si>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</si>
  <si>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</si>
  <si>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</si>
  <si>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</si>
  <si>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</si>
  <si>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</si>
  <si>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</si>
  <si>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</si>
  <si>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</si>
  <si>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</si>
  <si>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</si>
  <si>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</si>
  <si>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</si>
  <si>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</si>
  <si>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</si>
  <si>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</si>
  <si>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</si>
  <si>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</si>
  <si>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</si>
  <si>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</si>
  <si>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</si>
  <si>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</si>
  <si>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</si>
  <si>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</si>
  <si>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</si>
  <si>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</si>
  <si>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</si>
  <si>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</si>
  <si>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</si>
  <si>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</si>
  <si>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</si>
  <si>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</si>
  <si>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</si>
  <si>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</si>
  <si>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</si>
  <si>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</si>
  <si>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</si>
  <si>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</si>
  <si>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</si>
  <si>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</si>
  <si>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</si>
  <si>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</si>
  <si>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</si>
  <si>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</si>
  <si>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</si>
  <si>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</si>
  <si>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</si>
  <si>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</si>
  <si>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</si>
  <si>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</si>
  <si>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</si>
  <si>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</si>
  <si>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</si>
  <si>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</si>
  <si>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</si>
  <si>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</si>
  <si>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</si>
  <si>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</si>
  <si>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</si>
  <si>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</si>
  <si>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</si>
  <si>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</si>
  <si>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</si>
  <si>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</si>
  <si>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</si>
  <si>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</si>
  <si>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</si>
  <si>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</si>
  <si>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</si>
  <si>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</si>
  <si>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</si>
  <si>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</si>
  <si>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</si>
  <si>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</si>
  <si>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</si>
  <si>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</si>
  <si>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</si>
  <si>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</si>
  <si>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</si>
  <si>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</si>
  <si>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</si>
  <si>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</si>
  <si>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</si>
  <si>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</si>
  <si>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</si>
  <si>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</si>
  <si>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</si>
  <si>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</si>
  <si>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</si>
  <si>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</si>
  <si>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</si>
  <si>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</si>
  <si>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</si>
  <si>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</si>
  <si>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</si>
  <si>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</si>
  <si>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</si>
  <si>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</si>
  <si>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</si>
  <si>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</si>
  <si>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</si>
  <si>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</si>
  <si>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</si>
  <si>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</si>
  <si>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</si>
  <si>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</si>
  <si>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</si>
  <si>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</si>
  <si>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</si>
  <si>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</si>
  <si>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</si>
  <si>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</si>
  <si>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</si>
  <si>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</si>
  <si>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</si>
  <si>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</si>
  <si>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</si>
  <si>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</si>
  <si>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</si>
  <si>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</si>
  <si>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</si>
  <si>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</si>
  <si>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</si>
  <si>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</si>
  <si>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</si>
  <si>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</si>
  <si>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</si>
  <si>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</si>
  <si>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</si>
  <si>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</si>
  <si>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</si>
  <si>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</si>
  <si>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</si>
  <si>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</si>
  <si>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</si>
  <si>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</si>
  <si>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</si>
  <si>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</si>
  <si>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</si>
  <si>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</si>
  <si>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</si>
  <si>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</si>
  <si>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</si>
  <si>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</si>
  <si>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</si>
  <si>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</si>
  <si>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</si>
  <si>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</si>
  <si>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</si>
  <si>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</si>
  <si>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</si>
  <si>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</si>
  <si>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</si>
  <si>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</si>
  <si>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</si>
  <si>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</si>
  <si>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</si>
  <si>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</si>
  <si>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</si>
  <si>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</si>
  <si>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</si>
  <si>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</si>
  <si>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</si>
  <si>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</si>
  <si>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</si>
  <si>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</si>
  <si>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</si>
  <si>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</si>
  <si>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</si>
  <si>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</si>
  <si>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</si>
  <si>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</si>
  <si>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</si>
  <si>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</si>
  <si>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</si>
  <si>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</si>
  <si>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</si>
  <si>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</si>
  <si>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</si>
  <si>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</si>
  <si>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</si>
  <si>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</si>
  <si>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</si>
  <si>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</si>
  <si>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</si>
  <si>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</si>
  <si>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</si>
  <si>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</si>
  <si>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</si>
  <si>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</si>
  <si>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</si>
  <si>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</si>
  <si>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</si>
  <si>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</si>
  <si>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</si>
  <si>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</si>
  <si>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</si>
  <si>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</si>
  <si>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</si>
  <si>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</si>
  <si>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</si>
  <si>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</si>
  <si>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</si>
  <si>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</si>
  <si>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</si>
  <si>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</si>
  <si>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</si>
  <si>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</si>
  <si>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</si>
  <si>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</si>
  <si>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</si>
  <si>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</si>
  <si>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</si>
  <si>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</si>
  <si>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</si>
  <si>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</si>
  <si>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</si>
  <si>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</si>
  <si>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</si>
  <si>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</si>
  <si>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</si>
  <si>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</si>
  <si>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</si>
  <si>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</si>
  <si>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</si>
  <si>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</si>
  <si>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</si>
  <si>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</si>
  <si>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</si>
  <si>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</si>
  <si>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</si>
  <si>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</si>
  <si>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</si>
  <si>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</si>
  <si>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</si>
  <si>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</si>
  <si>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</si>
  <si>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</si>
  <si>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</si>
  <si>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</si>
  <si>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</si>
  <si>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</si>
  <si>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</si>
  <si>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</si>
  <si>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</si>
  <si>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</si>
  <si>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</si>
  <si>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</si>
  <si>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</si>
  <si>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</si>
  <si>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</si>
  <si>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</si>
  <si>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</si>
  <si>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</si>
  <si>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</si>
  <si>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</si>
  <si>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</si>
  <si>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</si>
  <si>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</si>
  <si>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</si>
  <si>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</si>
  <si>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</si>
  <si>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</si>
  <si>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</si>
  <si>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</si>
  <si>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</si>
  <si>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</si>
  <si>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</si>
  <si>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</si>
  <si>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</si>
  <si>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</si>
  <si>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</si>
  <si>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</si>
  <si>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</si>
  <si>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</si>
  <si>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</si>
  <si>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</si>
  <si>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</si>
  <si>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</si>
  <si>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</si>
  <si>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</si>
  <si>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</si>
  <si>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</si>
  <si>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</si>
  <si>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</si>
  <si>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</si>
  <si>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</si>
  <si>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</si>
  <si>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</si>
  <si>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</si>
  <si>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</si>
  <si>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</si>
  <si>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</si>
  <si>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</si>
  <si>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</si>
  <si>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</si>
  <si>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</si>
  <si>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</si>
  <si>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</si>
  <si>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</si>
  <si>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</si>
  <si>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</si>
  <si>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</si>
  <si>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</si>
  <si>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</si>
  <si>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</si>
  <si>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</si>
  <si>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</si>
  <si>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</si>
  <si>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</si>
  <si>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</si>
  <si>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</si>
  <si>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</si>
  <si>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</si>
  <si>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</si>
  <si>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</si>
  <si>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</si>
  <si>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</si>
  <si>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</si>
  <si>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</si>
  <si>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</si>
  <si>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</si>
  <si>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</si>
  <si>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</si>
  <si>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</si>
  <si>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</si>
  <si>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</si>
  <si>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</si>
  <si>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</si>
  <si>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</si>
  <si>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</si>
  <si>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</si>
  <si>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</si>
  <si>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</si>
  <si>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</si>
  <si>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</si>
  <si>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</si>
  <si>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</si>
  <si>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</si>
  <si>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</si>
  <si>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</si>
  <si>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</si>
  <si>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</si>
  <si>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</si>
  <si>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</si>
  <si>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</si>
  <si>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</si>
  <si>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</si>
  <si>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</si>
  <si>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</si>
  <si>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</si>
  <si>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</si>
  <si>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</si>
  <si>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</si>
  <si>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</si>
  <si>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</si>
  <si>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</si>
  <si>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</si>
  <si>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</si>
  <si>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</si>
  <si>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</si>
  <si>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</si>
  <si>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</si>
  <si>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</si>
  <si>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</si>
  <si>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</si>
  <si>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</si>
  <si>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</si>
  <si>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</si>
  <si>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</si>
  <si>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</si>
  <si>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</si>
  <si>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</si>
  <si>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</si>
  <si>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</si>
  <si>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</si>
  <si>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</si>
  <si>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</si>
  <si>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</si>
  <si>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</si>
  <si>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</si>
  <si>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</si>
  <si>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</si>
  <si>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</si>
  <si>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</si>
  <si>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</si>
  <si>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</si>
  <si>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</si>
  <si>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</si>
  <si>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</si>
  <si>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</si>
  <si>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</si>
  <si>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</si>
  <si>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</si>
  <si>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</si>
  <si>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</si>
  <si>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</si>
  <si>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</si>
  <si>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</si>
  <si>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</si>
  <si>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</si>
  <si>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</si>
  <si>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</si>
  <si>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</si>
  <si>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</si>
  <si>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</si>
  <si>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</si>
  <si>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</si>
  <si>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</si>
  <si>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</si>
  <si>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</si>
  <si>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</si>
  <si>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</si>
  <si>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</si>
  <si>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</si>
  <si>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</si>
  <si>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</si>
  <si>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</si>
  <si>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</si>
  <si>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</si>
  <si>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</si>
  <si>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</si>
  <si>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</si>
  <si>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</si>
  <si>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</si>
  <si>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</si>
  <si>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</si>
  <si>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</si>
  <si>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</si>
  <si>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</si>
  <si>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</si>
  <si>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</si>
  <si>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</si>
  <si>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</si>
  <si>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</si>
  <si>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</si>
  <si>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</si>
  <si>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</si>
  <si>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</si>
  <si>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</si>
  <si>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</si>
  <si>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</si>
  <si>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</si>
  <si>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</si>
  <si>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</si>
  <si>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</si>
  <si>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</si>
  <si>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</si>
  <si>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</si>
  <si>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</si>
  <si>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</si>
  <si>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</si>
  <si>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</si>
  <si>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</si>
  <si>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</si>
  <si>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</si>
  <si>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</si>
  <si>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</si>
  <si>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</si>
  <si>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</si>
  <si>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</si>
  <si>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</si>
  <si>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</si>
  <si>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</si>
  <si>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</si>
  <si>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</si>
  <si>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</si>
  <si>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</si>
  <si>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</si>
  <si>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</si>
  <si>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</si>
  <si>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</si>
  <si>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</si>
  <si>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</si>
  <si>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</si>
  <si>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</si>
  <si>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</si>
  <si>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</si>
  <si>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</si>
  <si>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</si>
  <si>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</si>
  <si>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</si>
  <si>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</si>
  <si>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</si>
  <si>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</si>
  <si>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</si>
  <si>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</si>
  <si>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</si>
  <si>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</si>
  <si>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</si>
  <si>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</si>
  <si>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</si>
  <si>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</si>
  <si>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</si>
  <si>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</si>
  <si>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</si>
  <si>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</si>
  <si>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</si>
  <si>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</si>
  <si>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</si>
  <si>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</si>
  <si>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</si>
  <si>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</si>
  <si>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</si>
  <si>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</si>
  <si>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</si>
  <si>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</si>
  <si>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</si>
  <si>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</si>
  <si>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</si>
  <si>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</si>
  <si>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</si>
  <si>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</si>
  <si>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</si>
  <si>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</si>
  <si>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</si>
  <si>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</si>
  <si>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</si>
  <si>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</si>
  <si>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</si>
  <si>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</si>
  <si>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</si>
  <si>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</si>
  <si>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</si>
  <si>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</si>
  <si>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</si>
  <si>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</si>
  <si>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</si>
  <si>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</si>
  <si>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</si>
  <si>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</si>
  <si>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</si>
  <si>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</si>
  <si>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</si>
  <si>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</si>
  <si>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</si>
  <si>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</si>
  <si>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</si>
  <si>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</si>
  <si>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</si>
  <si>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</si>
  <si>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</si>
  <si>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</si>
  <si>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</si>
  <si>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</si>
  <si>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</si>
  <si>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</si>
  <si>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</si>
  <si>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</si>
  <si>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</si>
  <si>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</si>
  <si>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</si>
  <si>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</si>
  <si>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</si>
  <si>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</si>
  <si>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</si>
  <si>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</si>
  <si>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</si>
  <si>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</si>
  <si>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</si>
  <si>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</si>
  <si>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</si>
  <si>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</si>
  <si>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</si>
  <si>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</si>
  <si>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</si>
  <si>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</si>
  <si>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</si>
  <si>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</si>
  <si>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</si>
  <si>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</si>
  <si>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</si>
  <si>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</si>
  <si>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</si>
  <si>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</si>
  <si>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</si>
  <si>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</si>
  <si>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</si>
  <si>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</si>
  <si>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</si>
  <si>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</si>
  <si>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</si>
  <si>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</si>
  <si>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</si>
  <si>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</si>
  <si>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</si>
  <si>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</si>
  <si>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</si>
  <si>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</si>
  <si>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</si>
  <si>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</si>
  <si>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</si>
  <si>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</si>
  <si>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</si>
  <si>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</si>
  <si>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</si>
  <si>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</si>
  <si>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</si>
  <si>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</si>
  <si>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</si>
  <si>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</si>
  <si>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</si>
  <si>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</si>
  <si>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</si>
  <si>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</si>
  <si>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</si>
  <si>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</si>
  <si>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</si>
  <si>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</si>
  <si>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</si>
  <si>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</si>
  <si>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</si>
  <si>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</si>
  <si>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</si>
  <si>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</si>
  <si>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</si>
  <si>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</si>
  <si>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</si>
  <si>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</si>
  <si>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</si>
  <si>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</si>
  <si>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</si>
  <si>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</si>
  <si>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</si>
  <si>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</si>
  <si>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</si>
  <si>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</si>
  <si>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</si>
  <si>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</si>
  <si>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</si>
  <si>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</si>
  <si>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</si>
  <si>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</si>
  <si>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</si>
  <si>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</si>
  <si>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</si>
  <si>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</si>
  <si>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</si>
  <si>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</si>
  <si>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</si>
  <si>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</si>
  <si>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</si>
  <si>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</si>
  <si>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</si>
  <si>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</si>
  <si>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</si>
  <si>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</si>
  <si>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</si>
  <si>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</si>
  <si>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</si>
  <si>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</si>
  <si>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</si>
  <si>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</si>
  <si>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</si>
  <si>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</si>
  <si>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</si>
  <si>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</si>
  <si>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</si>
  <si>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</si>
  <si>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</si>
  <si>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</si>
  <si>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</si>
  <si>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</si>
  <si>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</si>
  <si>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</si>
  <si>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</si>
  <si>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</si>
  <si>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</si>
  <si>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</si>
  <si>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</si>
  <si>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</si>
  <si>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</si>
  <si>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</si>
  <si>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</si>
  <si>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</si>
  <si>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</si>
  <si>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</si>
  <si>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</si>
  <si>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</si>
  <si>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</si>
  <si>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</si>
  <si>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</si>
  <si>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</si>
  <si>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</si>
  <si>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</si>
  <si>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</si>
  <si>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</si>
  <si>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</si>
  <si>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</si>
  <si>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</si>
  <si>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</si>
  <si>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</si>
  <si>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</si>
  <si>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</si>
  <si>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</si>
  <si>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</si>
  <si>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</si>
  <si>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</si>
  <si>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</si>
  <si>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</si>
  <si>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</si>
  <si>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</si>
  <si>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</si>
  <si>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</si>
  <si>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</si>
  <si>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</si>
  <si>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</si>
  <si>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</si>
  <si>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</si>
  <si>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</si>
  <si>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</si>
  <si>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</si>
  <si>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</si>
  <si>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</si>
  <si>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</si>
  <si>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</si>
  <si>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</si>
  <si>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</si>
  <si>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</si>
  <si>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</si>
  <si>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</si>
  <si>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</si>
  <si>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</si>
  <si>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</si>
  <si>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</si>
  <si>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</si>
  <si>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</si>
  <si>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</si>
  <si>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</si>
  <si>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</si>
  <si>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</si>
  <si>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</si>
  <si>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</si>
  <si>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</si>
  <si>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</si>
  <si>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</si>
  <si>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</si>
  <si>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</si>
  <si>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</si>
  <si>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</si>
  <si>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</si>
  <si>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</si>
  <si>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</si>
  <si>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</si>
  <si>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</si>
  <si>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</si>
  <si>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</si>
  <si>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</si>
  <si>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</si>
  <si>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</si>
  <si>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</si>
  <si>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</si>
  <si>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</si>
  <si>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</si>
  <si>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</si>
  <si>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</si>
  <si>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</si>
  <si>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</si>
  <si>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</si>
  <si>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</si>
  <si>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</si>
  <si>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</si>
  <si>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</si>
  <si>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</si>
  <si>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</si>
  <si>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</si>
  <si>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</si>
  <si>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</si>
  <si>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</si>
  <si>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</si>
  <si>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</si>
  <si>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</si>
  <si>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</si>
  <si>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</si>
  <si>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</si>
  <si>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</si>
  <si>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</si>
  <si>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</si>
  <si>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</si>
  <si>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</si>
  <si>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</si>
  <si>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</si>
  <si>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</si>
  <si>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</si>
  <si>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</si>
  <si>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</si>
  <si>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</si>
  <si>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</si>
  <si>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</si>
  <si>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</si>
  <si>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</si>
  <si>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</si>
  <si>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</si>
  <si>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</si>
  <si>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</si>
  <si>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</si>
  <si>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</si>
  <si>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</si>
  <si>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</si>
  <si>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</si>
  <si>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</si>
  <si>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</si>
  <si>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</si>
  <si>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</si>
  <si>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</si>
  <si>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</si>
  <si>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</si>
  <si>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</si>
  <si>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</si>
  <si>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</si>
  <si>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</si>
  <si>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</si>
  <si>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</si>
  <si>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</si>
  <si>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</si>
  <si>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</si>
  <si>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</si>
  <si>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</si>
  <si>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</si>
  <si>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</si>
  <si>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</si>
  <si>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</si>
  <si>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</si>
  <si>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</si>
  <si>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</si>
  <si>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</si>
  <si>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</si>
  <si>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</si>
  <si>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</si>
  <si>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</si>
  <si>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</si>
  <si>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</si>
  <si>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</si>
  <si>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</si>
  <si>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</si>
  <si>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</si>
  <si>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</si>
  <si>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</si>
  <si>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</si>
  <si>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</si>
  <si>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</si>
  <si>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</si>
  <si>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</si>
  <si>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</si>
  <si>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</si>
  <si>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</si>
  <si>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</si>
  <si>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</si>
  <si>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</si>
  <si>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</si>
  <si>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</si>
  <si>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</si>
  <si>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</si>
  <si>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</si>
  <si>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</si>
  <si>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</si>
  <si>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</si>
  <si>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</si>
  <si>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</si>
  <si>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</si>
  <si>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</si>
  <si>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</si>
  <si>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</si>
  <si>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</si>
  <si>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</si>
  <si>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</si>
  <si>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</si>
  <si>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</si>
  <si>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</si>
  <si>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</si>
  <si>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</si>
  <si>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</si>
  <si>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</si>
  <si>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</si>
  <si>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</si>
  <si>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</si>
  <si>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</si>
  <si>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</si>
  <si>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</si>
  <si>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</si>
  <si>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</si>
  <si>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</si>
  <si>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</si>
  <si>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</si>
  <si>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</si>
  <si>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</si>
  <si>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</si>
  <si>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</si>
  <si>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</si>
  <si>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</si>
  <si>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</si>
  <si>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</si>
  <si>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</si>
  <si>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</si>
  <si>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</si>
  <si>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</si>
  <si>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</si>
  <si>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</si>
  <si>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</si>
  <si>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</si>
  <si>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</si>
  <si>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</si>
  <si>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</si>
  <si>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</si>
  <si>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</si>
  <si>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</si>
  <si>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</si>
  <si>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</si>
  <si>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</si>
  <si>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</si>
  <si>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</si>
  <si>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</si>
  <si>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</si>
  <si>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</si>
  <si>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</si>
  <si>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</si>
  <si>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</si>
  <si>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</si>
  <si>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</si>
  <si>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</si>
  <si>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</si>
  <si>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</si>
  <si>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</si>
  <si>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</si>
  <si>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</si>
  <si>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</si>
  <si>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</si>
  <si>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</si>
  <si>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</si>
  <si>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</si>
  <si>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</si>
  <si>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</si>
  <si>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</si>
  <si>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</si>
  <si>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</si>
  <si>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</si>
  <si>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</si>
  <si>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</si>
  <si>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</si>
  <si>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</si>
  <si>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</si>
  <si>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</si>
  <si>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</si>
  <si>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</si>
  <si>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</si>
  <si>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</si>
  <si>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</si>
  <si>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</si>
  <si>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</si>
  <si>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</si>
  <si>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</si>
  <si>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</si>
  <si>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</si>
  <si>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</si>
  <si>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</si>
  <si>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</si>
  <si>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</si>
  <si>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</si>
  <si>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</si>
  <si>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</si>
  <si>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</si>
  <si>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</si>
  <si>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</si>
  <si>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</si>
  <si>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</si>
  <si>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</si>
  <si>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</si>
  <si>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</si>
  <si>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</si>
  <si>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</si>
  <si>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</si>
  <si>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</si>
  <si>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</si>
  <si>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</si>
  <si>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</si>
  <si>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</si>
  <si>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</si>
  <si>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</si>
  <si>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</si>
  <si>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</si>
  <si>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</si>
  <si>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</si>
  <si>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</si>
  <si>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</si>
  <si>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</si>
  <si>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</si>
  <si>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</si>
  <si>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</si>
  <si>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</si>
  <si>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</si>
  <si>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</si>
  <si>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</si>
  <si>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</si>
  <si>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</si>
  <si>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</si>
  <si>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</si>
  <si>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</si>
  <si>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</si>
  <si>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</si>
  <si>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</si>
  <si>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</si>
  <si>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</si>
  <si>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</si>
  <si>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</si>
  <si>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</si>
  <si>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</si>
  <si>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</si>
  <si>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</si>
  <si>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</si>
  <si>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</si>
  <si>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</si>
  <si>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</si>
  <si>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</si>
  <si>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</si>
  <si>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</si>
  <si>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</si>
  <si>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</si>
  <si>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</si>
  <si>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</si>
  <si>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</si>
  <si>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</si>
  <si>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</si>
  <si>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</si>
  <si>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</si>
  <si>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</si>
  <si>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</si>
  <si>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</si>
  <si>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</si>
  <si>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</si>
  <si>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</si>
  <si>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</si>
  <si>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</si>
  <si>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</si>
  <si>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</si>
  <si>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</si>
  <si>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</si>
  <si>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</si>
  <si>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</si>
  <si>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</si>
  <si>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</si>
  <si>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</si>
  <si>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</si>
  <si>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</si>
  <si>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</si>
  <si>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</si>
  <si>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</si>
  <si>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</si>
  <si>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</si>
  <si>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</si>
  <si>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</si>
  <si>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</si>
  <si>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</si>
  <si>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</si>
  <si>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</si>
  <si>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</si>
  <si>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</si>
  <si>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</si>
  <si>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</si>
  <si>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</si>
  <si>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</si>
  <si>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</si>
  <si>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</si>
  <si>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</si>
  <si>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</si>
  <si>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</si>
  <si>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</si>
  <si>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</si>
  <si>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</si>
  <si>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</si>
  <si>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</si>
  <si>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</si>
  <si>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</si>
  <si>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</si>
  <si>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</si>
  <si>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</si>
  <si>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</si>
  <si>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</si>
  <si>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</si>
  <si>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</si>
  <si>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</si>
  <si>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</si>
  <si>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</si>
  <si>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</si>
  <si>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</si>
  <si>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</si>
  <si>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</si>
  <si>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</si>
  <si>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</si>
  <si>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</si>
  <si>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</si>
  <si>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</si>
  <si>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</si>
  <si>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</si>
  <si>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</si>
  <si>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</si>
  <si>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</si>
  <si>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</si>
  <si>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</si>
  <si>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</si>
  <si>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</si>
  <si>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</si>
  <si>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</si>
  <si>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</si>
  <si>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</si>
  <si>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</si>
  <si>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</si>
  <si>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</si>
  <si>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</si>
  <si>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</si>
  <si>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</si>
  <si>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</si>
  <si>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</si>
  <si>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</si>
  <si>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</si>
  <si>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</si>
  <si>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</si>
  <si>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</si>
  <si>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</si>
  <si>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</si>
  <si>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</si>
  <si>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</si>
  <si>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</si>
  <si>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</si>
  <si>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</si>
  <si>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</si>
  <si>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</si>
  <si>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</si>
  <si>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</si>
  <si>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</si>
  <si>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</si>
  <si>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</si>
  <si>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</si>
  <si>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</si>
  <si>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</si>
  <si>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</si>
  <si>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</si>
  <si>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</si>
  <si>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</si>
  <si>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</si>
  <si>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</si>
  <si>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</si>
  <si>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</si>
  <si>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</si>
  <si>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</si>
  <si>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</si>
  <si>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</si>
  <si>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</si>
  <si>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</si>
  <si>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</si>
  <si>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</si>
  <si>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</si>
  <si>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</si>
  <si>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</si>
  <si>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</si>
  <si>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</si>
  <si>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</si>
  <si>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</si>
  <si>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</si>
  <si>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</si>
  <si>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</si>
  <si>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</si>
  <si>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</si>
  <si>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</si>
  <si>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</si>
  <si>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</si>
  <si>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</si>
  <si>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</si>
  <si>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</si>
  <si>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</si>
  <si>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</si>
  <si>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</si>
  <si>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</si>
  <si>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</si>
  <si>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</si>
  <si>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</si>
  <si>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</si>
  <si>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</si>
  <si>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</si>
  <si>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</si>
  <si>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</si>
  <si>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</si>
  <si>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</si>
  <si>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</si>
  <si>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</si>
  <si>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</si>
  <si>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</si>
  <si>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</si>
  <si>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</si>
  <si>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</si>
  <si>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</si>
  <si>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</si>
  <si>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</si>
  <si>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</si>
  <si>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</si>
  <si>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</si>
  <si>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</si>
  <si>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</si>
  <si>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</si>
  <si>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</si>
  <si>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</si>
  <si>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</si>
  <si>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</si>
  <si>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</si>
  <si>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</si>
  <si>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</si>
  <si>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</si>
  <si>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</si>
  <si>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</si>
  <si>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</si>
  <si>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</si>
  <si>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</si>
  <si>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</si>
  <si>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</si>
  <si>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</si>
  <si>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</si>
  <si>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</si>
  <si>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</si>
  <si>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</si>
  <si>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</si>
  <si>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</si>
  <si>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</si>
  <si>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</si>
  <si>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</si>
  <si>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</si>
  <si>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</si>
  <si>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</si>
  <si>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</si>
  <si>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</si>
  <si>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</si>
  <si>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</si>
  <si>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</si>
  <si>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</si>
  <si>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</si>
  <si>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</si>
  <si>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</si>
  <si>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</si>
  <si>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</si>
  <si>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</si>
  <si>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</si>
  <si>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</si>
  <si>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</si>
  <si>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</si>
  <si>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</si>
  <si>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</si>
  <si>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</si>
  <si>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</si>
  <si>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</si>
  <si>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</si>
  <si>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</si>
  <si>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</si>
  <si>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</si>
  <si>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</si>
  <si>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</si>
  <si>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</si>
  <si>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</si>
  <si>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</si>
  <si>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</si>
  <si>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</si>
  <si>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</si>
  <si>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</si>
  <si>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</si>
  <si>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</si>
  <si>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</si>
  <si>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</si>
  <si>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</si>
  <si>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</si>
  <si>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</si>
  <si>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</si>
  <si>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</si>
  <si>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</si>
  <si>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</si>
  <si>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</si>
  <si>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</si>
  <si>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</si>
  <si>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</si>
  <si>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</si>
  <si>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</si>
  <si>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</si>
  <si>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</si>
  <si>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</si>
  <si>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</si>
  <si>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</si>
  <si>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</si>
  <si>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</si>
  <si>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</si>
  <si>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</si>
  <si>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</si>
  <si>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</si>
  <si>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</si>
  <si>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</si>
  <si>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</si>
  <si>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</si>
  <si>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</si>
  <si>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</si>
  <si>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</si>
  <si>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</si>
  <si>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</si>
  <si>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</si>
  <si>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</si>
  <si>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</si>
  <si>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</si>
  <si>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</si>
  <si>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</si>
  <si>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</si>
  <si>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</si>
  <si>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</si>
  <si>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</si>
  <si>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</si>
  <si>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</si>
  <si>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</si>
  <si>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</si>
  <si>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</si>
  <si>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</si>
  <si>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</si>
  <si>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</si>
  <si>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</si>
  <si>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</si>
  <si>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</si>
  <si>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</si>
  <si>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</si>
  <si>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</si>
  <si>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</si>
  <si>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</si>
  <si>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</si>
  <si>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</si>
  <si>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</si>
  <si>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</si>
  <si>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</si>
  <si>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</si>
  <si>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</si>
  <si>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</si>
  <si>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</si>
  <si>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</si>
  <si>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</si>
  <si>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</si>
  <si>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</si>
  <si>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</si>
  <si>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</si>
  <si>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</si>
  <si>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</si>
  <si>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</si>
  <si>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</si>
  <si>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</si>
  <si>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</si>
  <si>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</si>
  <si>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</si>
  <si>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</si>
  <si>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</si>
  <si>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</si>
  <si>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</si>
  <si>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</si>
  <si>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</si>
  <si>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</si>
  <si>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</si>
  <si>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</si>
  <si>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</si>
  <si>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</si>
  <si>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</si>
  <si>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</si>
  <si>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</si>
  <si>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</si>
  <si>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</si>
  <si>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</si>
  <si>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</si>
  <si>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</si>
  <si>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</si>
  <si>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</si>
  <si>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</si>
  <si>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</si>
  <si>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</si>
  <si>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</si>
  <si>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</si>
  <si>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</si>
  <si>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</si>
  <si>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</si>
  <si>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</si>
  <si>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</si>
  <si>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</si>
  <si>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</si>
  <si>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</si>
  <si>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</si>
  <si>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</si>
  <si>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</si>
  <si>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</si>
  <si>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</si>
  <si>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</si>
  <si>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</si>
  <si>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</si>
  <si>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</si>
  <si>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</si>
  <si>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</si>
  <si>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</si>
  <si>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</si>
  <si>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</si>
  <si>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</si>
  <si>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</si>
  <si>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</si>
  <si>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</si>
  <si>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</si>
  <si>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</si>
  <si>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</si>
  <si>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</si>
  <si>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</si>
  <si>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</si>
  <si>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</si>
  <si>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</si>
  <si>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</si>
  <si>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</si>
  <si>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</si>
  <si>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</si>
  <si>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</si>
  <si>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</si>
  <si>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</si>
  <si>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</si>
  <si>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</si>
  <si>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</si>
  <si>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</si>
  <si>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</si>
  <si>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</si>
  <si>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</si>
  <si>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</si>
  <si>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</si>
  <si>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</si>
  <si>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</si>
  <si>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</si>
  <si>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</si>
  <si>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</si>
  <si>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</si>
  <si>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</si>
  <si>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</si>
  <si>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</si>
  <si>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</si>
  <si>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</si>
  <si>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</si>
  <si>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</si>
  <si>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</si>
  <si>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</si>
  <si>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</si>
  <si>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</si>
  <si>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</si>
  <si>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</si>
  <si>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</si>
  <si>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</si>
  <si>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</si>
  <si>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</si>
  <si>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</si>
  <si>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</si>
  <si>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</si>
  <si>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</si>
  <si>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</si>
  <si>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</si>
  <si>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</si>
  <si>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</si>
  <si>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</si>
  <si>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</si>
  <si>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</si>
  <si>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</si>
  <si>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</si>
  <si>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</si>
  <si>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</si>
  <si>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</si>
  <si>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</si>
  <si>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</si>
  <si>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</si>
  <si>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</si>
  <si>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</si>
  <si>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</si>
  <si>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</si>
  <si>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</si>
  <si>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</si>
  <si>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</si>
  <si>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</si>
  <si>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</si>
  <si>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</si>
  <si>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</si>
  <si>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</si>
  <si>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</si>
  <si>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</si>
  <si>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</si>
  <si>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</si>
  <si>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</si>
  <si>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</si>
  <si>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</si>
  <si>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</si>
  <si>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</si>
  <si>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</si>
  <si>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</si>
  <si>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</si>
  <si>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</si>
  <si>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</si>
  <si>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</si>
  <si>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</si>
  <si>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</si>
  <si>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</si>
  <si>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</si>
  <si>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</si>
  <si>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</si>
  <si>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</si>
  <si>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</si>
  <si>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</si>
  <si>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</si>
  <si>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</si>
  <si>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</si>
  <si>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</si>
  <si>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</si>
  <si>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</si>
  <si>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</si>
  <si>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</si>
  <si>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</si>
  <si>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</si>
  <si>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</si>
  <si>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</si>
  <si>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</si>
  <si>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</si>
  <si>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</si>
  <si>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</si>
  <si>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</si>
  <si>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</si>
  <si>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</si>
  <si>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</si>
  <si>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</si>
  <si>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</si>
  <si>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</si>
  <si>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</si>
  <si>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</si>
  <si>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</si>
  <si>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</si>
  <si>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</si>
  <si>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</si>
  <si>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</si>
  <si>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</si>
  <si>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</si>
  <si>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</si>
  <si>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</si>
  <si>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</si>
  <si>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</si>
  <si>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</si>
  <si>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</si>
  <si>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</si>
  <si>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</si>
  <si>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</si>
  <si>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</si>
  <si>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</si>
  <si>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</si>
  <si>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</si>
  <si>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</si>
  <si>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</si>
  <si>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</si>
  <si>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</si>
  <si>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</si>
  <si>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</si>
  <si>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</si>
  <si>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</si>
  <si>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</si>
  <si>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</si>
  <si>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</si>
  <si>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</si>
  <si>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</si>
  <si>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</si>
  <si>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</si>
  <si>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</si>
  <si>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</si>
  <si>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</si>
  <si>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</si>
  <si>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</si>
  <si>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</si>
  <si>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</si>
  <si>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</si>
  <si>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</si>
  <si>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</si>
  <si>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</si>
  <si>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</si>
  <si>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</si>
  <si>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</si>
  <si>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</si>
  <si>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</si>
  <si>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</si>
  <si>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</si>
  <si>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</si>
  <si>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</si>
  <si>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</si>
  <si>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</si>
  <si>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</si>
  <si>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</si>
  <si>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</si>
  <si>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</si>
  <si>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</si>
  <si>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</si>
  <si>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</si>
  <si>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</si>
  <si>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</si>
  <si>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</si>
  <si>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</si>
  <si>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</si>
  <si>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</si>
  <si>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</si>
  <si>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</si>
  <si>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</si>
  <si>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</si>
  <si>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</si>
  <si>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</si>
  <si>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</si>
  <si>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</si>
  <si>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</si>
  <si>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</si>
  <si>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</si>
  <si>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</si>
  <si>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</si>
  <si>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</si>
  <si>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</si>
  <si>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</si>
  <si>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</si>
  <si>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</si>
  <si>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</si>
  <si>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</si>
  <si>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</si>
  <si>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</si>
  <si>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</si>
  <si>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</si>
  <si>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</si>
  <si>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</si>
  <si>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</si>
  <si>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</si>
  <si>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</si>
  <si>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</si>
  <si>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</si>
  <si>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</si>
  <si>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</si>
  <si>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</si>
  <si>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</si>
  <si>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</si>
  <si>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</si>
  <si>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</si>
  <si>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</si>
  <si>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</si>
  <si>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</si>
  <si>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</si>
  <si>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</si>
  <si>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</si>
  <si>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</si>
  <si>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</si>
  <si>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</si>
  <si>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</si>
  <si>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</si>
  <si>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</si>
  <si>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</si>
  <si>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</si>
  <si>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</si>
  <si>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</si>
  <si>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</si>
  <si>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</si>
  <si>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</si>
  <si>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</si>
  <si>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</si>
  <si>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</si>
  <si>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</si>
  <si>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</si>
  <si>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</si>
  <si>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</si>
  <si>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</si>
  <si>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</si>
  <si>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</si>
  <si>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</si>
  <si>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</si>
  <si>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</si>
  <si>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</si>
  <si>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</si>
  <si>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</si>
  <si>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</si>
  <si>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</si>
  <si>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</si>
  <si>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</si>
  <si>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</si>
  <si>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</si>
  <si>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</si>
  <si>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</si>
  <si>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</si>
  <si>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</si>
  <si>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</si>
  <si>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</si>
  <si>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</si>
  <si>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</si>
  <si>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</si>
  <si>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</si>
  <si>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</si>
  <si>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</si>
  <si>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</si>
  <si>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</si>
  <si>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</si>
  <si>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</si>
  <si>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</si>
  <si>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</si>
  <si>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</si>
  <si>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</si>
  <si>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</si>
  <si>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</si>
  <si>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</si>
  <si>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</si>
  <si>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</si>
  <si>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</si>
  <si>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</si>
  <si>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</si>
  <si>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</si>
  <si>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</si>
  <si>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</si>
  <si>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</si>
  <si>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</si>
  <si>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</si>
  <si>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</si>
  <si>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</si>
  <si>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</si>
  <si>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</si>
  <si>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</si>
  <si>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</si>
  <si>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</si>
  <si>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</si>
  <si>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</si>
  <si>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</si>
  <si>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</si>
  <si>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</si>
  <si>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</si>
  <si>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</si>
  <si>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</si>
  <si>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</si>
  <si>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</si>
  <si>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</si>
  <si>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</si>
  <si>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</si>
  <si>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</si>
  <si>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</si>
  <si>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</si>
  <si>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</si>
  <si>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</si>
  <si>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</si>
  <si>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</si>
  <si>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</si>
  <si>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</si>
  <si>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</si>
  <si>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</si>
  <si>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</si>
  <si>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</si>
  <si>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</si>
  <si>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</si>
  <si>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</si>
  <si>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</si>
  <si>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</si>
  <si>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</si>
  <si>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</si>
  <si>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</si>
  <si>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</si>
  <si>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</si>
  <si>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</si>
  <si>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</si>
  <si>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</si>
  <si>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663号</t>
    <phoneticPr fontId="3" type="noConversion"/>
  </si>
  <si>
    <t>办公</t>
    <phoneticPr fontId="3" type="noConversion"/>
  </si>
  <si>
    <t>面积合计</t>
    <phoneticPr fontId="3" type="noConversion"/>
  </si>
  <si>
    <t>静安区昌平路535-549号、西康路661、665号商铺列表</t>
    <phoneticPr fontId="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</si>
  <si>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</si>
  <si>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</si>
  <si>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</si>
  <si>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</si>
  <si>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</si>
  <si>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3幢535号</t>
    <phoneticPr fontId="3" type="noConversion"/>
  </si>
  <si>
    <t>1-2层</t>
    <phoneticPr fontId="3" type="noConversion"/>
  </si>
  <si>
    <t>店铺</t>
    <phoneticPr fontId="3" type="noConversion"/>
  </si>
  <si>
    <t>3幢537号</t>
    <phoneticPr fontId="3" type="noConversion"/>
  </si>
  <si>
    <t>3幢539号</t>
    <phoneticPr fontId="3" type="noConversion"/>
  </si>
  <si>
    <t>3幢541号</t>
    <phoneticPr fontId="3" type="noConversion"/>
  </si>
  <si>
    <t>3幢543号</t>
    <phoneticPr fontId="3" type="noConversion"/>
  </si>
  <si>
    <t>3幢545号</t>
    <phoneticPr fontId="3" type="noConversion"/>
  </si>
  <si>
    <t>3幢547号</t>
    <phoneticPr fontId="3" type="noConversion"/>
  </si>
  <si>
    <t>3幢549号</t>
    <phoneticPr fontId="3" type="noConversion"/>
  </si>
  <si>
    <t>3幢661号</t>
    <phoneticPr fontId="3" type="noConversion"/>
  </si>
  <si>
    <t>3幢665号</t>
    <phoneticPr fontId="3" type="noConversion"/>
  </si>
  <si>
    <t>面积合计</t>
    <phoneticPr fontId="3" type="noConversion"/>
  </si>
  <si>
    <t>抵押</t>
  </si>
  <si>
    <t>房地产抵押价值</t>
  </si>
  <si>
    <t>地上</t>
  </si>
  <si>
    <t>是</t>
  </si>
  <si>
    <t>办公</t>
    <phoneticPr fontId="7" type="noConversion"/>
  </si>
  <si>
    <t>商业</t>
    <phoneticPr fontId="7" type="noConversion"/>
  </si>
  <si>
    <t>比较法-商业</t>
  </si>
  <si>
    <t>成新度</t>
  </si>
  <si>
    <t>Room number</t>
  </si>
  <si>
    <t>Rental</t>
  </si>
  <si>
    <t>C/I date</t>
  </si>
  <si>
    <t>C/O Date</t>
  </si>
  <si>
    <t>面积</t>
    <phoneticPr fontId="143" type="noConversion"/>
  </si>
  <si>
    <t>售价</t>
  </si>
  <si>
    <t>正常</t>
  </si>
  <si>
    <t>君御豪庭663号可销售房源列表</t>
    <phoneticPr fontId="3" type="noConversion"/>
  </si>
  <si>
    <t>君御豪庭</t>
    <phoneticPr fontId="3" type="noConversion"/>
  </si>
  <si>
    <t>钢混</t>
  </si>
  <si>
    <t>非生产用房</t>
  </si>
  <si>
    <t>否</t>
  </si>
  <si>
    <t>类型</t>
    <phoneticPr fontId="3" type="noConversion"/>
  </si>
  <si>
    <r>
      <t>1</t>
    </r>
    <r>
      <rPr>
        <sz val="10"/>
        <color indexed="8"/>
        <rFont val="宋体"/>
        <family val="3"/>
        <charset val="134"/>
      </rPr>
      <t>层</t>
    </r>
    <phoneticPr fontId="143" type="noConversion"/>
  </si>
  <si>
    <r>
      <t>1</t>
    </r>
    <r>
      <rPr>
        <sz val="10"/>
        <color indexed="8"/>
        <rFont val="宋体"/>
        <family val="3"/>
        <charset val="134"/>
      </rPr>
      <t>托2</t>
    </r>
    <phoneticPr fontId="143" type="noConversion"/>
  </si>
  <si>
    <r>
      <t>1-2</t>
    </r>
    <r>
      <rPr>
        <sz val="10"/>
        <color indexed="8"/>
        <rFont val="宋体"/>
        <family val="3"/>
        <charset val="134"/>
      </rPr>
      <t>层</t>
    </r>
    <phoneticPr fontId="143" type="noConversion"/>
  </si>
  <si>
    <t>1-2层</t>
  </si>
  <si>
    <t>平层</t>
    <phoneticPr fontId="143" type="noConversion"/>
  </si>
  <si>
    <t>办公</t>
    <phoneticPr fontId="3" type="noConversion"/>
  </si>
  <si>
    <t>商业</t>
    <phoneticPr fontId="3" type="noConversion"/>
  </si>
  <si>
    <r>
      <t>4-5</t>
    </r>
    <r>
      <rPr>
        <sz val="10"/>
        <color indexed="8"/>
        <rFont val="宋体"/>
        <family val="3"/>
        <charset val="134"/>
      </rPr>
      <t>元</t>
    </r>
    <phoneticPr fontId="3" type="noConversion"/>
  </si>
  <si>
    <t>按租金收入计税</t>
  </si>
  <si>
    <t>押一</t>
  </si>
  <si>
    <t>划拨</t>
  </si>
  <si>
    <t>公寓</t>
    <phoneticPr fontId="3" type="noConversion"/>
  </si>
  <si>
    <t>租金</t>
    <phoneticPr fontId="3" type="noConversion"/>
  </si>
  <si>
    <t>现房</t>
  </si>
  <si>
    <t>新会路139号</t>
    <phoneticPr fontId="3" type="noConversion"/>
  </si>
  <si>
    <t>陕西北路1103号</t>
    <phoneticPr fontId="3" type="noConversion"/>
  </si>
  <si>
    <t>金昌大厦</t>
    <phoneticPr fontId="3" type="noConversion"/>
  </si>
  <si>
    <t>较大</t>
    <phoneticPr fontId="31" type="noConversion"/>
  </si>
  <si>
    <t>30-40（含）</t>
  </si>
  <si>
    <t>较好</t>
  </si>
  <si>
    <t>七通</t>
  </si>
  <si>
    <t>钢混</t>
    <phoneticPr fontId="31" type="noConversion"/>
  </si>
  <si>
    <t>精装</t>
  </si>
  <si>
    <t>精装</t>
    <phoneticPr fontId="31" type="noConversion"/>
  </si>
  <si>
    <t>七通</t>
    <phoneticPr fontId="31" type="noConversion"/>
  </si>
  <si>
    <r>
      <t>1</t>
    </r>
    <r>
      <rPr>
        <sz val="11"/>
        <color indexed="8"/>
        <rFont val="宋体"/>
        <family val="3"/>
        <charset val="134"/>
      </rPr>
      <t>层</t>
    </r>
    <phoneticPr fontId="31" type="noConversion"/>
  </si>
  <si>
    <r>
      <t>1</t>
    </r>
    <r>
      <rPr>
        <sz val="11"/>
        <color indexed="8"/>
        <rFont val="宋体"/>
        <family val="3"/>
        <charset val="134"/>
      </rPr>
      <t>拖</t>
    </r>
    <r>
      <rPr>
        <sz val="11"/>
        <color indexed="8"/>
        <rFont val="Arial"/>
        <family val="2"/>
      </rPr>
      <t>2</t>
    </r>
    <phoneticPr fontId="31" type="noConversion"/>
  </si>
  <si>
    <t>普通</t>
  </si>
  <si>
    <t>普通</t>
    <phoneticPr fontId="31" type="noConversion"/>
  </si>
  <si>
    <t>简装</t>
  </si>
  <si>
    <t>简装</t>
    <phoneticPr fontId="31" type="noConversion"/>
  </si>
  <si>
    <t>1拖2</t>
  </si>
  <si>
    <t>1层</t>
  </si>
  <si>
    <r>
      <t>7-15</t>
    </r>
    <r>
      <rPr>
        <sz val="10"/>
        <color indexed="8"/>
        <rFont val="宋体"/>
        <family val="3"/>
        <charset val="134"/>
      </rPr>
      <t>元</t>
    </r>
    <phoneticPr fontId="3" type="noConversion"/>
  </si>
  <si>
    <r>
      <t>6-10</t>
    </r>
    <r>
      <rPr>
        <sz val="10"/>
        <color indexed="8"/>
        <rFont val="宋体"/>
        <family val="3"/>
        <charset val="134"/>
      </rPr>
      <t>元</t>
    </r>
    <phoneticPr fontId="3" type="noConversion"/>
  </si>
  <si>
    <t>华侨城苏河湾</t>
    <phoneticPr fontId="3" type="noConversion"/>
  </si>
  <si>
    <t>40-50（含）</t>
  </si>
  <si>
    <t>保利one56</t>
    <phoneticPr fontId="3" type="noConversion"/>
  </si>
  <si>
    <t>新天地一品苑</t>
    <phoneticPr fontId="3" type="noConversion"/>
  </si>
  <si>
    <t>好</t>
  </si>
  <si>
    <t>钢混</t>
    <phoneticPr fontId="25" type="noConversion"/>
  </si>
  <si>
    <t>精装</t>
    <phoneticPr fontId="25" type="noConversion"/>
  </si>
  <si>
    <t>高层</t>
  </si>
  <si>
    <t>高层</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</si>
  <si>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</si>
  <si>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</si>
  <si>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</si>
  <si>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</si>
  <si>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</si>
  <si>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</si>
  <si>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</si>
  <si>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大平层</t>
  </si>
  <si>
    <t>大平层</t>
    <phoneticPr fontId="25" type="noConversion"/>
  </si>
  <si>
    <t>标准</t>
  </si>
  <si>
    <t>标准</t>
    <phoneticPr fontId="25" type="noConversion"/>
  </si>
  <si>
    <t>简装</t>
    <phoneticPr fontId="25" type="noConversion"/>
  </si>
  <si>
    <t>比较法-住宅</t>
  </si>
  <si>
    <r>
      <t>2</t>
    </r>
    <r>
      <rPr>
        <sz val="11"/>
        <color indexed="8"/>
        <rFont val="宋体"/>
        <family val="3"/>
        <charset val="134"/>
      </rPr>
      <t>层</t>
    </r>
    <phoneticPr fontId="31" type="noConversion"/>
  </si>
  <si>
    <t>收益法 (元) (公寓)</t>
  </si>
  <si>
    <t>收益法 (元) (公寓)</t>
    <phoneticPr fontId="16" type="noConversion"/>
  </si>
  <si>
    <t>收益法 (元)</t>
  </si>
  <si>
    <t>日租</t>
    <phoneticPr fontId="143" type="noConversion"/>
  </si>
  <si>
    <t>保利one56</t>
    <phoneticPr fontId="3" type="noConversion"/>
  </si>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</sst>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name val="宋体"/>
      <family val="3"/>
      <charset val="134"/>
    </font>
    <font>
      <b/>
      <sz val="14"/>
      <name val="MS Sans Serif"/>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0" fontId="56" fillId="0" borderId="0"/>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37" fillId="0" borderId="0" xfId="0" applyFont="1" applyAlignment="1"/>
    <xf numFmtId="0" fontId="19" fillId="0" borderId="0" xfId="0" applyFont="1" applyAlignment="1"/>
    <xf numFmtId="0" fontId="37" fillId="0" borderId="1" xfId="0" applyFont="1" applyBorder="1" applyAlignment="1">
      <alignment horizontal="center" vertical="center" wrapText="1"/>
    </xf>
    <xf numFmtId="176" fontId="37" fillId="0" borderId="1" xfId="17" applyFont="1" applyBorder="1" applyAlignment="1">
      <alignment horizontal="center" vertical="center" wrapText="1"/>
    </xf>
    <xf numFmtId="0" fontId="37" fillId="0" borderId="1" xfId="0" applyFont="1" applyBorder="1" applyAlignment="1">
      <alignment horizontal="center"/>
    </xf>
    <xf numFmtId="198" fontId="37" fillId="0" borderId="1" xfId="17" applyNumberFormat="1" applyFont="1" applyBorder="1" applyAlignment="1">
      <alignment horizontal="center" vertical="center"/>
    </xf>
    <xf numFmtId="0" fontId="37" fillId="0" borderId="0" xfId="0" applyFont="1" applyAlignment="1">
      <alignment horizontal="center"/>
    </xf>
    <xf numFmtId="176" fontId="37" fillId="0" borderId="0" xfId="17" applyFont="1" applyAlignment="1">
      <alignment horizontal="center"/>
    </xf>
    <xf numFmtId="198" fontId="37" fillId="0" borderId="1" xfId="17" applyNumberFormat="1" applyFont="1" applyFill="1" applyBorder="1" applyAlignment="1">
      <alignment horizontal="center" vertical="center"/>
    </xf>
    <xf numFmtId="178" fontId="80" fillId="0" borderId="1" xfId="1" applyNumberFormat="1" applyFont="1" applyFill="1" applyBorder="1" applyAlignment="1" applyProtection="1">
      <alignment vertical="center"/>
      <protection locked="0" hidden="1"/>
    </xf>
    <xf numFmtId="14" fontId="0" fillId="0" borderId="0" xfId="0" applyNumberFormat="1" applyAlignment="1">
      <alignment horizontal="center"/>
    </xf>
    <xf numFmtId="198" fontId="37" fillId="0" borderId="1" xfId="17" applyNumberFormat="1" applyFont="1" applyBorder="1" applyAlignment="1" applyProtection="1">
      <alignment horizontal="center" vertical="center"/>
      <protection locked="0"/>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198" fontId="37" fillId="0" borderId="1" xfId="17" applyNumberFormat="1" applyFont="1" applyFill="1" applyBorder="1" applyAlignment="1" applyProtection="1">
      <alignment horizontal="center" vertical="center"/>
      <protection locked="0"/>
    </xf>
    <xf numFmtId="14" fontId="0" fillId="7" borderId="0" xfId="0" applyNumberFormat="1" applyFill="1" applyAlignment="1">
      <alignment horizontal="center"/>
    </xf>
    <xf numFmtId="0" fontId="37" fillId="0" borderId="1" xfId="0" applyFont="1" applyBorder="1" applyAlignment="1" applyProtection="1">
      <alignment horizontal="center"/>
      <protection locked="0"/>
    </xf>
    <xf numFmtId="0" fontId="80" fillId="6" borderId="0" xfId="0" applyFont="1" applyFill="1" applyAlignment="1" applyProtection="1">
      <alignment vertical="center"/>
      <protection locked="0"/>
    </xf>
    <xf numFmtId="58" fontId="50" fillId="10" borderId="6"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47" fillId="0" borderId="24" xfId="10" applyFont="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2" borderId="1" xfId="2" applyFont="1" applyFill="1" applyBorder="1" applyAlignment="1" applyProtection="1">
      <alignment horizontal="center" vertical="center" wrapText="1"/>
      <protection locked="0"/>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horizontal="left"/>
    </xf>
    <xf numFmtId="0" fontId="104" fillId="6" borderId="0" xfId="2" applyFont="1" applyFill="1" applyAlignment="1" applyProtection="1">
      <alignment vertical="center" wrapText="1"/>
      <protection locked="0"/>
    </xf>
    <xf numFmtId="0" fontId="104" fillId="6" borderId="0" xfId="2" applyFont="1" applyFill="1" applyProtection="1">
      <protection locked="0"/>
    </xf>
    <xf numFmtId="0" fontId="137" fillId="0" borderId="44" xfId="0" applyNumberFormat="1" applyFont="1" applyFill="1" applyBorder="1" applyAlignment="1" applyProtection="1">
      <alignment horizontal="center" vertical="center" wrapText="1"/>
      <protection locked="0"/>
    </xf>
    <xf numFmtId="9" fontId="47" fillId="7"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2" fontId="105" fillId="9" borderId="1" xfId="0" applyNumberFormat="1" applyFont="1" applyFill="1" applyBorder="1" applyAlignment="1" applyProtection="1">
      <alignment horizontal="center" vertical="center"/>
      <protection locked="0"/>
    </xf>
    <xf numFmtId="178"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47" fillId="9" borderId="23" xfId="0" applyNumberFormat="1" applyFont="1" applyFill="1" applyBorder="1" applyAlignment="1" applyProtection="1">
      <alignment horizontal="center" vertical="center" wrapText="1"/>
      <protection locked="0"/>
    </xf>
    <xf numFmtId="10" fontId="47" fillId="9" borderId="1" xfId="0" applyNumberFormat="1" applyFont="1" applyFill="1" applyBorder="1" applyAlignment="1" applyProtection="1">
      <alignment horizontal="center" vertical="center"/>
      <protection locked="0"/>
    </xf>
    <xf numFmtId="184" fontId="47" fillId="9" borderId="1" xfId="0" applyNumberFormat="1" applyFont="1" applyFill="1" applyBorder="1" applyAlignment="1" applyProtection="1">
      <alignment horizontal="center" vertical="center"/>
      <protection locked="0"/>
    </xf>
    <xf numFmtId="182" fontId="47" fillId="9" borderId="24" xfId="0" applyNumberFormat="1" applyFont="1" applyFill="1" applyBorder="1" applyAlignment="1" applyProtection="1">
      <alignment horizontal="center" vertical="center"/>
      <protection locked="0"/>
    </xf>
    <xf numFmtId="182" fontId="50" fillId="9" borderId="8" xfId="0" applyNumberFormat="1" applyFont="1" applyFill="1" applyBorder="1" applyAlignment="1" applyProtection="1">
      <alignment horizontal="center" vertical="center"/>
      <protection locked="0"/>
    </xf>
    <xf numFmtId="182" fontId="50" fillId="9" borderId="24" xfId="0" applyNumberFormat="1" applyFont="1" applyFill="1" applyBorder="1" applyAlignment="1" applyProtection="1">
      <alignment horizontal="center" vertical="center"/>
      <protection locked="0"/>
    </xf>
    <xf numFmtId="182" fontId="50" fillId="9" borderId="10"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xf>
    <xf numFmtId="0" fontId="256" fillId="0" borderId="60" xfId="0" applyFont="1" applyBorder="1" applyAlignment="1">
      <alignment horizontal="center" vertical="center"/>
    </xf>
    <xf numFmtId="0" fontId="255" fillId="0" borderId="1" xfId="0" applyFont="1" applyBorder="1" applyAlignment="1">
      <alignment horizontal="center" vertical="center"/>
    </xf>
    <xf numFmtId="176" fontId="255" fillId="0" borderId="1" xfId="17"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13</xdr:col>
      <xdr:colOff>713611</xdr:colOff>
      <xdr:row>4</xdr:row>
      <xdr:rowOff>218943</xdr:rowOff>
    </xdr:to>
    <xdr:pic>
      <xdr:nvPicPr>
        <xdr:cNvPr id="2" name="图片 1"/>
        <xdr:cNvPicPr>
          <a:picLocks noChangeAspect="1"/>
        </xdr:cNvPicPr>
      </xdr:nvPicPr>
      <xdr:blipFill>
        <a:blip xmlns:r="http://schemas.openxmlformats.org/officeDocument/2006/relationships" r:embed="rId1"/>
        <a:stretch>
          <a:fillRect/>
        </a:stretch>
      </xdr:blipFill>
      <xdr:spPr>
        <a:xfrm>
          <a:off x="7486650" y="523875"/>
          <a:ext cx="6114286" cy="1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16</xdr:col>
      <xdr:colOff>179594</xdr:colOff>
      <xdr:row>37</xdr:row>
      <xdr:rowOff>84922</xdr:rowOff>
    </xdr:to>
    <xdr:pic>
      <xdr:nvPicPr>
        <xdr:cNvPr id="3" name="图片 2"/>
        <xdr:cNvPicPr>
          <a:picLocks noChangeAspect="1"/>
        </xdr:cNvPicPr>
      </xdr:nvPicPr>
      <xdr:blipFill>
        <a:blip xmlns:r="http://schemas.openxmlformats.org/officeDocument/2006/relationships" r:embed="rId1"/>
        <a:stretch>
          <a:fillRect/>
        </a:stretch>
      </xdr:blipFill>
      <xdr:spPr>
        <a:xfrm>
          <a:off x="95250" y="0"/>
          <a:ext cx="11057144" cy="6428572"/>
        </a:xfrm>
        <a:prstGeom prst="rect">
          <a:avLst/>
        </a:prstGeom>
      </xdr:spPr>
    </xdr:pic>
    <xdr:clientData/>
  </xdr:twoCellAnchor>
  <xdr:twoCellAnchor>
    <xdr:from>
      <xdr:col>7</xdr:col>
      <xdr:colOff>19050</xdr:colOff>
      <xdr:row>2</xdr:row>
      <xdr:rowOff>133350</xdr:rowOff>
    </xdr:from>
    <xdr:to>
      <xdr:col>8</xdr:col>
      <xdr:colOff>390525</xdr:colOff>
      <xdr:row>4</xdr:row>
      <xdr:rowOff>152400</xdr:rowOff>
    </xdr:to>
    <xdr:sp macro="" textlink="">
      <xdr:nvSpPr>
        <xdr:cNvPr id="4" name="TextBox 3"/>
        <xdr:cNvSpPr txBox="1"/>
      </xdr:nvSpPr>
      <xdr:spPr>
        <a:xfrm>
          <a:off x="4819650" y="476250"/>
          <a:ext cx="105727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314</a:t>
          </a:r>
          <a:r>
            <a:rPr lang="zh-CN" altLang="en-US" sz="1100"/>
            <a:t>平米</a:t>
          </a:r>
          <a:r>
            <a:rPr lang="en-US" altLang="zh-CN" sz="1100"/>
            <a:t>50218</a:t>
          </a:r>
          <a:r>
            <a:rPr lang="zh-CN" altLang="en-US" sz="1100"/>
            <a:t>元</a:t>
          </a:r>
          <a:endParaRPr lang="en-US" altLang="zh-CN" sz="1100"/>
        </a:p>
        <a:p>
          <a:endParaRPr lang="zh-CN" altLang="en-US" sz="1100"/>
        </a:p>
      </xdr:txBody>
    </xdr:sp>
    <xdr:clientData/>
  </xdr:twoCellAnchor>
  <xdr:twoCellAnchor>
    <xdr:from>
      <xdr:col>9</xdr:col>
      <xdr:colOff>266700</xdr:colOff>
      <xdr:row>12</xdr:row>
      <xdr:rowOff>9525</xdr:rowOff>
    </xdr:from>
    <xdr:to>
      <xdr:col>11</xdr:col>
      <xdr:colOff>133350</xdr:colOff>
      <xdr:row>13</xdr:row>
      <xdr:rowOff>104775</xdr:rowOff>
    </xdr:to>
    <xdr:sp macro="" textlink="">
      <xdr:nvSpPr>
        <xdr:cNvPr id="5" name="TextBox 4"/>
        <xdr:cNvSpPr txBox="1"/>
      </xdr:nvSpPr>
      <xdr:spPr>
        <a:xfrm>
          <a:off x="6438900" y="2066925"/>
          <a:ext cx="12382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162</a:t>
          </a:r>
          <a:r>
            <a:rPr lang="zh-CN" altLang="en-US" sz="1100"/>
            <a:t>平米</a:t>
          </a:r>
          <a:r>
            <a:rPr lang="zh-CN" altLang="en-US" sz="1100" baseline="0"/>
            <a:t>  </a:t>
          </a:r>
          <a:r>
            <a:rPr lang="en-US" altLang="zh-CN" sz="1100" baseline="0"/>
            <a:t>61000</a:t>
          </a:r>
          <a:r>
            <a:rPr lang="zh-CN" altLang="en-US" sz="1100" baseline="0"/>
            <a:t>元</a:t>
          </a:r>
          <a:endParaRPr lang="en-US" altLang="zh-CN" sz="1100" baseline="0"/>
        </a:p>
        <a:p>
          <a:endParaRPr lang="zh-CN" altLang="en-US" sz="1100"/>
        </a:p>
      </xdr:txBody>
    </xdr:sp>
    <xdr:clientData/>
  </xdr:twoCellAnchor>
  <xdr:twoCellAnchor>
    <xdr:from>
      <xdr:col>7</xdr:col>
      <xdr:colOff>171450</xdr:colOff>
      <xdr:row>28</xdr:row>
      <xdr:rowOff>142875</xdr:rowOff>
    </xdr:from>
    <xdr:to>
      <xdr:col>8</xdr:col>
      <xdr:colOff>476250</xdr:colOff>
      <xdr:row>31</xdr:row>
      <xdr:rowOff>123825</xdr:rowOff>
    </xdr:to>
    <xdr:sp macro="" textlink="">
      <xdr:nvSpPr>
        <xdr:cNvPr id="6" name="TextBox 5"/>
        <xdr:cNvSpPr txBox="1"/>
      </xdr:nvSpPr>
      <xdr:spPr>
        <a:xfrm>
          <a:off x="4972050" y="4943475"/>
          <a:ext cx="9906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102</a:t>
          </a:r>
          <a:r>
            <a:rPr lang="zh-CN" altLang="en-US" sz="1100"/>
            <a:t>平米 </a:t>
          </a:r>
          <a:r>
            <a:rPr lang="en-US" altLang="zh-CN" sz="1100"/>
            <a:t>56000</a:t>
          </a:r>
          <a:r>
            <a:rPr lang="zh-CN" altLang="en-US" sz="1100"/>
            <a:t>元</a:t>
          </a:r>
          <a:endParaRPr lang="en-US" altLang="zh-CN" sz="1100"/>
        </a:p>
        <a:p>
          <a:endParaRPr lang="zh-CN" altLang="en-US" sz="1100"/>
        </a:p>
      </xdr:txBody>
    </xdr:sp>
    <xdr:clientData/>
  </xdr:twoCellAnchor>
  <xdr:twoCellAnchor>
    <xdr:from>
      <xdr:col>12</xdr:col>
      <xdr:colOff>180975</xdr:colOff>
      <xdr:row>4</xdr:row>
      <xdr:rowOff>19050</xdr:rowOff>
    </xdr:from>
    <xdr:to>
      <xdr:col>16</xdr:col>
      <xdr:colOff>85725</xdr:colOff>
      <xdr:row>9</xdr:row>
      <xdr:rowOff>104775</xdr:rowOff>
    </xdr:to>
    <xdr:sp macro="" textlink="">
      <xdr:nvSpPr>
        <xdr:cNvPr id="8" name="TextBox 7"/>
        <xdr:cNvSpPr txBox="1"/>
      </xdr:nvSpPr>
      <xdr:spPr>
        <a:xfrm>
          <a:off x="8410575" y="704850"/>
          <a:ext cx="26479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大面积上千平米的 </a:t>
          </a:r>
          <a:r>
            <a:rPr lang="en-US" altLang="zh-CN" sz="1100"/>
            <a:t>2-3</a:t>
          </a:r>
          <a:r>
            <a:rPr lang="zh-CN" altLang="en-US" sz="1100"/>
            <a:t>万的单价    小面积</a:t>
          </a:r>
          <a:r>
            <a:rPr lang="en-US" altLang="zh-CN" sz="1100"/>
            <a:t>50</a:t>
          </a:r>
          <a:r>
            <a:rPr lang="zh-CN" altLang="en-US" sz="1100"/>
            <a:t>平米左右的</a:t>
          </a:r>
          <a:r>
            <a:rPr lang="zh-CN" altLang="en-US" sz="1100" baseline="0"/>
            <a:t> 能高到</a:t>
          </a:r>
          <a:r>
            <a:rPr lang="en-US" altLang="zh-CN" sz="1100" baseline="0"/>
            <a:t>10</a:t>
          </a:r>
          <a:r>
            <a:rPr lang="zh-CN" altLang="en-US" sz="1100" baseline="0"/>
            <a:t>万以上的单价   ，跟估价对象差不多几百平米的  均价</a:t>
          </a:r>
          <a:r>
            <a:rPr lang="en-US" altLang="zh-CN" sz="1100" baseline="0"/>
            <a:t>5W </a:t>
          </a:r>
          <a:r>
            <a:rPr lang="zh-CN" altLang="en-US" sz="1100" baseline="0"/>
            <a:t>左右</a:t>
          </a:r>
          <a:endParaRPr lang="en-US" altLang="zh-CN" sz="1100" baseline="0"/>
        </a:p>
        <a:p>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22</xdr:row>
      <xdr:rowOff>151910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342858" cy="3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1214</v>
      </c>
      <c r="B1" s="1582" t="s">
        <v>1293</v>
      </c>
    </row>
    <row r="2" spans="1:2" s="1587" customFormat="1" ht="16.2" thickTop="1">
      <c r="A2" s="1585" t="s">
        <v>1215</v>
      </c>
      <c r="B2" s="1586" t="str">
        <f>'预评函-封皮'!B37:I37</f>
        <v>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6.2" thickBot="1">
      <c r="A5" s="1591" t="s">
        <v>1218</v>
      </c>
      <c r="B5" s="1592" t="str">
        <f>'预评函-封皮'!B49</f>
        <v>康正预评字号</v>
      </c>
    </row>
    <row r="6" spans="1:2" s="1587" customFormat="1" ht="16.2" thickTop="1">
      <c r="A6" s="1585" t="s">
        <v>1219</v>
      </c>
      <c r="B6" s="1586" t="str">
        <f>'预评函-1'!A4</f>
        <v>受贵公司委托，我公司对房地产抵押价值进行了预评估。</v>
      </c>
    </row>
    <row r="7" spans="1:2" s="1590" customFormat="1">
      <c r="A7" s="1588" t="s">
        <v>1259</v>
      </c>
      <c r="B7" s="1589" t="str">
        <f>'预评函-1'!A7</f>
        <v>估价对象为房地产，为所有。根据《国有土地使用证》[]，估价对象（分摊）出让国有建设用地使用权面积为14543平方米，建筑面积为499.07平方米。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估价对象为房地产,属开发建设的，该项目尚在开发建设中。根据《国有土地使用证》[]，估价对象（分摊）出让国有建设用地使用权面积为14543平方米，规划建筑面积为499.07平方米。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2020年1月15日（评估专业人员实地查勘之日）</v>
      </c>
    </row>
    <row r="13" spans="1:2" s="1590" customFormat="1">
      <c r="A13" s="1588" t="s">
        <v>1222</v>
      </c>
      <c r="B13" s="1589" t="str">
        <f>'预评函-1'!A18</f>
        <v>本次估价的“房地产价值”是指在正常市场情况下，在价值时点2020年1月15日，估价对象规划用途为，土地取得方式为划拨，假定未设立法定优先受偿款下的房地产市场价值。</v>
      </c>
    </row>
    <row r="14" spans="1:2" s="1590" customFormat="1">
      <c r="A14" s="1588" t="s">
        <v>1223</v>
      </c>
      <c r="B14" s="158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1227</v>
      </c>
      <c r="B18" s="1592" t="str">
        <f>'预评函-1'!A24</f>
        <v>本次评估采用的主估价方法为比较法和收益法。</v>
      </c>
    </row>
    <row r="19" spans="1:2" s="1587" customFormat="1" ht="16.2"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2333</v>
      </c>
    </row>
    <row r="21" spans="1:2" s="1590" customFormat="1">
      <c r="A21" s="1588" t="s">
        <v>1230</v>
      </c>
      <c r="B21" s="1589">
        <f ca="1">'预评函-2'!D7</f>
        <v>46747</v>
      </c>
    </row>
    <row r="22" spans="1:2" s="1590" customFormat="1">
      <c r="A22" s="1588" t="s">
        <v>1231</v>
      </c>
      <c r="B22" s="1589" t="str">
        <f ca="1">'预评函-2'!D6</f>
        <v>贰仟叁佰叁拾叁万元整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2333</v>
      </c>
    </row>
    <row r="31" spans="1:2" s="1590" customFormat="1">
      <c r="A31" s="1588" t="s">
        <v>1269</v>
      </c>
      <c r="B31" s="1589">
        <f ca="1">'预评函-2'!D15</f>
        <v>46747</v>
      </c>
    </row>
    <row r="32" spans="1:2" s="1590" customFormat="1">
      <c r="A32" s="1588" t="s">
        <v>1236</v>
      </c>
      <c r="B32" s="1589" t="str">
        <f ca="1">'预评函-2'!D14</f>
        <v>贰仟叁佰叁拾叁万元整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房地产</v>
      </c>
    </row>
    <row r="42" spans="1:2" s="1590" customFormat="1" ht="31.2">
      <c r="A42" s="1588" t="s">
        <v>1283</v>
      </c>
      <c r="B42" s="1589" t="str">
        <f>'预评函-3'!B2</f>
        <v>建筑面积</v>
      </c>
    </row>
    <row r="43" spans="1:2" s="1590" customFormat="1">
      <c r="A43" s="1588" t="s">
        <v>1284</v>
      </c>
      <c r="B43" s="1589">
        <f>'预评函-3'!B4</f>
        <v>499.07</v>
      </c>
    </row>
    <row r="44" spans="1:2" s="1590" customFormat="1" ht="31.2">
      <c r="A44" s="1588" t="s">
        <v>1268</v>
      </c>
      <c r="B44" s="1589" t="str">
        <f>'预评函-3'!C2</f>
        <v>(分摊)土地面积</v>
      </c>
    </row>
    <row r="45" spans="1:2" s="1590" customFormat="1">
      <c r="A45" s="1588" t="s">
        <v>1240</v>
      </c>
      <c r="B45" s="1589">
        <f>'预评函-3'!C4</f>
        <v>14543</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6.2" thickBot="1">
      <c r="A57" s="1591" t="s">
        <v>1292</v>
      </c>
      <c r="B57" s="1592" t="str">
        <f>'预评函-3'!A6</f>
        <v>估价师知悉的法定优先受偿款</v>
      </c>
    </row>
    <row r="58" spans="1:2" s="1587" customFormat="1" ht="16.2"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6.2" thickBot="1">
      <c r="A69" s="1591" t="s">
        <v>1254</v>
      </c>
      <c r="B69" s="1593">
        <f>'预评函-4'!C31</f>
        <v>42551</v>
      </c>
    </row>
    <row r="70" spans="1:2" ht="16.2" thickTop="1">
      <c r="A70" s="1594" t="s">
        <v>1255</v>
      </c>
      <c r="B70" s="1595">
        <f>'预评函-4'!A4</f>
        <v>0</v>
      </c>
    </row>
    <row r="71" spans="1:2">
      <c r="A71" s="1588" t="s">
        <v>1256</v>
      </c>
      <c r="B71" s="1589">
        <f>'预评函-4'!B4</f>
        <v>0</v>
      </c>
    </row>
    <row r="72" spans="1:2">
      <c r="A72" s="1588" t="s">
        <v>1257</v>
      </c>
      <c r="B72" s="1597">
        <f>'预评函-4'!A5</f>
        <v>0</v>
      </c>
    </row>
    <row r="73" spans="1:2" s="1584" customFormat="1" ht="16.2" thickBot="1">
      <c r="A73" s="1591" t="s">
        <v>1258</v>
      </c>
      <c r="B73" s="1592">
        <f>'预评函-4'!B5</f>
        <v>0</v>
      </c>
    </row>
    <row r="74" spans="1:2" ht="16.2"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3162</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73"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2018" t="s">
        <v>860</v>
      </c>
      <c r="C54" s="2015" t="s">
        <v>1276</v>
      </c>
    </row>
    <row r="55" spans="1:4">
      <c r="A55" s="3073"/>
      <c r="B55" s="2018" t="s">
        <v>861</v>
      </c>
      <c r="C55" s="2015" t="s">
        <v>1277</v>
      </c>
    </row>
    <row r="56" spans="1:4">
      <c r="A56" s="3073"/>
      <c r="B56" s="2018" t="s">
        <v>862</v>
      </c>
      <c r="C56" s="2015" t="s">
        <v>1281</v>
      </c>
    </row>
    <row r="57" spans="1:4">
      <c r="A57" s="3073"/>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1770</v>
      </c>
      <c r="B1" s="3082" t="str">
        <f>IF(B10="北京市","北京市",C10)&amp;F10&amp;IF(结果表!G1="在建","出让国有建设用地使用权及在建建筑物",IF(结果表!G1="土地","出让国有建设用地使用权",))&amp;B9&amp;"预评估"</f>
        <v>房地产抵押价值预评估</v>
      </c>
      <c r="C1" s="3083"/>
      <c r="D1" s="3083"/>
      <c r="E1" s="3083"/>
      <c r="F1" s="3083"/>
      <c r="G1" s="3083"/>
      <c r="H1" s="3083"/>
      <c r="I1" s="308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房地产抵押价值</v>
      </c>
    </row>
    <row r="2" spans="1:19" ht="18" customHeight="1">
      <c r="A2" s="2022" t="s">
        <v>1771</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房地产</v>
      </c>
    </row>
    <row r="3" spans="1:19" ht="18" customHeight="1">
      <c r="A3" s="2031" t="s">
        <v>1772</v>
      </c>
      <c r="B3" s="2032">
        <v>43845</v>
      </c>
      <c r="C3" s="2033" t="s">
        <v>1773</v>
      </c>
      <c r="D3" s="2032">
        <v>43845</v>
      </c>
      <c r="E3" s="2022"/>
      <c r="F3" s="2022"/>
      <c r="G3" s="2022"/>
      <c r="H3" s="2022"/>
      <c r="I3" s="2022"/>
      <c r="J3" s="2022"/>
      <c r="K3" s="2023"/>
      <c r="L3" s="2024"/>
      <c r="M3" s="2024"/>
      <c r="N3" s="2025"/>
      <c r="O3" s="2026"/>
      <c r="P3" s="2025"/>
      <c r="Q3" s="2025"/>
      <c r="R3" s="2025"/>
      <c r="S3" s="2027"/>
    </row>
    <row r="4" spans="1:19" ht="18" customHeight="1" thickBot="1">
      <c r="A4" s="2034" t="s">
        <v>1774</v>
      </c>
      <c r="B4" s="2035"/>
      <c r="C4" s="1034">
        <f>SUMIF(注册房地产估价师,B4,估价师及机构信息!B3:B24)</f>
        <v>0</v>
      </c>
      <c r="D4" s="2035"/>
      <c r="E4" s="1035">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1775</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1776</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1777</v>
      </c>
      <c r="B7" s="2049"/>
      <c r="C7" s="2046"/>
      <c r="D7" s="2047"/>
      <c r="E7" s="2030"/>
      <c r="F7" s="2038"/>
      <c r="G7" s="2038"/>
      <c r="H7" s="2038"/>
      <c r="I7" s="2038"/>
      <c r="J7" s="2038"/>
      <c r="K7" s="2050"/>
      <c r="L7" s="2024"/>
      <c r="M7" s="2024"/>
      <c r="N7" s="2025"/>
      <c r="O7" s="2026"/>
      <c r="P7" s="2025"/>
      <c r="Q7" s="2025"/>
      <c r="R7" s="2025"/>
    </row>
    <row r="8" spans="1:19" ht="18" customHeight="1">
      <c r="A8" s="2044" t="s">
        <v>1778</v>
      </c>
      <c r="B8" s="2051" t="s">
        <v>3082</v>
      </c>
      <c r="C8" s="2052"/>
      <c r="D8" s="3085" t="s">
        <v>1779</v>
      </c>
      <c r="E8" s="2053" t="s">
        <v>3083</v>
      </c>
      <c r="F8" s="2054"/>
      <c r="G8" s="2022"/>
      <c r="H8" s="2022"/>
      <c r="I8" s="2022"/>
      <c r="J8" s="2038"/>
      <c r="K8" s="2039"/>
      <c r="L8" s="2024"/>
      <c r="M8" s="2024"/>
      <c r="N8" s="2025"/>
      <c r="O8" s="2026"/>
      <c r="P8" s="2025"/>
      <c r="Q8" s="2025"/>
      <c r="R8" s="2025"/>
    </row>
    <row r="9" spans="1:19" ht="18" customHeight="1" thickBot="1">
      <c r="A9" s="2036" t="s">
        <v>1780</v>
      </c>
      <c r="B9" s="2055" t="s">
        <v>3083</v>
      </c>
      <c r="C9" s="2056"/>
      <c r="D9" s="3086"/>
      <c r="E9" s="2055"/>
      <c r="F9" s="2057"/>
      <c r="G9" s="2058"/>
      <c r="H9" s="2058"/>
      <c r="I9" s="2058"/>
      <c r="J9" s="2038"/>
      <c r="K9" s="2050"/>
      <c r="L9" s="2024"/>
      <c r="M9" s="2024"/>
      <c r="N9" s="2025"/>
      <c r="O9" s="2026"/>
      <c r="P9" s="2025"/>
      <c r="Q9" s="2025"/>
      <c r="R9" s="2025"/>
    </row>
    <row r="10" spans="1:19" ht="18" customHeight="1" thickTop="1">
      <c r="A10" s="2059" t="s">
        <v>1781</v>
      </c>
      <c r="B10" s="2060"/>
      <c r="C10" s="2061"/>
      <c r="D10" s="2043"/>
      <c r="E10" s="2062" t="s">
        <v>1782</v>
      </c>
      <c r="F10" s="2063"/>
      <c r="G10" s="2064"/>
      <c r="H10" s="2065"/>
      <c r="I10" s="2043"/>
      <c r="J10" s="2038"/>
      <c r="K10" s="2050"/>
      <c r="L10" s="2024"/>
      <c r="M10" s="2024"/>
      <c r="N10" s="2025"/>
      <c r="O10" s="2026"/>
      <c r="P10" s="2025"/>
      <c r="Q10" s="2025"/>
      <c r="R10" s="2025"/>
    </row>
    <row r="11" spans="1:19" ht="18" customHeight="1">
      <c r="A11" s="2066" t="s">
        <v>1783</v>
      </c>
      <c r="B11" s="2067"/>
      <c r="C11" s="2068"/>
      <c r="D11" s="2069"/>
      <c r="E11" s="2038"/>
      <c r="F11" s="2038"/>
      <c r="G11" s="2038"/>
      <c r="H11" s="2038"/>
      <c r="I11" s="2038"/>
      <c r="J11" s="2038"/>
      <c r="K11" s="2050"/>
      <c r="L11" s="2024"/>
      <c r="M11" s="2024"/>
      <c r="N11" s="2025"/>
      <c r="O11" s="2026"/>
      <c r="P11" s="2025"/>
      <c r="Q11" s="2025"/>
      <c r="R11" s="2025"/>
    </row>
    <row r="12" spans="1:19" ht="18" customHeight="1">
      <c r="A12" s="2070" t="s">
        <v>1784</v>
      </c>
      <c r="B12" s="2067" t="s">
        <v>3113</v>
      </c>
      <c r="C12" s="2071" t="s">
        <v>1785</v>
      </c>
      <c r="D12" s="2072" t="s">
        <v>1786</v>
      </c>
      <c r="E12" s="2072" t="s">
        <v>1787</v>
      </c>
      <c r="F12" s="2072" t="s">
        <v>1788</v>
      </c>
      <c r="G12" s="2072" t="s">
        <v>1789</v>
      </c>
      <c r="H12" s="2072" t="s">
        <v>1790</v>
      </c>
      <c r="I12" s="2072" t="s">
        <v>1791</v>
      </c>
      <c r="J12" s="2038"/>
      <c r="K12" s="2050"/>
      <c r="L12" s="2024"/>
      <c r="M12" s="2024"/>
      <c r="N12" s="2025"/>
      <c r="O12" s="2026"/>
      <c r="P12" s="2025"/>
      <c r="Q12" s="2025"/>
      <c r="R12" s="2025"/>
    </row>
    <row r="13" spans="1:19" ht="18" customHeight="1">
      <c r="A13" s="2073"/>
      <c r="B13" s="2074"/>
      <c r="C13" s="2075" t="s">
        <v>1792</v>
      </c>
      <c r="D13" s="2076"/>
      <c r="E13" s="2076">
        <v>53387</v>
      </c>
      <c r="F13" s="2076">
        <v>57040</v>
      </c>
      <c r="G13" s="2076"/>
      <c r="H13" s="2076"/>
      <c r="I13" s="1044"/>
      <c r="J13" s="2038"/>
      <c r="K13" s="2050"/>
      <c r="L13" s="2024"/>
      <c r="M13" s="2024"/>
      <c r="N13" s="2025"/>
      <c r="O13" s="2026"/>
      <c r="P13" s="2025"/>
      <c r="Q13" s="2025"/>
      <c r="R13" s="2025"/>
    </row>
    <row r="14" spans="1:19" ht="18" customHeight="1">
      <c r="A14" s="2073"/>
      <c r="B14" s="2074"/>
      <c r="C14" s="2075" t="s">
        <v>1793</v>
      </c>
      <c r="D14" s="1047"/>
      <c r="E14" s="1047">
        <v>40</v>
      </c>
      <c r="F14" s="1047">
        <v>50</v>
      </c>
      <c r="G14" s="1047"/>
      <c r="H14" s="1047"/>
      <c r="I14" s="1047"/>
      <c r="J14" s="2038"/>
      <c r="K14" s="2077"/>
      <c r="L14" s="2024"/>
      <c r="M14" s="2024"/>
      <c r="N14" s="2025"/>
      <c r="O14" s="2026"/>
      <c r="P14" s="2025"/>
      <c r="Q14" s="2025"/>
      <c r="R14" s="2025"/>
    </row>
    <row r="15" spans="1:19" ht="18" customHeight="1">
      <c r="A15" s="2059"/>
      <c r="B15" s="2078"/>
      <c r="C15" s="2075" t="s">
        <v>1794</v>
      </c>
      <c r="D15" s="1046">
        <f>IF(B12="出让",IF(D13="","",ROUNDDOWN(MIN((D13-$D$3)/365,D14),2)),D14)</f>
        <v>0</v>
      </c>
      <c r="E15" s="1046">
        <f>IF(B12="出让",IF(E13="","",ROUNDDOWN(MIN((E13-$D$3)/365,E14),2)),E14)</f>
        <v>40</v>
      </c>
      <c r="F15" s="1046">
        <f>IF(B12="出让",IF(F13="","",ROUNDDOWN(MIN((F13-$D$3)/365,F14),2)),F14)</f>
        <v>50</v>
      </c>
      <c r="G15" s="1046">
        <f>IF(B12="出让",IF(G13="","",ROUNDDOWN(MIN((G13-$D$3)/365,G14),2)),G14)</f>
        <v>0</v>
      </c>
      <c r="H15" s="1046">
        <f>IF(B12="出让",IF(H13="","",ROUNDDOWN(MIN((H13-$D$3)/365,H14),2)),H14)</f>
        <v>0</v>
      </c>
      <c r="I15" s="1046">
        <f>IF(B12="出让",IF(I13="","",ROUNDDOWN(MIN((I13-$D$3)/365,I14),2)),I14)</f>
        <v>0</v>
      </c>
      <c r="J15" s="2038"/>
      <c r="K15" s="2079"/>
      <c r="L15" s="2080"/>
      <c r="M15" s="2080"/>
      <c r="N15" s="2081"/>
      <c r="O15" s="2080"/>
      <c r="P15" s="2081"/>
      <c r="Q15" s="2025"/>
      <c r="R15" s="2025"/>
    </row>
    <row r="16" spans="1:19" ht="30.75" customHeight="1">
      <c r="A16" s="2062" t="s">
        <v>1795</v>
      </c>
      <c r="B16" s="3092"/>
      <c r="C16" s="3093"/>
      <c r="D16" s="3094"/>
      <c r="E16" s="2082" t="s">
        <v>1796</v>
      </c>
      <c r="F16" s="3095"/>
      <c r="G16" s="3096"/>
      <c r="H16" s="3096"/>
      <c r="I16" s="3097"/>
      <c r="J16" s="2025"/>
      <c r="K16" s="2079"/>
      <c r="L16" s="2080"/>
      <c r="M16" s="2080"/>
      <c r="N16" s="2081"/>
      <c r="O16" s="2080"/>
      <c r="P16" s="2081"/>
      <c r="Q16" s="2025"/>
      <c r="R16" s="2025"/>
    </row>
    <row r="17" spans="1:22" ht="18" customHeight="1">
      <c r="A17" s="2083" t="s">
        <v>1797</v>
      </c>
      <c r="B17" s="2031" t="s">
        <v>1798</v>
      </c>
      <c r="C17" s="1051">
        <f>'数据-汇总表'!E3</f>
        <v>499.07</v>
      </c>
      <c r="D17" s="2084" t="s">
        <v>1799</v>
      </c>
      <c r="E17" s="3098" t="s">
        <v>1800</v>
      </c>
      <c r="F17" s="3099"/>
      <c r="G17" s="3099"/>
      <c r="H17" s="3099"/>
      <c r="I17" s="3100"/>
      <c r="J17" s="2025"/>
      <c r="K17" s="2085"/>
      <c r="L17" s="2080"/>
      <c r="M17" s="2080"/>
      <c r="N17" s="2081"/>
      <c r="O17" s="2080"/>
      <c r="P17" s="2081"/>
      <c r="Q17" s="2025"/>
      <c r="R17" s="2025"/>
      <c r="S17" s="2025"/>
      <c r="T17" s="2025"/>
      <c r="U17" s="2025"/>
      <c r="V17" s="2025"/>
    </row>
    <row r="18" spans="1:22" ht="36" customHeight="1" thickBot="1">
      <c r="A18" s="2086" t="s">
        <v>1801</v>
      </c>
      <c r="B18" s="2034" t="s">
        <v>1802</v>
      </c>
      <c r="C18" s="1441">
        <f>'数据-汇总表'!D3</f>
        <v>14543</v>
      </c>
      <c r="D18" s="2087" t="s">
        <v>1799</v>
      </c>
      <c r="E18" s="3101" t="s">
        <v>1803</v>
      </c>
      <c r="F18" s="3102"/>
      <c r="G18" s="3102"/>
      <c r="H18" s="3102"/>
      <c r="I18" s="3103"/>
      <c r="J18" s="2025"/>
      <c r="K18" s="2085"/>
      <c r="L18" s="2080"/>
      <c r="M18" s="2080"/>
      <c r="N18" s="2081"/>
      <c r="O18" s="2080"/>
      <c r="P18" s="2081"/>
      <c r="Q18" s="2025"/>
      <c r="R18" s="2025"/>
      <c r="S18" s="2025"/>
      <c r="T18" s="2025"/>
      <c r="U18" s="2025"/>
      <c r="V18" s="2025"/>
    </row>
    <row r="19" spans="1:22" ht="37.5" customHeight="1" thickTop="1" thickBot="1">
      <c r="A19" s="372" t="s">
        <v>1804</v>
      </c>
      <c r="B19" s="351" t="s">
        <v>1805</v>
      </c>
      <c r="C19" s="2088"/>
      <c r="D19" s="2089" t="s">
        <v>1806</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1807</v>
      </c>
      <c r="B20" s="3088" t="s">
        <v>1808</v>
      </c>
      <c r="C20" s="3089"/>
      <c r="D20" s="3090" t="s">
        <v>1809</v>
      </c>
      <c r="E20" s="3091"/>
      <c r="F20" s="2094" t="s">
        <v>1810</v>
      </c>
      <c r="G20" s="2038"/>
      <c r="H20" s="2038"/>
      <c r="I20" s="2038"/>
      <c r="J20" s="2038"/>
      <c r="K20" s="3087"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1812</v>
      </c>
      <c r="C21" s="2096" t="s">
        <v>1813</v>
      </c>
      <c r="D21" s="2097" t="s">
        <v>1814</v>
      </c>
      <c r="E21" s="2098" t="s">
        <v>1813</v>
      </c>
      <c r="F21" s="2099"/>
      <c r="G21" s="2038"/>
      <c r="H21" s="2038"/>
      <c r="I21" s="2038"/>
      <c r="J21" s="2038"/>
      <c r="K21" s="308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1815</v>
      </c>
      <c r="C22" s="2096" t="s">
        <v>1816</v>
      </c>
      <c r="D22" s="2022"/>
      <c r="E22" s="2022"/>
      <c r="F22" s="2101"/>
      <c r="G22" s="2038"/>
      <c r="H22" s="2038"/>
      <c r="I22" s="2038"/>
      <c r="J22" s="2038"/>
      <c r="K22" s="308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1817</v>
      </c>
      <c r="B23" s="182" t="s">
        <v>1818</v>
      </c>
      <c r="C23" s="2103"/>
      <c r="D23" s="2104" t="s">
        <v>1818</v>
      </c>
      <c r="E23" s="2105"/>
      <c r="F23" s="2101"/>
      <c r="G23" s="2038"/>
      <c r="H23" s="2038"/>
      <c r="I23" s="2038"/>
      <c r="J23" s="2038"/>
      <c r="K23" s="2106"/>
      <c r="L23" s="745"/>
      <c r="M23" s="2024"/>
      <c r="N23" s="2081"/>
      <c r="O23" s="2080"/>
      <c r="P23" s="2081"/>
      <c r="Q23" s="2025"/>
      <c r="R23" s="2025"/>
      <c r="S23" s="2025"/>
      <c r="T23" s="2025"/>
      <c r="U23" s="2025"/>
      <c r="V23" s="2025"/>
    </row>
    <row r="24" spans="1:22" ht="18" customHeight="1">
      <c r="A24" s="2107"/>
      <c r="B24" s="182" t="s">
        <v>1819</v>
      </c>
      <c r="C24" s="2108"/>
      <c r="D24" s="2102" t="s">
        <v>1819</v>
      </c>
      <c r="E24" s="2109"/>
      <c r="F24" s="2101"/>
      <c r="G24" s="2038"/>
      <c r="H24" s="2038"/>
      <c r="I24" s="2038"/>
      <c r="J24" s="2038"/>
      <c r="K24" s="2106"/>
      <c r="L24" s="745"/>
      <c r="M24" s="2024"/>
      <c r="N24" s="2081"/>
      <c r="O24" s="2080"/>
      <c r="P24" s="2081"/>
      <c r="Q24" s="2025"/>
      <c r="R24" s="2025"/>
      <c r="S24" s="2025"/>
      <c r="T24" s="2025"/>
      <c r="U24" s="2025"/>
      <c r="V24" s="2025"/>
    </row>
    <row r="25" spans="1:22" ht="18" customHeight="1">
      <c r="A25" s="2107"/>
      <c r="B25" s="182" t="s">
        <v>1820</v>
      </c>
      <c r="C25" s="2108"/>
      <c r="D25" s="2102" t="s">
        <v>1820</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1821</v>
      </c>
      <c r="C26" s="2112"/>
      <c r="D26" s="2113" t="s">
        <v>1822</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075" t="s">
        <v>1823</v>
      </c>
      <c r="B27" s="2059" t="s">
        <v>1824</v>
      </c>
      <c r="C27" s="2116"/>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075"/>
      <c r="B28" s="2031" t="s">
        <v>1825</v>
      </c>
      <c r="C28" s="2118"/>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075"/>
      <c r="B29" s="2031" t="s">
        <v>1826</v>
      </c>
      <c r="C29" s="2121"/>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076"/>
      <c r="B30" s="2031" t="s">
        <v>1827</v>
      </c>
      <c r="C30" s="3077"/>
      <c r="D30" s="3078"/>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079" t="s">
        <v>1828</v>
      </c>
      <c r="B31" s="2123"/>
      <c r="C31" s="2124" t="str">
        <f>IF(B31="现房","成新及维护状况正常否",IF(B31="在建","工程状态是否正常",IF(B31="土地","是否闲置","-")))</f>
        <v>-</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080"/>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080"/>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1829</v>
      </c>
      <c r="B34" s="2130"/>
      <c r="C34" s="2130"/>
      <c r="D34" s="2130"/>
      <c r="E34" s="2130"/>
      <c r="F34" s="2130"/>
      <c r="G34" s="2130"/>
      <c r="H34" s="2130"/>
      <c r="I34" s="2038"/>
      <c r="J34" s="2038"/>
      <c r="K34" s="1792">
        <f>COUNTIF(B34:H34,"——")</f>
        <v>0</v>
      </c>
      <c r="L34" s="2071" t="s">
        <v>1830</v>
      </c>
      <c r="M34" s="2071" t="s">
        <v>1831</v>
      </c>
      <c r="N34" s="2071" t="s">
        <v>1832</v>
      </c>
      <c r="O34" s="2071" t="s">
        <v>1833</v>
      </c>
      <c r="P34" s="2071" t="s">
        <v>1834</v>
      </c>
      <c r="Q34" s="2071" t="s">
        <v>1835</v>
      </c>
      <c r="R34" s="2071" t="s">
        <v>1836</v>
      </c>
      <c r="S34" s="3074" t="s">
        <v>1837</v>
      </c>
      <c r="T34" s="2131" t="str">
        <f>NUMBERSTRING(7-K34,1)&amp;"通"</f>
        <v>七通</v>
      </c>
      <c r="U34" s="2025"/>
      <c r="V34" s="2025"/>
    </row>
    <row r="35" spans="1:22" ht="18" customHeight="1">
      <c r="A35" s="2132"/>
      <c r="B35" s="3081" t="s">
        <v>1838</v>
      </c>
      <c r="C35" s="3081"/>
      <c r="D35" s="3081"/>
      <c r="E35" s="3081"/>
      <c r="F35" s="2133">
        <f>C10</f>
        <v>0</v>
      </c>
      <c r="G35" s="2038"/>
      <c r="H35" s="2038"/>
      <c r="I35" s="2038"/>
      <c r="J35" s="2038"/>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2025"/>
      <c r="V35" s="2025"/>
    </row>
    <row r="36" spans="1:22" ht="18" customHeight="1">
      <c r="A36" s="2134"/>
      <c r="B36" s="2133" t="s">
        <v>1839</v>
      </c>
      <c r="C36" s="2133" t="s">
        <v>1840</v>
      </c>
      <c r="D36" s="2133" t="s">
        <v>1841</v>
      </c>
      <c r="E36" s="2133" t="s">
        <v>1842</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1843</v>
      </c>
      <c r="B37" s="2137"/>
      <c r="C37" s="2137"/>
      <c r="D37" s="2137"/>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1844</v>
      </c>
      <c r="B38" s="2139"/>
      <c r="C38" s="2139"/>
      <c r="D38" s="2139"/>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4"/>
      <c r="L40" s="2080"/>
      <c r="M40" s="2080"/>
      <c r="N40" s="2081"/>
      <c r="O40" s="2080"/>
      <c r="P40" s="2025"/>
      <c r="Q40" s="2025"/>
      <c r="R40" s="2025"/>
      <c r="S40" s="2025"/>
      <c r="T40" s="2025"/>
      <c r="U40" s="2025"/>
      <c r="V40" s="2025"/>
    </row>
    <row r="41" spans="1:22" ht="18" customHeight="1">
      <c r="A41" s="8" t="s">
        <v>1846</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1847</v>
      </c>
      <c r="B42" s="1792" t="s">
        <v>1848</v>
      </c>
      <c r="C42" s="1792" t="s">
        <v>1849</v>
      </c>
      <c r="D42" s="1792" t="s">
        <v>1850</v>
      </c>
      <c r="E42" s="1792" t="s">
        <v>1851</v>
      </c>
      <c r="F42" s="1792" t="s">
        <v>1852</v>
      </c>
      <c r="G42" s="1792" t="s">
        <v>1853</v>
      </c>
      <c r="H42" s="1792" t="s">
        <v>1854</v>
      </c>
      <c r="I42" s="1792" t="s">
        <v>1855</v>
      </c>
      <c r="J42" s="2149" t="s">
        <v>1856</v>
      </c>
      <c r="K42" s="2072" t="s">
        <v>1857</v>
      </c>
      <c r="L42" s="2072" t="s">
        <v>1858</v>
      </c>
      <c r="M42" s="2072" t="s">
        <v>1859</v>
      </c>
      <c r="N42" s="1792" t="s">
        <v>1860</v>
      </c>
      <c r="O42" s="1792" t="s">
        <v>1861</v>
      </c>
      <c r="P42" s="1792" t="s">
        <v>1862</v>
      </c>
      <c r="Q42" s="2071" t="s">
        <v>1863</v>
      </c>
      <c r="R42" s="2071" t="s">
        <v>1864</v>
      </c>
      <c r="S42" s="2025"/>
      <c r="T42" s="2025"/>
      <c r="U42" s="2025"/>
      <c r="V42" s="2025"/>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customWidth="1"/>
    <col min="18" max="18" width="9.21875" style="2156" customWidth="1"/>
    <col min="19" max="19" width="10.88671875" style="2156" customWidth="1"/>
    <col min="20" max="21" width="10.77734375" style="2156" customWidth="1"/>
    <col min="22" max="22" width="10.88671875" style="2156" customWidth="1"/>
    <col min="23" max="27" width="10.77734375" style="2156" customWidth="1"/>
    <col min="28" max="28" width="10.88671875" style="2156"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1870</v>
      </c>
      <c r="AZ2" s="1267"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14543</v>
      </c>
      <c r="B3" s="14">
        <f>IF(C3="否",G5-AT5,G5)</f>
        <v>499.07</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0"/>
      <c r="C5" s="1800"/>
      <c r="D5" s="1803"/>
      <c r="E5" s="16" t="s">
        <v>1</v>
      </c>
      <c r="F5" s="16">
        <f>SUM(F13:F587)</f>
        <v>0</v>
      </c>
      <c r="G5" s="16">
        <f>SUM(G13:G587)</f>
        <v>499.07</v>
      </c>
      <c r="H5" s="16">
        <f t="shared" ref="H5:AT5" si="0">SUM(H13:H656)</f>
        <v>499.07</v>
      </c>
      <c r="I5" s="16">
        <f t="shared" si="0"/>
        <v>55.46</v>
      </c>
      <c r="J5" s="16">
        <f t="shared" si="0"/>
        <v>0</v>
      </c>
      <c r="K5" s="16">
        <f t="shared" si="0"/>
        <v>443.61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499.07</v>
      </c>
      <c r="BA5" s="18">
        <f t="shared" si="1"/>
        <v>499.07</v>
      </c>
      <c r="BB5" s="18">
        <f t="shared" si="1"/>
        <v>55.46</v>
      </c>
      <c r="BC5" s="18">
        <f t="shared" si="1"/>
        <v>443.61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1875</v>
      </c>
      <c r="B6" s="2171"/>
      <c r="C6" s="2171"/>
      <c r="D6" s="2172"/>
      <c r="E6" s="16">
        <f>H6+AC6+AT6</f>
        <v>14543</v>
      </c>
      <c r="F6" s="16" t="s">
        <v>1</v>
      </c>
      <c r="G6" s="16" t="s">
        <v>2</v>
      </c>
      <c r="H6" s="20">
        <f>SUMIF(I$12:AB$12,"总值",I6:AB6)</f>
        <v>14543</v>
      </c>
      <c r="I6" s="16">
        <f t="shared" ref="I6:AB6" si="2">ROUND($A$3*I5/$B$3,2)</f>
        <v>1616.12</v>
      </c>
      <c r="J6" s="16">
        <f t="shared" si="2"/>
        <v>0</v>
      </c>
      <c r="K6" s="16">
        <f t="shared" si="2"/>
        <v>12926.88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14543</v>
      </c>
      <c r="AZ6" s="16" t="s">
        <v>3</v>
      </c>
      <c r="BA6" s="16">
        <f>ROUND($AY$6*BA5/$AZ$5,2)</f>
        <v>14543</v>
      </c>
      <c r="BB6" s="16">
        <f>ROUND($AY$6*BB5/$AZ$5,2)</f>
        <v>1616.12</v>
      </c>
      <c r="BC6" s="16">
        <f t="shared" ref="BC6:BH6" si="4">ROUND($AY$6*BC5/$AZ$5,2)</f>
        <v>12926.88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3"/>
      <c r="AU7" s="2176" t="s">
        <v>1883</v>
      </c>
      <c r="AV7" s="23" t="s">
        <v>1884</v>
      </c>
      <c r="AW7" s="2163" t="s">
        <v>1885</v>
      </c>
      <c r="AX7" s="23" t="s">
        <v>1878</v>
      </c>
      <c r="AY7" s="1800"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5"/>
      <c r="K8" s="1815"/>
      <c r="L8" s="1815"/>
      <c r="M8" s="1815"/>
      <c r="N8" s="1815"/>
      <c r="O8" s="1815"/>
      <c r="P8" s="1815"/>
      <c r="Q8" s="1815"/>
      <c r="R8" s="1815"/>
      <c r="S8" s="1815"/>
      <c r="T8" s="1815"/>
      <c r="U8" s="1815"/>
      <c r="V8" s="2183"/>
      <c r="W8" s="1815"/>
      <c r="X8" s="1815"/>
      <c r="Y8" s="1815"/>
      <c r="Z8" s="1815"/>
      <c r="AA8" s="2183"/>
      <c r="AB8" s="2184"/>
      <c r="AC8" s="978" t="s">
        <v>1889</v>
      </c>
      <c r="AD8" s="2185"/>
      <c r="AE8" s="2177"/>
      <c r="AF8" s="1815"/>
      <c r="AG8" s="1815"/>
      <c r="AH8" s="1815"/>
      <c r="AI8" s="1815"/>
      <c r="AJ8" s="1815"/>
      <c r="AK8" s="1815"/>
      <c r="AL8" s="1815"/>
      <c r="AM8" s="1815"/>
      <c r="AN8" s="1815"/>
      <c r="AO8" s="1815"/>
      <c r="AP8" s="1815"/>
      <c r="AQ8" s="1815"/>
      <c r="AR8" s="1815"/>
      <c r="AS8" s="1815"/>
      <c r="AT8" s="1289" t="s">
        <v>1890</v>
      </c>
      <c r="AU8" s="2179" t="s">
        <v>1891</v>
      </c>
      <c r="AV8" s="1289"/>
      <c r="AW8" s="2162"/>
      <c r="AX8" s="1289"/>
      <c r="AY8" s="2163"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6" customFormat="1" ht="13.2">
      <c r="A9" s="2179"/>
      <c r="B9" s="2179"/>
      <c r="C9" s="2179"/>
      <c r="D9" s="2179"/>
      <c r="E9" s="2179"/>
      <c r="F9" s="2179"/>
      <c r="G9" s="1289"/>
      <c r="H9" s="2187" t="s">
        <v>1894</v>
      </c>
      <c r="I9" s="2188" t="s">
        <v>3084</v>
      </c>
      <c r="J9" s="978"/>
      <c r="K9" s="2188" t="s">
        <v>3084</v>
      </c>
      <c r="L9" s="978"/>
      <c r="M9" s="2188"/>
      <c r="N9" s="978"/>
      <c r="O9" s="2188"/>
      <c r="P9" s="978"/>
      <c r="Q9" s="2188"/>
      <c r="R9" s="978"/>
      <c r="S9" s="2188"/>
      <c r="T9" s="978"/>
      <c r="U9" s="2188"/>
      <c r="V9" s="978"/>
      <c r="W9" s="2188"/>
      <c r="X9" s="2189"/>
      <c r="Y9" s="2188"/>
      <c r="Z9" s="978"/>
      <c r="AA9" s="2188"/>
      <c r="AB9" s="978"/>
      <c r="AC9" s="2180"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90"/>
      <c r="AT9" s="2179"/>
      <c r="AU9" s="2179" t="s">
        <v>1897</v>
      </c>
      <c r="AV9" s="1289"/>
      <c r="AW9" s="2162"/>
      <c r="AX9" s="1289"/>
      <c r="AY9" s="28"/>
      <c r="AZ9" s="28" t="s">
        <v>1887</v>
      </c>
      <c r="BA9" s="2191" t="s">
        <v>1898</v>
      </c>
      <c r="BB9" s="2192"/>
      <c r="BC9" s="1335"/>
      <c r="BD9" s="1335"/>
      <c r="BE9" s="1335"/>
      <c r="BF9" s="1335"/>
      <c r="BG9" s="1335"/>
      <c r="BH9" s="1335"/>
      <c r="BI9" s="1335"/>
      <c r="BJ9" s="1335"/>
      <c r="BK9" s="2193"/>
      <c r="BL9" s="15" t="s">
        <v>1899</v>
      </c>
      <c r="BM9" s="1815"/>
      <c r="BN9" s="2182"/>
      <c r="BO9" s="1815"/>
      <c r="BP9" s="1815"/>
      <c r="BQ9" s="1815"/>
      <c r="BR9" s="1815"/>
      <c r="BS9" s="1815"/>
      <c r="BT9" s="26"/>
    </row>
    <row r="10" spans="1:72" s="2186" customFormat="1" ht="13.2">
      <c r="A10" s="2179"/>
      <c r="B10" s="2179"/>
      <c r="C10" s="2179"/>
      <c r="D10" s="2179"/>
      <c r="E10" s="2179"/>
      <c r="F10" s="2179"/>
      <c r="G10" s="1289"/>
      <c r="H10" s="28"/>
      <c r="I10" s="2188" t="s">
        <v>27</v>
      </c>
      <c r="J10" s="978"/>
      <c r="K10" s="2194" t="s">
        <v>1372</v>
      </c>
      <c r="L10" s="978"/>
      <c r="M10" s="2194"/>
      <c r="N10" s="978"/>
      <c r="O10" s="2194"/>
      <c r="P10" s="978"/>
      <c r="Q10" s="2194"/>
      <c r="R10" s="978"/>
      <c r="S10" s="2194"/>
      <c r="T10" s="978"/>
      <c r="U10" s="2194"/>
      <c r="V10" s="978"/>
      <c r="W10" s="2194"/>
      <c r="X10" s="978"/>
      <c r="Y10" s="2194"/>
      <c r="Z10" s="978"/>
      <c r="AA10" s="2194"/>
      <c r="AB10" s="978"/>
      <c r="AC10" s="1289"/>
      <c r="AD10" s="15" t="s">
        <v>1900</v>
      </c>
      <c r="AE10" s="2195"/>
      <c r="AF10" s="15" t="s">
        <v>1900</v>
      </c>
      <c r="AG10" s="2195"/>
      <c r="AH10" s="15" t="s">
        <v>1901</v>
      </c>
      <c r="AI10" s="2195"/>
      <c r="AJ10" s="15" t="s">
        <v>1901</v>
      </c>
      <c r="AK10" s="2195"/>
      <c r="AL10" s="15" t="s">
        <v>1902</v>
      </c>
      <c r="AM10" s="1295"/>
      <c r="AN10" s="15" t="s">
        <v>1902</v>
      </c>
      <c r="AO10" s="1295"/>
      <c r="AP10" s="15" t="s">
        <v>1903</v>
      </c>
      <c r="AQ10" s="1295"/>
      <c r="AR10" s="15" t="s">
        <v>1903</v>
      </c>
      <c r="AS10" s="1295"/>
      <c r="AT10" s="2179"/>
      <c r="AU10" s="2179"/>
      <c r="AV10" s="1289"/>
      <c r="AW10" s="2162"/>
      <c r="AX10" s="1289"/>
      <c r="AY10" s="28"/>
      <c r="AZ10" s="28"/>
      <c r="BA10" s="2196" t="s">
        <v>1894</v>
      </c>
      <c r="BB10" s="2197" t="str">
        <f>I9</f>
        <v>地上</v>
      </c>
      <c r="BC10" s="29" t="str">
        <f>K9</f>
        <v>地上</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8" t="str">
        <f>AR9</f>
        <v>地下</v>
      </c>
    </row>
    <row r="11" spans="1:72" s="2186" customFormat="1" ht="13.2">
      <c r="A11" s="2179"/>
      <c r="B11" s="2179"/>
      <c r="C11" s="2179"/>
      <c r="D11" s="2179"/>
      <c r="E11" s="2179"/>
      <c r="F11" s="2179"/>
      <c r="G11" s="1289"/>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9"/>
      <c r="AD11" s="2201" t="s">
        <v>1904</v>
      </c>
      <c r="AE11" s="1816"/>
      <c r="AF11" s="2201" t="s">
        <v>1904</v>
      </c>
      <c r="AG11" s="1816"/>
      <c r="AH11" s="2201" t="s">
        <v>1905</v>
      </c>
      <c r="AI11" s="2202"/>
      <c r="AJ11" s="2201" t="s">
        <v>1905</v>
      </c>
      <c r="AK11" s="1816"/>
      <c r="AL11" s="1814"/>
      <c r="AM11" s="1816"/>
      <c r="AN11" s="1814"/>
      <c r="AO11" s="1816"/>
      <c r="AP11" s="1814"/>
      <c r="AQ11" s="1816"/>
      <c r="AR11" s="1814"/>
      <c r="AS11" s="1816"/>
      <c r="AT11" s="2162"/>
      <c r="AU11" s="2179"/>
      <c r="AV11" s="1289"/>
      <c r="AW11" s="2162"/>
      <c r="AX11" s="1289"/>
      <c r="AY11" s="28"/>
      <c r="AZ11" s="28"/>
      <c r="BA11" s="28"/>
      <c r="BB11" s="2184" t="str">
        <f>I10</f>
        <v>办公</v>
      </c>
      <c r="BC11" s="2184" t="str">
        <f>K10</f>
        <v>商业</v>
      </c>
      <c r="BD11" s="2184">
        <f>M10</f>
        <v>0</v>
      </c>
      <c r="BE11" s="2184">
        <f>O10</f>
        <v>0</v>
      </c>
      <c r="BF11" s="2184">
        <f>Q10</f>
        <v>0</v>
      </c>
      <c r="BG11" s="2184">
        <f>S10</f>
        <v>0</v>
      </c>
      <c r="BH11" s="2184">
        <f>U10</f>
        <v>0</v>
      </c>
      <c r="BI11" s="2184">
        <f>W10</f>
        <v>0</v>
      </c>
      <c r="BJ11" s="2184">
        <f>Y10</f>
        <v>0</v>
      </c>
      <c r="BK11" s="2184">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6"/>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3">
        <f>AR11</f>
        <v>0</v>
      </c>
    </row>
    <row r="13" spans="1:72" s="2164" customFormat="1" ht="13.2">
      <c r="A13" s="1269"/>
      <c r="B13" s="1269"/>
      <c r="C13" s="1269"/>
      <c r="D13" s="2210" t="s">
        <v>3085</v>
      </c>
      <c r="E13" s="16">
        <f>IF($C$3="是",ROUND($A$3*G13/$B$3,2),ROUND($A$3*(G13-AT13)/$B$3,2))</f>
        <v>14543</v>
      </c>
      <c r="F13" s="32"/>
      <c r="G13" s="33">
        <f>H13+AC13+AT13</f>
        <v>499.07</v>
      </c>
      <c r="H13" s="20">
        <f>SUMIF(I$12:AB$12,"总值",I13:AB13)</f>
        <v>499.07</v>
      </c>
      <c r="I13" s="2211">
        <f>抵押物清单!D3</f>
        <v>55.46</v>
      </c>
      <c r="J13" s="2211"/>
      <c r="K13" s="2211">
        <f>抵押物清单!D225</f>
        <v>443.61</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3">
        <f>ROUND($AY$6*AZ13/$AZ$5,2)</f>
        <v>14543</v>
      </c>
      <c r="AZ13" s="16">
        <f>BA13+BL13</f>
        <v>499.07</v>
      </c>
      <c r="BA13" s="16">
        <f>SUM(BB13:BK13)</f>
        <v>499.07</v>
      </c>
      <c r="BB13" s="16">
        <f>IF($D13="是",I13-J13,0)</f>
        <v>55.46</v>
      </c>
      <c r="BC13" s="16">
        <f>IF($D13="是",K13-L13,0)</f>
        <v>443.61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69"/>
      <c r="B14" s="1269"/>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69"/>
      <c r="B15" s="1269"/>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69"/>
      <c r="B16" s="1269"/>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46.8">
      <c r="A3" s="3104"/>
      <c r="B3" s="3104"/>
      <c r="C3" s="3104"/>
      <c r="D3" s="3105"/>
      <c r="E3" s="31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238"/>
  <sheetViews>
    <sheetView topLeftCell="A211" workbookViewId="0">
      <selection activeCell="I235" sqref="I235"/>
    </sheetView>
  </sheetViews>
  <sheetFormatPr defaultColWidth="13.6640625" defaultRowHeight="15.6"/>
  <cols>
    <col min="1" max="1" width="9.21875" style="2978" customWidth="1"/>
    <col min="2" max="2" width="15.44140625" style="2978" customWidth="1"/>
    <col min="3" max="3" width="13.6640625" style="2978" customWidth="1"/>
    <col min="4" max="4" width="13.6640625" style="2979" customWidth="1"/>
    <col min="5" max="5" width="19.77734375" style="2978" bestFit="1" customWidth="1"/>
    <col min="6" max="6" width="13.6640625" style="2972" customWidth="1"/>
    <col min="7" max="7" width="5.21875" style="2972" customWidth="1"/>
    <col min="8" max="8" width="7.6640625" style="2972" customWidth="1"/>
    <col min="9" max="9" width="13.6640625" style="2972" customWidth="1"/>
    <col min="10" max="10" width="20.88671875" style="2973" bestFit="1" customWidth="1"/>
    <col min="11" max="11" width="9.109375" style="2972" customWidth="1"/>
    <col min="12" max="256" width="13.6640625" style="2972"/>
    <col min="257" max="257" width="9.21875" style="2972" customWidth="1"/>
    <col min="258" max="258" width="15.44140625" style="2972" customWidth="1"/>
    <col min="259" max="260" width="13.6640625" style="2972" customWidth="1"/>
    <col min="261" max="261" width="19.77734375" style="2972" bestFit="1" customWidth="1"/>
    <col min="262" max="262" width="13.6640625" style="2972" customWidth="1"/>
    <col min="263" max="263" width="5.21875" style="2972" customWidth="1"/>
    <col min="264" max="264" width="7.6640625" style="2972" customWidth="1"/>
    <col min="265" max="265" width="13.6640625" style="2972" customWidth="1"/>
    <col min="266" max="266" width="20.88671875" style="2972" bestFit="1" customWidth="1"/>
    <col min="267" max="267" width="9.109375" style="2972" customWidth="1"/>
    <col min="268" max="512" width="13.6640625" style="2972"/>
    <col min="513" max="513" width="9.21875" style="2972" customWidth="1"/>
    <col min="514" max="514" width="15.44140625" style="2972" customWidth="1"/>
    <col min="515" max="516" width="13.6640625" style="2972" customWidth="1"/>
    <col min="517" max="517" width="19.77734375" style="2972" bestFit="1" customWidth="1"/>
    <col min="518" max="518" width="13.6640625" style="2972" customWidth="1"/>
    <col min="519" max="519" width="5.21875" style="2972" customWidth="1"/>
    <col min="520" max="520" width="7.6640625" style="2972" customWidth="1"/>
    <col min="521" max="521" width="13.6640625" style="2972" customWidth="1"/>
    <col min="522" max="522" width="20.88671875" style="2972" bestFit="1" customWidth="1"/>
    <col min="523" max="523" width="9.109375" style="2972" customWidth="1"/>
    <col min="524" max="768" width="13.6640625" style="2972"/>
    <col min="769" max="769" width="9.21875" style="2972" customWidth="1"/>
    <col min="770" max="770" width="15.44140625" style="2972" customWidth="1"/>
    <col min="771" max="772" width="13.6640625" style="2972" customWidth="1"/>
    <col min="773" max="773" width="19.77734375" style="2972" bestFit="1" customWidth="1"/>
    <col min="774" max="774" width="13.6640625" style="2972" customWidth="1"/>
    <col min="775" max="775" width="5.21875" style="2972" customWidth="1"/>
    <col min="776" max="776" width="7.6640625" style="2972" customWidth="1"/>
    <col min="777" max="777" width="13.6640625" style="2972" customWidth="1"/>
    <col min="778" max="778" width="20.88671875" style="2972" bestFit="1" customWidth="1"/>
    <col min="779" max="779" width="9.109375" style="2972" customWidth="1"/>
    <col min="780" max="1024" width="13.6640625" style="2972"/>
    <col min="1025" max="1025" width="9.21875" style="2972" customWidth="1"/>
    <col min="1026" max="1026" width="15.44140625" style="2972" customWidth="1"/>
    <col min="1027" max="1028" width="13.6640625" style="2972" customWidth="1"/>
    <col min="1029" max="1029" width="19.77734375" style="2972" bestFit="1" customWidth="1"/>
    <col min="1030" max="1030" width="13.6640625" style="2972" customWidth="1"/>
    <col min="1031" max="1031" width="5.21875" style="2972" customWidth="1"/>
    <col min="1032" max="1032" width="7.6640625" style="2972" customWidth="1"/>
    <col min="1033" max="1033" width="13.6640625" style="2972" customWidth="1"/>
    <col min="1034" max="1034" width="20.88671875" style="2972" bestFit="1" customWidth="1"/>
    <col min="1035" max="1035" width="9.109375" style="2972" customWidth="1"/>
    <col min="1036" max="1280" width="13.6640625" style="2972"/>
    <col min="1281" max="1281" width="9.21875" style="2972" customWidth="1"/>
    <col min="1282" max="1282" width="15.44140625" style="2972" customWidth="1"/>
    <col min="1283" max="1284" width="13.6640625" style="2972" customWidth="1"/>
    <col min="1285" max="1285" width="19.77734375" style="2972" bestFit="1" customWidth="1"/>
    <col min="1286" max="1286" width="13.6640625" style="2972" customWidth="1"/>
    <col min="1287" max="1287" width="5.21875" style="2972" customWidth="1"/>
    <col min="1288" max="1288" width="7.6640625" style="2972" customWidth="1"/>
    <col min="1289" max="1289" width="13.6640625" style="2972" customWidth="1"/>
    <col min="1290" max="1290" width="20.88671875" style="2972" bestFit="1" customWidth="1"/>
    <col min="1291" max="1291" width="9.109375" style="2972" customWidth="1"/>
    <col min="1292" max="1536" width="13.6640625" style="2972"/>
    <col min="1537" max="1537" width="9.21875" style="2972" customWidth="1"/>
    <col min="1538" max="1538" width="15.44140625" style="2972" customWidth="1"/>
    <col min="1539" max="1540" width="13.6640625" style="2972" customWidth="1"/>
    <col min="1541" max="1541" width="19.77734375" style="2972" bestFit="1" customWidth="1"/>
    <col min="1542" max="1542" width="13.6640625" style="2972" customWidth="1"/>
    <col min="1543" max="1543" width="5.21875" style="2972" customWidth="1"/>
    <col min="1544" max="1544" width="7.6640625" style="2972" customWidth="1"/>
    <col min="1545" max="1545" width="13.6640625" style="2972" customWidth="1"/>
    <col min="1546" max="1546" width="20.88671875" style="2972" bestFit="1" customWidth="1"/>
    <col min="1547" max="1547" width="9.109375" style="2972" customWidth="1"/>
    <col min="1548" max="1792" width="13.6640625" style="2972"/>
    <col min="1793" max="1793" width="9.21875" style="2972" customWidth="1"/>
    <col min="1794" max="1794" width="15.44140625" style="2972" customWidth="1"/>
    <col min="1795" max="1796" width="13.6640625" style="2972" customWidth="1"/>
    <col min="1797" max="1797" width="19.77734375" style="2972" bestFit="1" customWidth="1"/>
    <col min="1798" max="1798" width="13.6640625" style="2972" customWidth="1"/>
    <col min="1799" max="1799" width="5.21875" style="2972" customWidth="1"/>
    <col min="1800" max="1800" width="7.6640625" style="2972" customWidth="1"/>
    <col min="1801" max="1801" width="13.6640625" style="2972" customWidth="1"/>
    <col min="1802" max="1802" width="20.88671875" style="2972" bestFit="1" customWidth="1"/>
    <col min="1803" max="1803" width="9.109375" style="2972" customWidth="1"/>
    <col min="1804" max="2048" width="13.6640625" style="2972"/>
    <col min="2049" max="2049" width="9.21875" style="2972" customWidth="1"/>
    <col min="2050" max="2050" width="15.44140625" style="2972" customWidth="1"/>
    <col min="2051" max="2052" width="13.6640625" style="2972" customWidth="1"/>
    <col min="2053" max="2053" width="19.77734375" style="2972" bestFit="1" customWidth="1"/>
    <col min="2054" max="2054" width="13.6640625" style="2972" customWidth="1"/>
    <col min="2055" max="2055" width="5.21875" style="2972" customWidth="1"/>
    <col min="2056" max="2056" width="7.6640625" style="2972" customWidth="1"/>
    <col min="2057" max="2057" width="13.6640625" style="2972" customWidth="1"/>
    <col min="2058" max="2058" width="20.88671875" style="2972" bestFit="1" customWidth="1"/>
    <col min="2059" max="2059" width="9.109375" style="2972" customWidth="1"/>
    <col min="2060" max="2304" width="13.6640625" style="2972"/>
    <col min="2305" max="2305" width="9.21875" style="2972" customWidth="1"/>
    <col min="2306" max="2306" width="15.44140625" style="2972" customWidth="1"/>
    <col min="2307" max="2308" width="13.6640625" style="2972" customWidth="1"/>
    <col min="2309" max="2309" width="19.77734375" style="2972" bestFit="1" customWidth="1"/>
    <col min="2310" max="2310" width="13.6640625" style="2972" customWidth="1"/>
    <col min="2311" max="2311" width="5.21875" style="2972" customWidth="1"/>
    <col min="2312" max="2312" width="7.6640625" style="2972" customWidth="1"/>
    <col min="2313" max="2313" width="13.6640625" style="2972" customWidth="1"/>
    <col min="2314" max="2314" width="20.88671875" style="2972" bestFit="1" customWidth="1"/>
    <col min="2315" max="2315" width="9.109375" style="2972" customWidth="1"/>
    <col min="2316" max="2560" width="13.6640625" style="2972"/>
    <col min="2561" max="2561" width="9.21875" style="2972" customWidth="1"/>
    <col min="2562" max="2562" width="15.44140625" style="2972" customWidth="1"/>
    <col min="2563" max="2564" width="13.6640625" style="2972" customWidth="1"/>
    <col min="2565" max="2565" width="19.77734375" style="2972" bestFit="1" customWidth="1"/>
    <col min="2566" max="2566" width="13.6640625" style="2972" customWidth="1"/>
    <col min="2567" max="2567" width="5.21875" style="2972" customWidth="1"/>
    <col min="2568" max="2568" width="7.6640625" style="2972" customWidth="1"/>
    <col min="2569" max="2569" width="13.6640625" style="2972" customWidth="1"/>
    <col min="2570" max="2570" width="20.88671875" style="2972" bestFit="1" customWidth="1"/>
    <col min="2571" max="2571" width="9.109375" style="2972" customWidth="1"/>
    <col min="2572" max="2816" width="13.6640625" style="2972"/>
    <col min="2817" max="2817" width="9.21875" style="2972" customWidth="1"/>
    <col min="2818" max="2818" width="15.44140625" style="2972" customWidth="1"/>
    <col min="2819" max="2820" width="13.6640625" style="2972" customWidth="1"/>
    <col min="2821" max="2821" width="19.77734375" style="2972" bestFit="1" customWidth="1"/>
    <col min="2822" max="2822" width="13.6640625" style="2972" customWidth="1"/>
    <col min="2823" max="2823" width="5.21875" style="2972" customWidth="1"/>
    <col min="2824" max="2824" width="7.6640625" style="2972" customWidth="1"/>
    <col min="2825" max="2825" width="13.6640625" style="2972" customWidth="1"/>
    <col min="2826" max="2826" width="20.88671875" style="2972" bestFit="1" customWidth="1"/>
    <col min="2827" max="2827" width="9.109375" style="2972" customWidth="1"/>
    <col min="2828" max="3072" width="13.6640625" style="2972"/>
    <col min="3073" max="3073" width="9.21875" style="2972" customWidth="1"/>
    <col min="3074" max="3074" width="15.44140625" style="2972" customWidth="1"/>
    <col min="3075" max="3076" width="13.6640625" style="2972" customWidth="1"/>
    <col min="3077" max="3077" width="19.77734375" style="2972" bestFit="1" customWidth="1"/>
    <col min="3078" max="3078" width="13.6640625" style="2972" customWidth="1"/>
    <col min="3079" max="3079" width="5.21875" style="2972" customWidth="1"/>
    <col min="3080" max="3080" width="7.6640625" style="2972" customWidth="1"/>
    <col min="3081" max="3081" width="13.6640625" style="2972" customWidth="1"/>
    <col min="3082" max="3082" width="20.88671875" style="2972" bestFit="1" customWidth="1"/>
    <col min="3083" max="3083" width="9.109375" style="2972" customWidth="1"/>
    <col min="3084" max="3328" width="13.6640625" style="2972"/>
    <col min="3329" max="3329" width="9.21875" style="2972" customWidth="1"/>
    <col min="3330" max="3330" width="15.44140625" style="2972" customWidth="1"/>
    <col min="3331" max="3332" width="13.6640625" style="2972" customWidth="1"/>
    <col min="3333" max="3333" width="19.77734375" style="2972" bestFit="1" customWidth="1"/>
    <col min="3334" max="3334" width="13.6640625" style="2972" customWidth="1"/>
    <col min="3335" max="3335" width="5.21875" style="2972" customWidth="1"/>
    <col min="3336" max="3336" width="7.6640625" style="2972" customWidth="1"/>
    <col min="3337" max="3337" width="13.6640625" style="2972" customWidth="1"/>
    <col min="3338" max="3338" width="20.88671875" style="2972" bestFit="1" customWidth="1"/>
    <col min="3339" max="3339" width="9.109375" style="2972" customWidth="1"/>
    <col min="3340" max="3584" width="13.6640625" style="2972"/>
    <col min="3585" max="3585" width="9.21875" style="2972" customWidth="1"/>
    <col min="3586" max="3586" width="15.44140625" style="2972" customWidth="1"/>
    <col min="3587" max="3588" width="13.6640625" style="2972" customWidth="1"/>
    <col min="3589" max="3589" width="19.77734375" style="2972" bestFit="1" customWidth="1"/>
    <col min="3590" max="3590" width="13.6640625" style="2972" customWidth="1"/>
    <col min="3591" max="3591" width="5.21875" style="2972" customWidth="1"/>
    <col min="3592" max="3592" width="7.6640625" style="2972" customWidth="1"/>
    <col min="3593" max="3593" width="13.6640625" style="2972" customWidth="1"/>
    <col min="3594" max="3594" width="20.88671875" style="2972" bestFit="1" customWidth="1"/>
    <col min="3595" max="3595" width="9.109375" style="2972" customWidth="1"/>
    <col min="3596" max="3840" width="13.6640625" style="2972"/>
    <col min="3841" max="3841" width="9.21875" style="2972" customWidth="1"/>
    <col min="3842" max="3842" width="15.44140625" style="2972" customWidth="1"/>
    <col min="3843" max="3844" width="13.6640625" style="2972" customWidth="1"/>
    <col min="3845" max="3845" width="19.77734375" style="2972" bestFit="1" customWidth="1"/>
    <col min="3846" max="3846" width="13.6640625" style="2972" customWidth="1"/>
    <col min="3847" max="3847" width="5.21875" style="2972" customWidth="1"/>
    <col min="3848" max="3848" width="7.6640625" style="2972" customWidth="1"/>
    <col min="3849" max="3849" width="13.6640625" style="2972" customWidth="1"/>
    <col min="3850" max="3850" width="20.88671875" style="2972" bestFit="1" customWidth="1"/>
    <col min="3851" max="3851" width="9.109375" style="2972" customWidth="1"/>
    <col min="3852" max="4096" width="13.6640625" style="2972"/>
    <col min="4097" max="4097" width="9.21875" style="2972" customWidth="1"/>
    <col min="4098" max="4098" width="15.44140625" style="2972" customWidth="1"/>
    <col min="4099" max="4100" width="13.6640625" style="2972" customWidth="1"/>
    <col min="4101" max="4101" width="19.77734375" style="2972" bestFit="1" customWidth="1"/>
    <col min="4102" max="4102" width="13.6640625" style="2972" customWidth="1"/>
    <col min="4103" max="4103" width="5.21875" style="2972" customWidth="1"/>
    <col min="4104" max="4104" width="7.6640625" style="2972" customWidth="1"/>
    <col min="4105" max="4105" width="13.6640625" style="2972" customWidth="1"/>
    <col min="4106" max="4106" width="20.88671875" style="2972" bestFit="1" customWidth="1"/>
    <col min="4107" max="4107" width="9.109375" style="2972" customWidth="1"/>
    <col min="4108" max="4352" width="13.6640625" style="2972"/>
    <col min="4353" max="4353" width="9.21875" style="2972" customWidth="1"/>
    <col min="4354" max="4354" width="15.44140625" style="2972" customWidth="1"/>
    <col min="4355" max="4356" width="13.6640625" style="2972" customWidth="1"/>
    <col min="4357" max="4357" width="19.77734375" style="2972" bestFit="1" customWidth="1"/>
    <col min="4358" max="4358" width="13.6640625" style="2972" customWidth="1"/>
    <col min="4359" max="4359" width="5.21875" style="2972" customWidth="1"/>
    <col min="4360" max="4360" width="7.6640625" style="2972" customWidth="1"/>
    <col min="4361" max="4361" width="13.6640625" style="2972" customWidth="1"/>
    <col min="4362" max="4362" width="20.88671875" style="2972" bestFit="1" customWidth="1"/>
    <col min="4363" max="4363" width="9.109375" style="2972" customWidth="1"/>
    <col min="4364" max="4608" width="13.6640625" style="2972"/>
    <col min="4609" max="4609" width="9.21875" style="2972" customWidth="1"/>
    <col min="4610" max="4610" width="15.44140625" style="2972" customWidth="1"/>
    <col min="4611" max="4612" width="13.6640625" style="2972" customWidth="1"/>
    <col min="4613" max="4613" width="19.77734375" style="2972" bestFit="1" customWidth="1"/>
    <col min="4614" max="4614" width="13.6640625" style="2972" customWidth="1"/>
    <col min="4615" max="4615" width="5.21875" style="2972" customWidth="1"/>
    <col min="4616" max="4616" width="7.6640625" style="2972" customWidth="1"/>
    <col min="4617" max="4617" width="13.6640625" style="2972" customWidth="1"/>
    <col min="4618" max="4618" width="20.88671875" style="2972" bestFit="1" customWidth="1"/>
    <col min="4619" max="4619" width="9.109375" style="2972" customWidth="1"/>
    <col min="4620" max="4864" width="13.6640625" style="2972"/>
    <col min="4865" max="4865" width="9.21875" style="2972" customWidth="1"/>
    <col min="4866" max="4866" width="15.44140625" style="2972" customWidth="1"/>
    <col min="4867" max="4868" width="13.6640625" style="2972" customWidth="1"/>
    <col min="4869" max="4869" width="19.77734375" style="2972" bestFit="1" customWidth="1"/>
    <col min="4870" max="4870" width="13.6640625" style="2972" customWidth="1"/>
    <col min="4871" max="4871" width="5.21875" style="2972" customWidth="1"/>
    <col min="4872" max="4872" width="7.6640625" style="2972" customWidth="1"/>
    <col min="4873" max="4873" width="13.6640625" style="2972" customWidth="1"/>
    <col min="4874" max="4874" width="20.88671875" style="2972" bestFit="1" customWidth="1"/>
    <col min="4875" max="4875" width="9.109375" style="2972" customWidth="1"/>
    <col min="4876" max="5120" width="13.6640625" style="2972"/>
    <col min="5121" max="5121" width="9.21875" style="2972" customWidth="1"/>
    <col min="5122" max="5122" width="15.44140625" style="2972" customWidth="1"/>
    <col min="5123" max="5124" width="13.6640625" style="2972" customWidth="1"/>
    <col min="5125" max="5125" width="19.77734375" style="2972" bestFit="1" customWidth="1"/>
    <col min="5126" max="5126" width="13.6640625" style="2972" customWidth="1"/>
    <col min="5127" max="5127" width="5.21875" style="2972" customWidth="1"/>
    <col min="5128" max="5128" width="7.6640625" style="2972" customWidth="1"/>
    <col min="5129" max="5129" width="13.6640625" style="2972" customWidth="1"/>
    <col min="5130" max="5130" width="20.88671875" style="2972" bestFit="1" customWidth="1"/>
    <col min="5131" max="5131" width="9.109375" style="2972" customWidth="1"/>
    <col min="5132" max="5376" width="13.6640625" style="2972"/>
    <col min="5377" max="5377" width="9.21875" style="2972" customWidth="1"/>
    <col min="5378" max="5378" width="15.44140625" style="2972" customWidth="1"/>
    <col min="5379" max="5380" width="13.6640625" style="2972" customWidth="1"/>
    <col min="5381" max="5381" width="19.77734375" style="2972" bestFit="1" customWidth="1"/>
    <col min="5382" max="5382" width="13.6640625" style="2972" customWidth="1"/>
    <col min="5383" max="5383" width="5.21875" style="2972" customWidth="1"/>
    <col min="5384" max="5384" width="7.6640625" style="2972" customWidth="1"/>
    <col min="5385" max="5385" width="13.6640625" style="2972" customWidth="1"/>
    <col min="5386" max="5386" width="20.88671875" style="2972" bestFit="1" customWidth="1"/>
    <col min="5387" max="5387" width="9.109375" style="2972" customWidth="1"/>
    <col min="5388" max="5632" width="13.6640625" style="2972"/>
    <col min="5633" max="5633" width="9.21875" style="2972" customWidth="1"/>
    <col min="5634" max="5634" width="15.44140625" style="2972" customWidth="1"/>
    <col min="5635" max="5636" width="13.6640625" style="2972" customWidth="1"/>
    <col min="5637" max="5637" width="19.77734375" style="2972" bestFit="1" customWidth="1"/>
    <col min="5638" max="5638" width="13.6640625" style="2972" customWidth="1"/>
    <col min="5639" max="5639" width="5.21875" style="2972" customWidth="1"/>
    <col min="5640" max="5640" width="7.6640625" style="2972" customWidth="1"/>
    <col min="5641" max="5641" width="13.6640625" style="2972" customWidth="1"/>
    <col min="5642" max="5642" width="20.88671875" style="2972" bestFit="1" customWidth="1"/>
    <col min="5643" max="5643" width="9.109375" style="2972" customWidth="1"/>
    <col min="5644" max="5888" width="13.6640625" style="2972"/>
    <col min="5889" max="5889" width="9.21875" style="2972" customWidth="1"/>
    <col min="5890" max="5890" width="15.44140625" style="2972" customWidth="1"/>
    <col min="5891" max="5892" width="13.6640625" style="2972" customWidth="1"/>
    <col min="5893" max="5893" width="19.77734375" style="2972" bestFit="1" customWidth="1"/>
    <col min="5894" max="5894" width="13.6640625" style="2972" customWidth="1"/>
    <col min="5895" max="5895" width="5.21875" style="2972" customWidth="1"/>
    <col min="5896" max="5896" width="7.6640625" style="2972" customWidth="1"/>
    <col min="5897" max="5897" width="13.6640625" style="2972" customWidth="1"/>
    <col min="5898" max="5898" width="20.88671875" style="2972" bestFit="1" customWidth="1"/>
    <col min="5899" max="5899" width="9.109375" style="2972" customWidth="1"/>
    <col min="5900" max="6144" width="13.6640625" style="2972"/>
    <col min="6145" max="6145" width="9.21875" style="2972" customWidth="1"/>
    <col min="6146" max="6146" width="15.44140625" style="2972" customWidth="1"/>
    <col min="6147" max="6148" width="13.6640625" style="2972" customWidth="1"/>
    <col min="6149" max="6149" width="19.77734375" style="2972" bestFit="1" customWidth="1"/>
    <col min="6150" max="6150" width="13.6640625" style="2972" customWidth="1"/>
    <col min="6151" max="6151" width="5.21875" style="2972" customWidth="1"/>
    <col min="6152" max="6152" width="7.6640625" style="2972" customWidth="1"/>
    <col min="6153" max="6153" width="13.6640625" style="2972" customWidth="1"/>
    <col min="6154" max="6154" width="20.88671875" style="2972" bestFit="1" customWidth="1"/>
    <col min="6155" max="6155" width="9.109375" style="2972" customWidth="1"/>
    <col min="6156" max="6400" width="13.6640625" style="2972"/>
    <col min="6401" max="6401" width="9.21875" style="2972" customWidth="1"/>
    <col min="6402" max="6402" width="15.44140625" style="2972" customWidth="1"/>
    <col min="6403" max="6404" width="13.6640625" style="2972" customWidth="1"/>
    <col min="6405" max="6405" width="19.77734375" style="2972" bestFit="1" customWidth="1"/>
    <col min="6406" max="6406" width="13.6640625" style="2972" customWidth="1"/>
    <col min="6407" max="6407" width="5.21875" style="2972" customWidth="1"/>
    <col min="6408" max="6408" width="7.6640625" style="2972" customWidth="1"/>
    <col min="6409" max="6409" width="13.6640625" style="2972" customWidth="1"/>
    <col min="6410" max="6410" width="20.88671875" style="2972" bestFit="1" customWidth="1"/>
    <col min="6411" max="6411" width="9.109375" style="2972" customWidth="1"/>
    <col min="6412" max="6656" width="13.6640625" style="2972"/>
    <col min="6657" max="6657" width="9.21875" style="2972" customWidth="1"/>
    <col min="6658" max="6658" width="15.44140625" style="2972" customWidth="1"/>
    <col min="6659" max="6660" width="13.6640625" style="2972" customWidth="1"/>
    <col min="6661" max="6661" width="19.77734375" style="2972" bestFit="1" customWidth="1"/>
    <col min="6662" max="6662" width="13.6640625" style="2972" customWidth="1"/>
    <col min="6663" max="6663" width="5.21875" style="2972" customWidth="1"/>
    <col min="6664" max="6664" width="7.6640625" style="2972" customWidth="1"/>
    <col min="6665" max="6665" width="13.6640625" style="2972" customWidth="1"/>
    <col min="6666" max="6666" width="20.88671875" style="2972" bestFit="1" customWidth="1"/>
    <col min="6667" max="6667" width="9.109375" style="2972" customWidth="1"/>
    <col min="6668" max="6912" width="13.6640625" style="2972"/>
    <col min="6913" max="6913" width="9.21875" style="2972" customWidth="1"/>
    <col min="6914" max="6914" width="15.44140625" style="2972" customWidth="1"/>
    <col min="6915" max="6916" width="13.6640625" style="2972" customWidth="1"/>
    <col min="6917" max="6917" width="19.77734375" style="2972" bestFit="1" customWidth="1"/>
    <col min="6918" max="6918" width="13.6640625" style="2972" customWidth="1"/>
    <col min="6919" max="6919" width="5.21875" style="2972" customWidth="1"/>
    <col min="6920" max="6920" width="7.6640625" style="2972" customWidth="1"/>
    <col min="6921" max="6921" width="13.6640625" style="2972" customWidth="1"/>
    <col min="6922" max="6922" width="20.88671875" style="2972" bestFit="1" customWidth="1"/>
    <col min="6923" max="6923" width="9.109375" style="2972" customWidth="1"/>
    <col min="6924" max="7168" width="13.6640625" style="2972"/>
    <col min="7169" max="7169" width="9.21875" style="2972" customWidth="1"/>
    <col min="7170" max="7170" width="15.44140625" style="2972" customWidth="1"/>
    <col min="7171" max="7172" width="13.6640625" style="2972" customWidth="1"/>
    <col min="7173" max="7173" width="19.77734375" style="2972" bestFit="1" customWidth="1"/>
    <col min="7174" max="7174" width="13.6640625" style="2972" customWidth="1"/>
    <col min="7175" max="7175" width="5.21875" style="2972" customWidth="1"/>
    <col min="7176" max="7176" width="7.6640625" style="2972" customWidth="1"/>
    <col min="7177" max="7177" width="13.6640625" style="2972" customWidth="1"/>
    <col min="7178" max="7178" width="20.88671875" style="2972" bestFit="1" customWidth="1"/>
    <col min="7179" max="7179" width="9.109375" style="2972" customWidth="1"/>
    <col min="7180" max="7424" width="13.6640625" style="2972"/>
    <col min="7425" max="7425" width="9.21875" style="2972" customWidth="1"/>
    <col min="7426" max="7426" width="15.44140625" style="2972" customWidth="1"/>
    <col min="7427" max="7428" width="13.6640625" style="2972" customWidth="1"/>
    <col min="7429" max="7429" width="19.77734375" style="2972" bestFit="1" customWidth="1"/>
    <col min="7430" max="7430" width="13.6640625" style="2972" customWidth="1"/>
    <col min="7431" max="7431" width="5.21875" style="2972" customWidth="1"/>
    <col min="7432" max="7432" width="7.6640625" style="2972" customWidth="1"/>
    <col min="7433" max="7433" width="13.6640625" style="2972" customWidth="1"/>
    <col min="7434" max="7434" width="20.88671875" style="2972" bestFit="1" customWidth="1"/>
    <col min="7435" max="7435" width="9.109375" style="2972" customWidth="1"/>
    <col min="7436" max="7680" width="13.6640625" style="2972"/>
    <col min="7681" max="7681" width="9.21875" style="2972" customWidth="1"/>
    <col min="7682" max="7682" width="15.44140625" style="2972" customWidth="1"/>
    <col min="7683" max="7684" width="13.6640625" style="2972" customWidth="1"/>
    <col min="7685" max="7685" width="19.77734375" style="2972" bestFit="1" customWidth="1"/>
    <col min="7686" max="7686" width="13.6640625" style="2972" customWidth="1"/>
    <col min="7687" max="7687" width="5.21875" style="2972" customWidth="1"/>
    <col min="7688" max="7688" width="7.6640625" style="2972" customWidth="1"/>
    <col min="7689" max="7689" width="13.6640625" style="2972" customWidth="1"/>
    <col min="7690" max="7690" width="20.88671875" style="2972" bestFit="1" customWidth="1"/>
    <col min="7691" max="7691" width="9.109375" style="2972" customWidth="1"/>
    <col min="7692" max="7936" width="13.6640625" style="2972"/>
    <col min="7937" max="7937" width="9.21875" style="2972" customWidth="1"/>
    <col min="7938" max="7938" width="15.44140625" style="2972" customWidth="1"/>
    <col min="7939" max="7940" width="13.6640625" style="2972" customWidth="1"/>
    <col min="7941" max="7941" width="19.77734375" style="2972" bestFit="1" customWidth="1"/>
    <col min="7942" max="7942" width="13.6640625" style="2972" customWidth="1"/>
    <col min="7943" max="7943" width="5.21875" style="2972" customWidth="1"/>
    <col min="7944" max="7944" width="7.6640625" style="2972" customWidth="1"/>
    <col min="7945" max="7945" width="13.6640625" style="2972" customWidth="1"/>
    <col min="7946" max="7946" width="20.88671875" style="2972" bestFit="1" customWidth="1"/>
    <col min="7947" max="7947" width="9.109375" style="2972" customWidth="1"/>
    <col min="7948" max="8192" width="13.6640625" style="2972"/>
    <col min="8193" max="8193" width="9.21875" style="2972" customWidth="1"/>
    <col min="8194" max="8194" width="15.44140625" style="2972" customWidth="1"/>
    <col min="8195" max="8196" width="13.6640625" style="2972" customWidth="1"/>
    <col min="8197" max="8197" width="19.77734375" style="2972" bestFit="1" customWidth="1"/>
    <col min="8198" max="8198" width="13.6640625" style="2972" customWidth="1"/>
    <col min="8199" max="8199" width="5.21875" style="2972" customWidth="1"/>
    <col min="8200" max="8200" width="7.6640625" style="2972" customWidth="1"/>
    <col min="8201" max="8201" width="13.6640625" style="2972" customWidth="1"/>
    <col min="8202" max="8202" width="20.88671875" style="2972" bestFit="1" customWidth="1"/>
    <col min="8203" max="8203" width="9.109375" style="2972" customWidth="1"/>
    <col min="8204" max="8448" width="13.6640625" style="2972"/>
    <col min="8449" max="8449" width="9.21875" style="2972" customWidth="1"/>
    <col min="8450" max="8450" width="15.44140625" style="2972" customWidth="1"/>
    <col min="8451" max="8452" width="13.6640625" style="2972" customWidth="1"/>
    <col min="8453" max="8453" width="19.77734375" style="2972" bestFit="1" customWidth="1"/>
    <col min="8454" max="8454" width="13.6640625" style="2972" customWidth="1"/>
    <col min="8455" max="8455" width="5.21875" style="2972" customWidth="1"/>
    <col min="8456" max="8456" width="7.6640625" style="2972" customWidth="1"/>
    <col min="8457" max="8457" width="13.6640625" style="2972" customWidth="1"/>
    <col min="8458" max="8458" width="20.88671875" style="2972" bestFit="1" customWidth="1"/>
    <col min="8459" max="8459" width="9.109375" style="2972" customWidth="1"/>
    <col min="8460" max="8704" width="13.6640625" style="2972"/>
    <col min="8705" max="8705" width="9.21875" style="2972" customWidth="1"/>
    <col min="8706" max="8706" width="15.44140625" style="2972" customWidth="1"/>
    <col min="8707" max="8708" width="13.6640625" style="2972" customWidth="1"/>
    <col min="8709" max="8709" width="19.77734375" style="2972" bestFit="1" customWidth="1"/>
    <col min="8710" max="8710" width="13.6640625" style="2972" customWidth="1"/>
    <col min="8711" max="8711" width="5.21875" style="2972" customWidth="1"/>
    <col min="8712" max="8712" width="7.6640625" style="2972" customWidth="1"/>
    <col min="8713" max="8713" width="13.6640625" style="2972" customWidth="1"/>
    <col min="8714" max="8714" width="20.88671875" style="2972" bestFit="1" customWidth="1"/>
    <col min="8715" max="8715" width="9.109375" style="2972" customWidth="1"/>
    <col min="8716" max="8960" width="13.6640625" style="2972"/>
    <col min="8961" max="8961" width="9.21875" style="2972" customWidth="1"/>
    <col min="8962" max="8962" width="15.44140625" style="2972" customWidth="1"/>
    <col min="8963" max="8964" width="13.6640625" style="2972" customWidth="1"/>
    <col min="8965" max="8965" width="19.77734375" style="2972" bestFit="1" customWidth="1"/>
    <col min="8966" max="8966" width="13.6640625" style="2972" customWidth="1"/>
    <col min="8967" max="8967" width="5.21875" style="2972" customWidth="1"/>
    <col min="8968" max="8968" width="7.6640625" style="2972" customWidth="1"/>
    <col min="8969" max="8969" width="13.6640625" style="2972" customWidth="1"/>
    <col min="8970" max="8970" width="20.88671875" style="2972" bestFit="1" customWidth="1"/>
    <col min="8971" max="8971" width="9.109375" style="2972" customWidth="1"/>
    <col min="8972" max="9216" width="13.6640625" style="2972"/>
    <col min="9217" max="9217" width="9.21875" style="2972" customWidth="1"/>
    <col min="9218" max="9218" width="15.44140625" style="2972" customWidth="1"/>
    <col min="9219" max="9220" width="13.6640625" style="2972" customWidth="1"/>
    <col min="9221" max="9221" width="19.77734375" style="2972" bestFit="1" customWidth="1"/>
    <col min="9222" max="9222" width="13.6640625" style="2972" customWidth="1"/>
    <col min="9223" max="9223" width="5.21875" style="2972" customWidth="1"/>
    <col min="9224" max="9224" width="7.6640625" style="2972" customWidth="1"/>
    <col min="9225" max="9225" width="13.6640625" style="2972" customWidth="1"/>
    <col min="9226" max="9226" width="20.88671875" style="2972" bestFit="1" customWidth="1"/>
    <col min="9227" max="9227" width="9.109375" style="2972" customWidth="1"/>
    <col min="9228" max="9472" width="13.6640625" style="2972"/>
    <col min="9473" max="9473" width="9.21875" style="2972" customWidth="1"/>
    <col min="9474" max="9474" width="15.44140625" style="2972" customWidth="1"/>
    <col min="9475" max="9476" width="13.6640625" style="2972" customWidth="1"/>
    <col min="9477" max="9477" width="19.77734375" style="2972" bestFit="1" customWidth="1"/>
    <col min="9478" max="9478" width="13.6640625" style="2972" customWidth="1"/>
    <col min="9479" max="9479" width="5.21875" style="2972" customWidth="1"/>
    <col min="9480" max="9480" width="7.6640625" style="2972" customWidth="1"/>
    <col min="9481" max="9481" width="13.6640625" style="2972" customWidth="1"/>
    <col min="9482" max="9482" width="20.88671875" style="2972" bestFit="1" customWidth="1"/>
    <col min="9483" max="9483" width="9.109375" style="2972" customWidth="1"/>
    <col min="9484" max="9728" width="13.6640625" style="2972"/>
    <col min="9729" max="9729" width="9.21875" style="2972" customWidth="1"/>
    <col min="9730" max="9730" width="15.44140625" style="2972" customWidth="1"/>
    <col min="9731" max="9732" width="13.6640625" style="2972" customWidth="1"/>
    <col min="9733" max="9733" width="19.77734375" style="2972" bestFit="1" customWidth="1"/>
    <col min="9734" max="9734" width="13.6640625" style="2972" customWidth="1"/>
    <col min="9735" max="9735" width="5.21875" style="2972" customWidth="1"/>
    <col min="9736" max="9736" width="7.6640625" style="2972" customWidth="1"/>
    <col min="9737" max="9737" width="13.6640625" style="2972" customWidth="1"/>
    <col min="9738" max="9738" width="20.88671875" style="2972" bestFit="1" customWidth="1"/>
    <col min="9739" max="9739" width="9.109375" style="2972" customWidth="1"/>
    <col min="9740" max="9984" width="13.6640625" style="2972"/>
    <col min="9985" max="9985" width="9.21875" style="2972" customWidth="1"/>
    <col min="9986" max="9986" width="15.44140625" style="2972" customWidth="1"/>
    <col min="9987" max="9988" width="13.6640625" style="2972" customWidth="1"/>
    <col min="9989" max="9989" width="19.77734375" style="2972" bestFit="1" customWidth="1"/>
    <col min="9990" max="9990" width="13.6640625" style="2972" customWidth="1"/>
    <col min="9991" max="9991" width="5.21875" style="2972" customWidth="1"/>
    <col min="9992" max="9992" width="7.6640625" style="2972" customWidth="1"/>
    <col min="9993" max="9993" width="13.6640625" style="2972" customWidth="1"/>
    <col min="9994" max="9994" width="20.88671875" style="2972" bestFit="1" customWidth="1"/>
    <col min="9995" max="9995" width="9.109375" style="2972" customWidth="1"/>
    <col min="9996" max="10240" width="13.6640625" style="2972"/>
    <col min="10241" max="10241" width="9.21875" style="2972" customWidth="1"/>
    <col min="10242" max="10242" width="15.44140625" style="2972" customWidth="1"/>
    <col min="10243" max="10244" width="13.6640625" style="2972" customWidth="1"/>
    <col min="10245" max="10245" width="19.77734375" style="2972" bestFit="1" customWidth="1"/>
    <col min="10246" max="10246" width="13.6640625" style="2972" customWidth="1"/>
    <col min="10247" max="10247" width="5.21875" style="2972" customWidth="1"/>
    <col min="10248" max="10248" width="7.6640625" style="2972" customWidth="1"/>
    <col min="10249" max="10249" width="13.6640625" style="2972" customWidth="1"/>
    <col min="10250" max="10250" width="20.88671875" style="2972" bestFit="1" customWidth="1"/>
    <col min="10251" max="10251" width="9.109375" style="2972" customWidth="1"/>
    <col min="10252" max="10496" width="13.6640625" style="2972"/>
    <col min="10497" max="10497" width="9.21875" style="2972" customWidth="1"/>
    <col min="10498" max="10498" width="15.44140625" style="2972" customWidth="1"/>
    <col min="10499" max="10500" width="13.6640625" style="2972" customWidth="1"/>
    <col min="10501" max="10501" width="19.77734375" style="2972" bestFit="1" customWidth="1"/>
    <col min="10502" max="10502" width="13.6640625" style="2972" customWidth="1"/>
    <col min="10503" max="10503" width="5.21875" style="2972" customWidth="1"/>
    <col min="10504" max="10504" width="7.6640625" style="2972" customWidth="1"/>
    <col min="10505" max="10505" width="13.6640625" style="2972" customWidth="1"/>
    <col min="10506" max="10506" width="20.88671875" style="2972" bestFit="1" customWidth="1"/>
    <col min="10507" max="10507" width="9.109375" style="2972" customWidth="1"/>
    <col min="10508" max="10752" width="13.6640625" style="2972"/>
    <col min="10753" max="10753" width="9.21875" style="2972" customWidth="1"/>
    <col min="10754" max="10754" width="15.44140625" style="2972" customWidth="1"/>
    <col min="10755" max="10756" width="13.6640625" style="2972" customWidth="1"/>
    <col min="10757" max="10757" width="19.77734375" style="2972" bestFit="1" customWidth="1"/>
    <col min="10758" max="10758" width="13.6640625" style="2972" customWidth="1"/>
    <col min="10759" max="10759" width="5.21875" style="2972" customWidth="1"/>
    <col min="10760" max="10760" width="7.6640625" style="2972" customWidth="1"/>
    <col min="10761" max="10761" width="13.6640625" style="2972" customWidth="1"/>
    <col min="10762" max="10762" width="20.88671875" style="2972" bestFit="1" customWidth="1"/>
    <col min="10763" max="10763" width="9.109375" style="2972" customWidth="1"/>
    <col min="10764" max="11008" width="13.6640625" style="2972"/>
    <col min="11009" max="11009" width="9.21875" style="2972" customWidth="1"/>
    <col min="11010" max="11010" width="15.44140625" style="2972" customWidth="1"/>
    <col min="11011" max="11012" width="13.6640625" style="2972" customWidth="1"/>
    <col min="11013" max="11013" width="19.77734375" style="2972" bestFit="1" customWidth="1"/>
    <col min="11014" max="11014" width="13.6640625" style="2972" customWidth="1"/>
    <col min="11015" max="11015" width="5.21875" style="2972" customWidth="1"/>
    <col min="11016" max="11016" width="7.6640625" style="2972" customWidth="1"/>
    <col min="11017" max="11017" width="13.6640625" style="2972" customWidth="1"/>
    <col min="11018" max="11018" width="20.88671875" style="2972" bestFit="1" customWidth="1"/>
    <col min="11019" max="11019" width="9.109375" style="2972" customWidth="1"/>
    <col min="11020" max="11264" width="13.6640625" style="2972"/>
    <col min="11265" max="11265" width="9.21875" style="2972" customWidth="1"/>
    <col min="11266" max="11266" width="15.44140625" style="2972" customWidth="1"/>
    <col min="11267" max="11268" width="13.6640625" style="2972" customWidth="1"/>
    <col min="11269" max="11269" width="19.77734375" style="2972" bestFit="1" customWidth="1"/>
    <col min="11270" max="11270" width="13.6640625" style="2972" customWidth="1"/>
    <col min="11271" max="11271" width="5.21875" style="2972" customWidth="1"/>
    <col min="11272" max="11272" width="7.6640625" style="2972" customWidth="1"/>
    <col min="11273" max="11273" width="13.6640625" style="2972" customWidth="1"/>
    <col min="11274" max="11274" width="20.88671875" style="2972" bestFit="1" customWidth="1"/>
    <col min="11275" max="11275" width="9.109375" style="2972" customWidth="1"/>
    <col min="11276" max="11520" width="13.6640625" style="2972"/>
    <col min="11521" max="11521" width="9.21875" style="2972" customWidth="1"/>
    <col min="11522" max="11522" width="15.44140625" style="2972" customWidth="1"/>
    <col min="11523" max="11524" width="13.6640625" style="2972" customWidth="1"/>
    <col min="11525" max="11525" width="19.77734375" style="2972" bestFit="1" customWidth="1"/>
    <col min="11526" max="11526" width="13.6640625" style="2972" customWidth="1"/>
    <col min="11527" max="11527" width="5.21875" style="2972" customWidth="1"/>
    <col min="11528" max="11528" width="7.6640625" style="2972" customWidth="1"/>
    <col min="11529" max="11529" width="13.6640625" style="2972" customWidth="1"/>
    <col min="11530" max="11530" width="20.88671875" style="2972" bestFit="1" customWidth="1"/>
    <col min="11531" max="11531" width="9.109375" style="2972" customWidth="1"/>
    <col min="11532" max="11776" width="13.6640625" style="2972"/>
    <col min="11777" max="11777" width="9.21875" style="2972" customWidth="1"/>
    <col min="11778" max="11778" width="15.44140625" style="2972" customWidth="1"/>
    <col min="11779" max="11780" width="13.6640625" style="2972" customWidth="1"/>
    <col min="11781" max="11781" width="19.77734375" style="2972" bestFit="1" customWidth="1"/>
    <col min="11782" max="11782" width="13.6640625" style="2972" customWidth="1"/>
    <col min="11783" max="11783" width="5.21875" style="2972" customWidth="1"/>
    <col min="11784" max="11784" width="7.6640625" style="2972" customWidth="1"/>
    <col min="11785" max="11785" width="13.6640625" style="2972" customWidth="1"/>
    <col min="11786" max="11786" width="20.88671875" style="2972" bestFit="1" customWidth="1"/>
    <col min="11787" max="11787" width="9.109375" style="2972" customWidth="1"/>
    <col min="11788" max="12032" width="13.6640625" style="2972"/>
    <col min="12033" max="12033" width="9.21875" style="2972" customWidth="1"/>
    <col min="12034" max="12034" width="15.44140625" style="2972" customWidth="1"/>
    <col min="12035" max="12036" width="13.6640625" style="2972" customWidth="1"/>
    <col min="12037" max="12037" width="19.77734375" style="2972" bestFit="1" customWidth="1"/>
    <col min="12038" max="12038" width="13.6640625" style="2972" customWidth="1"/>
    <col min="12039" max="12039" width="5.21875" style="2972" customWidth="1"/>
    <col min="12040" max="12040" width="7.6640625" style="2972" customWidth="1"/>
    <col min="12041" max="12041" width="13.6640625" style="2972" customWidth="1"/>
    <col min="12042" max="12042" width="20.88671875" style="2972" bestFit="1" customWidth="1"/>
    <col min="12043" max="12043" width="9.109375" style="2972" customWidth="1"/>
    <col min="12044" max="12288" width="13.6640625" style="2972"/>
    <col min="12289" max="12289" width="9.21875" style="2972" customWidth="1"/>
    <col min="12290" max="12290" width="15.44140625" style="2972" customWidth="1"/>
    <col min="12291" max="12292" width="13.6640625" style="2972" customWidth="1"/>
    <col min="12293" max="12293" width="19.77734375" style="2972" bestFit="1" customWidth="1"/>
    <col min="12294" max="12294" width="13.6640625" style="2972" customWidth="1"/>
    <col min="12295" max="12295" width="5.21875" style="2972" customWidth="1"/>
    <col min="12296" max="12296" width="7.6640625" style="2972" customWidth="1"/>
    <col min="12297" max="12297" width="13.6640625" style="2972" customWidth="1"/>
    <col min="12298" max="12298" width="20.88671875" style="2972" bestFit="1" customWidth="1"/>
    <col min="12299" max="12299" width="9.109375" style="2972" customWidth="1"/>
    <col min="12300" max="12544" width="13.6640625" style="2972"/>
    <col min="12545" max="12545" width="9.21875" style="2972" customWidth="1"/>
    <col min="12546" max="12546" width="15.44140625" style="2972" customWidth="1"/>
    <col min="12547" max="12548" width="13.6640625" style="2972" customWidth="1"/>
    <col min="12549" max="12549" width="19.77734375" style="2972" bestFit="1" customWidth="1"/>
    <col min="12550" max="12550" width="13.6640625" style="2972" customWidth="1"/>
    <col min="12551" max="12551" width="5.21875" style="2972" customWidth="1"/>
    <col min="12552" max="12552" width="7.6640625" style="2972" customWidth="1"/>
    <col min="12553" max="12553" width="13.6640625" style="2972" customWidth="1"/>
    <col min="12554" max="12554" width="20.88671875" style="2972" bestFit="1" customWidth="1"/>
    <col min="12555" max="12555" width="9.109375" style="2972" customWidth="1"/>
    <col min="12556" max="12800" width="13.6640625" style="2972"/>
    <col min="12801" max="12801" width="9.21875" style="2972" customWidth="1"/>
    <col min="12802" max="12802" width="15.44140625" style="2972" customWidth="1"/>
    <col min="12803" max="12804" width="13.6640625" style="2972" customWidth="1"/>
    <col min="12805" max="12805" width="19.77734375" style="2972" bestFit="1" customWidth="1"/>
    <col min="12806" max="12806" width="13.6640625" style="2972" customWidth="1"/>
    <col min="12807" max="12807" width="5.21875" style="2972" customWidth="1"/>
    <col min="12808" max="12808" width="7.6640625" style="2972" customWidth="1"/>
    <col min="12809" max="12809" width="13.6640625" style="2972" customWidth="1"/>
    <col min="12810" max="12810" width="20.88671875" style="2972" bestFit="1" customWidth="1"/>
    <col min="12811" max="12811" width="9.109375" style="2972" customWidth="1"/>
    <col min="12812" max="13056" width="13.6640625" style="2972"/>
    <col min="13057" max="13057" width="9.21875" style="2972" customWidth="1"/>
    <col min="13058" max="13058" width="15.44140625" style="2972" customWidth="1"/>
    <col min="13059" max="13060" width="13.6640625" style="2972" customWidth="1"/>
    <col min="13061" max="13061" width="19.77734375" style="2972" bestFit="1" customWidth="1"/>
    <col min="13062" max="13062" width="13.6640625" style="2972" customWidth="1"/>
    <col min="13063" max="13063" width="5.21875" style="2972" customWidth="1"/>
    <col min="13064" max="13064" width="7.6640625" style="2972" customWidth="1"/>
    <col min="13065" max="13065" width="13.6640625" style="2972" customWidth="1"/>
    <col min="13066" max="13066" width="20.88671875" style="2972" bestFit="1" customWidth="1"/>
    <col min="13067" max="13067" width="9.109375" style="2972" customWidth="1"/>
    <col min="13068" max="13312" width="13.6640625" style="2972"/>
    <col min="13313" max="13313" width="9.21875" style="2972" customWidth="1"/>
    <col min="13314" max="13314" width="15.44140625" style="2972" customWidth="1"/>
    <col min="13315" max="13316" width="13.6640625" style="2972" customWidth="1"/>
    <col min="13317" max="13317" width="19.77734375" style="2972" bestFit="1" customWidth="1"/>
    <col min="13318" max="13318" width="13.6640625" style="2972" customWidth="1"/>
    <col min="13319" max="13319" width="5.21875" style="2972" customWidth="1"/>
    <col min="13320" max="13320" width="7.6640625" style="2972" customWidth="1"/>
    <col min="13321" max="13321" width="13.6640625" style="2972" customWidth="1"/>
    <col min="13322" max="13322" width="20.88671875" style="2972" bestFit="1" customWidth="1"/>
    <col min="13323" max="13323" width="9.109375" style="2972" customWidth="1"/>
    <col min="13324" max="13568" width="13.6640625" style="2972"/>
    <col min="13569" max="13569" width="9.21875" style="2972" customWidth="1"/>
    <col min="13570" max="13570" width="15.44140625" style="2972" customWidth="1"/>
    <col min="13571" max="13572" width="13.6640625" style="2972" customWidth="1"/>
    <col min="13573" max="13573" width="19.77734375" style="2972" bestFit="1" customWidth="1"/>
    <col min="13574" max="13574" width="13.6640625" style="2972" customWidth="1"/>
    <col min="13575" max="13575" width="5.21875" style="2972" customWidth="1"/>
    <col min="13576" max="13576" width="7.6640625" style="2972" customWidth="1"/>
    <col min="13577" max="13577" width="13.6640625" style="2972" customWidth="1"/>
    <col min="13578" max="13578" width="20.88671875" style="2972" bestFit="1" customWidth="1"/>
    <col min="13579" max="13579" width="9.109375" style="2972" customWidth="1"/>
    <col min="13580" max="13824" width="13.6640625" style="2972"/>
    <col min="13825" max="13825" width="9.21875" style="2972" customWidth="1"/>
    <col min="13826" max="13826" width="15.44140625" style="2972" customWidth="1"/>
    <col min="13827" max="13828" width="13.6640625" style="2972" customWidth="1"/>
    <col min="13829" max="13829" width="19.77734375" style="2972" bestFit="1" customWidth="1"/>
    <col min="13830" max="13830" width="13.6640625" style="2972" customWidth="1"/>
    <col min="13831" max="13831" width="5.21875" style="2972" customWidth="1"/>
    <col min="13832" max="13832" width="7.6640625" style="2972" customWidth="1"/>
    <col min="13833" max="13833" width="13.6640625" style="2972" customWidth="1"/>
    <col min="13834" max="13834" width="20.88671875" style="2972" bestFit="1" customWidth="1"/>
    <col min="13835" max="13835" width="9.109375" style="2972" customWidth="1"/>
    <col min="13836" max="14080" width="13.6640625" style="2972"/>
    <col min="14081" max="14081" width="9.21875" style="2972" customWidth="1"/>
    <col min="14082" max="14082" width="15.44140625" style="2972" customWidth="1"/>
    <col min="14083" max="14084" width="13.6640625" style="2972" customWidth="1"/>
    <col min="14085" max="14085" width="19.77734375" style="2972" bestFit="1" customWidth="1"/>
    <col min="14086" max="14086" width="13.6640625" style="2972" customWidth="1"/>
    <col min="14087" max="14087" width="5.21875" style="2972" customWidth="1"/>
    <col min="14088" max="14088" width="7.6640625" style="2972" customWidth="1"/>
    <col min="14089" max="14089" width="13.6640625" style="2972" customWidth="1"/>
    <col min="14090" max="14090" width="20.88671875" style="2972" bestFit="1" customWidth="1"/>
    <col min="14091" max="14091" width="9.109375" style="2972" customWidth="1"/>
    <col min="14092" max="14336" width="13.6640625" style="2972"/>
    <col min="14337" max="14337" width="9.21875" style="2972" customWidth="1"/>
    <col min="14338" max="14338" width="15.44140625" style="2972" customWidth="1"/>
    <col min="14339" max="14340" width="13.6640625" style="2972" customWidth="1"/>
    <col min="14341" max="14341" width="19.77734375" style="2972" bestFit="1" customWidth="1"/>
    <col min="14342" max="14342" width="13.6640625" style="2972" customWidth="1"/>
    <col min="14343" max="14343" width="5.21875" style="2972" customWidth="1"/>
    <col min="14344" max="14344" width="7.6640625" style="2972" customWidth="1"/>
    <col min="14345" max="14345" width="13.6640625" style="2972" customWidth="1"/>
    <col min="14346" max="14346" width="20.88671875" style="2972" bestFit="1" customWidth="1"/>
    <col min="14347" max="14347" width="9.109375" style="2972" customWidth="1"/>
    <col min="14348" max="14592" width="13.6640625" style="2972"/>
    <col min="14593" max="14593" width="9.21875" style="2972" customWidth="1"/>
    <col min="14594" max="14594" width="15.44140625" style="2972" customWidth="1"/>
    <col min="14595" max="14596" width="13.6640625" style="2972" customWidth="1"/>
    <col min="14597" max="14597" width="19.77734375" style="2972" bestFit="1" customWidth="1"/>
    <col min="14598" max="14598" width="13.6640625" style="2972" customWidth="1"/>
    <col min="14599" max="14599" width="5.21875" style="2972" customWidth="1"/>
    <col min="14600" max="14600" width="7.6640625" style="2972" customWidth="1"/>
    <col min="14601" max="14601" width="13.6640625" style="2972" customWidth="1"/>
    <col min="14602" max="14602" width="20.88671875" style="2972" bestFit="1" customWidth="1"/>
    <col min="14603" max="14603" width="9.109375" style="2972" customWidth="1"/>
    <col min="14604" max="14848" width="13.6640625" style="2972"/>
    <col min="14849" max="14849" width="9.21875" style="2972" customWidth="1"/>
    <col min="14850" max="14850" width="15.44140625" style="2972" customWidth="1"/>
    <col min="14851" max="14852" width="13.6640625" style="2972" customWidth="1"/>
    <col min="14853" max="14853" width="19.77734375" style="2972" bestFit="1" customWidth="1"/>
    <col min="14854" max="14854" width="13.6640625" style="2972" customWidth="1"/>
    <col min="14855" max="14855" width="5.21875" style="2972" customWidth="1"/>
    <col min="14856" max="14856" width="7.6640625" style="2972" customWidth="1"/>
    <col min="14857" max="14857" width="13.6640625" style="2972" customWidth="1"/>
    <col min="14858" max="14858" width="20.88671875" style="2972" bestFit="1" customWidth="1"/>
    <col min="14859" max="14859" width="9.109375" style="2972" customWidth="1"/>
    <col min="14860" max="15104" width="13.6640625" style="2972"/>
    <col min="15105" max="15105" width="9.21875" style="2972" customWidth="1"/>
    <col min="15106" max="15106" width="15.44140625" style="2972" customWidth="1"/>
    <col min="15107" max="15108" width="13.6640625" style="2972" customWidth="1"/>
    <col min="15109" max="15109" width="19.77734375" style="2972" bestFit="1" customWidth="1"/>
    <col min="15110" max="15110" width="13.6640625" style="2972" customWidth="1"/>
    <col min="15111" max="15111" width="5.21875" style="2972" customWidth="1"/>
    <col min="15112" max="15112" width="7.6640625" style="2972" customWidth="1"/>
    <col min="15113" max="15113" width="13.6640625" style="2972" customWidth="1"/>
    <col min="15114" max="15114" width="20.88671875" style="2972" bestFit="1" customWidth="1"/>
    <col min="15115" max="15115" width="9.109375" style="2972" customWidth="1"/>
    <col min="15116" max="15360" width="13.6640625" style="2972"/>
    <col min="15361" max="15361" width="9.21875" style="2972" customWidth="1"/>
    <col min="15362" max="15362" width="15.44140625" style="2972" customWidth="1"/>
    <col min="15363" max="15364" width="13.6640625" style="2972" customWidth="1"/>
    <col min="15365" max="15365" width="19.77734375" style="2972" bestFit="1" customWidth="1"/>
    <col min="15366" max="15366" width="13.6640625" style="2972" customWidth="1"/>
    <col min="15367" max="15367" width="5.21875" style="2972" customWidth="1"/>
    <col min="15368" max="15368" width="7.6640625" style="2972" customWidth="1"/>
    <col min="15369" max="15369" width="13.6640625" style="2972" customWidth="1"/>
    <col min="15370" max="15370" width="20.88671875" style="2972" bestFit="1" customWidth="1"/>
    <col min="15371" max="15371" width="9.109375" style="2972" customWidth="1"/>
    <col min="15372" max="15616" width="13.6640625" style="2972"/>
    <col min="15617" max="15617" width="9.21875" style="2972" customWidth="1"/>
    <col min="15618" max="15618" width="15.44140625" style="2972" customWidth="1"/>
    <col min="15619" max="15620" width="13.6640625" style="2972" customWidth="1"/>
    <col min="15621" max="15621" width="19.77734375" style="2972" bestFit="1" customWidth="1"/>
    <col min="15622" max="15622" width="13.6640625" style="2972" customWidth="1"/>
    <col min="15623" max="15623" width="5.21875" style="2972" customWidth="1"/>
    <col min="15624" max="15624" width="7.6640625" style="2972" customWidth="1"/>
    <col min="15625" max="15625" width="13.6640625" style="2972" customWidth="1"/>
    <col min="15626" max="15626" width="20.88671875" style="2972" bestFit="1" customWidth="1"/>
    <col min="15627" max="15627" width="9.109375" style="2972" customWidth="1"/>
    <col min="15628" max="15872" width="13.6640625" style="2972"/>
    <col min="15873" max="15873" width="9.21875" style="2972" customWidth="1"/>
    <col min="15874" max="15874" width="15.44140625" style="2972" customWidth="1"/>
    <col min="15875" max="15876" width="13.6640625" style="2972" customWidth="1"/>
    <col min="15877" max="15877" width="19.77734375" style="2972" bestFit="1" customWidth="1"/>
    <col min="15878" max="15878" width="13.6640625" style="2972" customWidth="1"/>
    <col min="15879" max="15879" width="5.21875" style="2972" customWidth="1"/>
    <col min="15880" max="15880" width="7.6640625" style="2972" customWidth="1"/>
    <col min="15881" max="15881" width="13.6640625" style="2972" customWidth="1"/>
    <col min="15882" max="15882" width="20.88671875" style="2972" bestFit="1" customWidth="1"/>
    <col min="15883" max="15883" width="9.109375" style="2972" customWidth="1"/>
    <col min="15884" max="16128" width="13.6640625" style="2972"/>
    <col min="16129" max="16129" width="9.21875" style="2972" customWidth="1"/>
    <col min="16130" max="16130" width="15.44140625" style="2972" customWidth="1"/>
    <col min="16131" max="16132" width="13.6640625" style="2972" customWidth="1"/>
    <col min="16133" max="16133" width="19.77734375" style="2972" bestFit="1" customWidth="1"/>
    <col min="16134" max="16134" width="13.6640625" style="2972" customWidth="1"/>
    <col min="16135" max="16135" width="5.21875" style="2972" customWidth="1"/>
    <col min="16136" max="16136" width="7.6640625" style="2972" customWidth="1"/>
    <col min="16137" max="16137" width="13.6640625" style="2972" customWidth="1"/>
    <col min="16138" max="16138" width="20.88671875" style="2972" bestFit="1" customWidth="1"/>
    <col min="16139" max="16139" width="9.109375" style="2972" customWidth="1"/>
    <col min="16140" max="16384" width="13.6640625" style="2972"/>
  </cols>
  <sheetData>
    <row r="1" spans="1:5" ht="41.25" customHeight="1">
      <c r="A1" s="3106" t="s">
        <v>3097</v>
      </c>
      <c r="B1" s="3107"/>
      <c r="C1" s="3107"/>
      <c r="D1" s="3107"/>
      <c r="E1" s="3107"/>
    </row>
    <row r="2" spans="1:5" ht="31.2">
      <c r="A2" s="2974" t="s">
        <v>3055</v>
      </c>
      <c r="B2" s="2974" t="s">
        <v>3056</v>
      </c>
      <c r="C2" s="2974" t="s">
        <v>3057</v>
      </c>
      <c r="D2" s="2975" t="s">
        <v>3058</v>
      </c>
      <c r="E2" s="2974" t="s">
        <v>3059</v>
      </c>
    </row>
    <row r="3" spans="1:5" ht="18.899999999999999" customHeight="1">
      <c r="A3" s="2976">
        <v>1</v>
      </c>
      <c r="B3" s="2976" t="s">
        <v>3060</v>
      </c>
      <c r="C3" s="2976">
        <v>301</v>
      </c>
      <c r="D3" s="2977">
        <v>55.46</v>
      </c>
      <c r="E3" s="2976" t="s">
        <v>3061</v>
      </c>
    </row>
    <row r="4" spans="1:5" ht="18.899999999999999" customHeight="1">
      <c r="A4" s="2976">
        <v>2</v>
      </c>
      <c r="B4" s="2976" t="s">
        <v>3060</v>
      </c>
      <c r="C4" s="2976">
        <v>302</v>
      </c>
      <c r="D4" s="2977">
        <v>53.04</v>
      </c>
      <c r="E4" s="2976" t="s">
        <v>3061</v>
      </c>
    </row>
    <row r="5" spans="1:5" ht="18.899999999999999" customHeight="1">
      <c r="A5" s="2976">
        <v>3</v>
      </c>
      <c r="B5" s="2976" t="s">
        <v>3060</v>
      </c>
      <c r="C5" s="2976">
        <v>303</v>
      </c>
      <c r="D5" s="2977">
        <v>63.92</v>
      </c>
      <c r="E5" s="2976" t="s">
        <v>3061</v>
      </c>
    </row>
    <row r="6" spans="1:5" ht="18.899999999999999" customHeight="1">
      <c r="A6" s="2976">
        <v>4</v>
      </c>
      <c r="B6" s="2976" t="s">
        <v>3060</v>
      </c>
      <c r="C6" s="2976">
        <v>305</v>
      </c>
      <c r="D6" s="2977">
        <v>63.71</v>
      </c>
      <c r="E6" s="2976" t="s">
        <v>3061</v>
      </c>
    </row>
    <row r="7" spans="1:5" ht="18.899999999999999" customHeight="1">
      <c r="A7" s="2976">
        <v>5</v>
      </c>
      <c r="B7" s="2976" t="s">
        <v>3060</v>
      </c>
      <c r="C7" s="2976">
        <v>306</v>
      </c>
      <c r="D7" s="2977">
        <v>64.39</v>
      </c>
      <c r="E7" s="2976" t="s">
        <v>3061</v>
      </c>
    </row>
    <row r="8" spans="1:5" ht="18.899999999999999" customHeight="1">
      <c r="A8" s="2976">
        <v>6</v>
      </c>
      <c r="B8" s="2976" t="s">
        <v>3060</v>
      </c>
      <c r="C8" s="2976">
        <v>307</v>
      </c>
      <c r="D8" s="2977">
        <v>102.3</v>
      </c>
      <c r="E8" s="2976" t="s">
        <v>3061</v>
      </c>
    </row>
    <row r="9" spans="1:5" ht="18.899999999999999" customHeight="1">
      <c r="A9" s="2976">
        <v>7</v>
      </c>
      <c r="B9" s="2976" t="s">
        <v>3060</v>
      </c>
      <c r="C9" s="2976">
        <v>308</v>
      </c>
      <c r="D9" s="2977">
        <v>62.25</v>
      </c>
      <c r="E9" s="2976" t="s">
        <v>3061</v>
      </c>
    </row>
    <row r="10" spans="1:5" ht="18.899999999999999" customHeight="1">
      <c r="A10" s="2976">
        <v>8</v>
      </c>
      <c r="B10" s="2976" t="s">
        <v>3060</v>
      </c>
      <c r="C10" s="2976">
        <v>501</v>
      </c>
      <c r="D10" s="2977">
        <v>55.46</v>
      </c>
      <c r="E10" s="2976" t="s">
        <v>3061</v>
      </c>
    </row>
    <row r="11" spans="1:5" ht="18.899999999999999" customHeight="1">
      <c r="A11" s="2976">
        <v>9</v>
      </c>
      <c r="B11" s="2976" t="s">
        <v>3060</v>
      </c>
      <c r="C11" s="2976">
        <v>502</v>
      </c>
      <c r="D11" s="2977">
        <v>53.04</v>
      </c>
      <c r="E11" s="2976" t="s">
        <v>3061</v>
      </c>
    </row>
    <row r="12" spans="1:5" ht="18.899999999999999" customHeight="1">
      <c r="A12" s="2976">
        <v>10</v>
      </c>
      <c r="B12" s="2976" t="s">
        <v>3060</v>
      </c>
      <c r="C12" s="2976">
        <v>503</v>
      </c>
      <c r="D12" s="2977">
        <v>63.92</v>
      </c>
      <c r="E12" s="2976" t="s">
        <v>3061</v>
      </c>
    </row>
    <row r="13" spans="1:5" ht="18.899999999999999" customHeight="1">
      <c r="A13" s="2976">
        <v>11</v>
      </c>
      <c r="B13" s="2976" t="s">
        <v>3060</v>
      </c>
      <c r="C13" s="2976">
        <v>505</v>
      </c>
      <c r="D13" s="2977">
        <v>63.71</v>
      </c>
      <c r="E13" s="2976" t="s">
        <v>3061</v>
      </c>
    </row>
    <row r="14" spans="1:5" ht="18.899999999999999" customHeight="1">
      <c r="A14" s="2976">
        <v>12</v>
      </c>
      <c r="B14" s="2976" t="s">
        <v>3060</v>
      </c>
      <c r="C14" s="2976">
        <v>506</v>
      </c>
      <c r="D14" s="2977">
        <v>64.39</v>
      </c>
      <c r="E14" s="2976" t="s">
        <v>3061</v>
      </c>
    </row>
    <row r="15" spans="1:5" ht="18.899999999999999" customHeight="1">
      <c r="A15" s="2976">
        <v>13</v>
      </c>
      <c r="B15" s="2976" t="s">
        <v>3060</v>
      </c>
      <c r="C15" s="2976">
        <v>507</v>
      </c>
      <c r="D15" s="2977">
        <v>102.3</v>
      </c>
      <c r="E15" s="2976" t="s">
        <v>3061</v>
      </c>
    </row>
    <row r="16" spans="1:5" ht="18.899999999999999" customHeight="1">
      <c r="A16" s="2976">
        <v>14</v>
      </c>
      <c r="B16" s="2976" t="s">
        <v>3060</v>
      </c>
      <c r="C16" s="2976">
        <v>508</v>
      </c>
      <c r="D16" s="2977">
        <v>62.25</v>
      </c>
      <c r="E16" s="2976" t="s">
        <v>3061</v>
      </c>
    </row>
    <row r="17" spans="1:5" ht="18.899999999999999" customHeight="1">
      <c r="A17" s="2976">
        <v>15</v>
      </c>
      <c r="B17" s="2976" t="s">
        <v>3060</v>
      </c>
      <c r="C17" s="2976">
        <v>601</v>
      </c>
      <c r="D17" s="2977">
        <v>55.46</v>
      </c>
      <c r="E17" s="2976" t="s">
        <v>3061</v>
      </c>
    </row>
    <row r="18" spans="1:5" ht="18.899999999999999" customHeight="1">
      <c r="A18" s="2976">
        <v>16</v>
      </c>
      <c r="B18" s="2976" t="s">
        <v>3060</v>
      </c>
      <c r="C18" s="2976">
        <v>602</v>
      </c>
      <c r="D18" s="2977">
        <v>53.04</v>
      </c>
      <c r="E18" s="2976" t="s">
        <v>3061</v>
      </c>
    </row>
    <row r="19" spans="1:5" ht="18.899999999999999" customHeight="1">
      <c r="A19" s="2976">
        <v>17</v>
      </c>
      <c r="B19" s="2976" t="s">
        <v>3060</v>
      </c>
      <c r="C19" s="2976">
        <v>603</v>
      </c>
      <c r="D19" s="2977">
        <v>63.92</v>
      </c>
      <c r="E19" s="2976" t="s">
        <v>3061</v>
      </c>
    </row>
    <row r="20" spans="1:5" ht="18.899999999999999" customHeight="1">
      <c r="A20" s="2976">
        <v>18</v>
      </c>
      <c r="B20" s="2976" t="s">
        <v>3060</v>
      </c>
      <c r="C20" s="2976">
        <v>605</v>
      </c>
      <c r="D20" s="2977">
        <v>63.71</v>
      </c>
      <c r="E20" s="2976" t="s">
        <v>3061</v>
      </c>
    </row>
    <row r="21" spans="1:5" ht="18.899999999999999" customHeight="1">
      <c r="A21" s="2976">
        <v>19</v>
      </c>
      <c r="B21" s="2976" t="s">
        <v>3060</v>
      </c>
      <c r="C21" s="2976">
        <v>606</v>
      </c>
      <c r="D21" s="2977">
        <v>64.39</v>
      </c>
      <c r="E21" s="2976" t="s">
        <v>3061</v>
      </c>
    </row>
    <row r="22" spans="1:5" ht="18.899999999999999" customHeight="1">
      <c r="A22" s="2976">
        <v>20</v>
      </c>
      <c r="B22" s="2976" t="s">
        <v>3060</v>
      </c>
      <c r="C22" s="2976">
        <v>607</v>
      </c>
      <c r="D22" s="2977">
        <v>102.3</v>
      </c>
      <c r="E22" s="2976" t="s">
        <v>3061</v>
      </c>
    </row>
    <row r="23" spans="1:5" ht="18.899999999999999" customHeight="1">
      <c r="A23" s="2976">
        <v>21</v>
      </c>
      <c r="B23" s="2976" t="s">
        <v>3060</v>
      </c>
      <c r="C23" s="2976">
        <v>608</v>
      </c>
      <c r="D23" s="2977">
        <v>62.25</v>
      </c>
      <c r="E23" s="2976" t="s">
        <v>3061</v>
      </c>
    </row>
    <row r="24" spans="1:5" ht="18.899999999999999" customHeight="1">
      <c r="A24" s="2976">
        <v>22</v>
      </c>
      <c r="B24" s="2976" t="s">
        <v>3060</v>
      </c>
      <c r="C24" s="2976">
        <v>701</v>
      </c>
      <c r="D24" s="2977">
        <v>55.46</v>
      </c>
      <c r="E24" s="2976" t="s">
        <v>3061</v>
      </c>
    </row>
    <row r="25" spans="1:5" ht="18.899999999999999" customHeight="1">
      <c r="A25" s="2976">
        <v>23</v>
      </c>
      <c r="B25" s="2976" t="s">
        <v>3060</v>
      </c>
      <c r="C25" s="2976">
        <v>702</v>
      </c>
      <c r="D25" s="2977">
        <v>53.04</v>
      </c>
      <c r="E25" s="2976" t="s">
        <v>3061</v>
      </c>
    </row>
    <row r="26" spans="1:5" ht="18.899999999999999" customHeight="1">
      <c r="A26" s="2976">
        <v>24</v>
      </c>
      <c r="B26" s="2976" t="s">
        <v>3060</v>
      </c>
      <c r="C26" s="2976">
        <v>703</v>
      </c>
      <c r="D26" s="2977">
        <v>63.92</v>
      </c>
      <c r="E26" s="2976" t="s">
        <v>3061</v>
      </c>
    </row>
    <row r="27" spans="1:5" ht="18.899999999999999" customHeight="1">
      <c r="A27" s="2976">
        <v>25</v>
      </c>
      <c r="B27" s="2976" t="s">
        <v>3060</v>
      </c>
      <c r="C27" s="2976">
        <v>705</v>
      </c>
      <c r="D27" s="2977">
        <v>63.71</v>
      </c>
      <c r="E27" s="2976" t="s">
        <v>3061</v>
      </c>
    </row>
    <row r="28" spans="1:5" ht="18.899999999999999" customHeight="1">
      <c r="A28" s="2976">
        <v>26</v>
      </c>
      <c r="B28" s="2976" t="s">
        <v>3060</v>
      </c>
      <c r="C28" s="2976">
        <v>706</v>
      </c>
      <c r="D28" s="2977">
        <v>64.39</v>
      </c>
      <c r="E28" s="2976" t="s">
        <v>3061</v>
      </c>
    </row>
    <row r="29" spans="1:5" ht="18.899999999999999" customHeight="1">
      <c r="A29" s="2976">
        <v>27</v>
      </c>
      <c r="B29" s="2976" t="s">
        <v>3060</v>
      </c>
      <c r="C29" s="2976">
        <v>707</v>
      </c>
      <c r="D29" s="2977">
        <v>102.3</v>
      </c>
      <c r="E29" s="2976" t="s">
        <v>3061</v>
      </c>
    </row>
    <row r="30" spans="1:5" ht="18.899999999999999" customHeight="1">
      <c r="A30" s="2976">
        <v>28</v>
      </c>
      <c r="B30" s="2976" t="s">
        <v>3060</v>
      </c>
      <c r="C30" s="2976">
        <v>708</v>
      </c>
      <c r="D30" s="2977">
        <v>62.25</v>
      </c>
      <c r="E30" s="2976" t="s">
        <v>3061</v>
      </c>
    </row>
    <row r="31" spans="1:5" ht="18.899999999999999" customHeight="1">
      <c r="A31" s="2976">
        <v>29</v>
      </c>
      <c r="B31" s="2976" t="s">
        <v>3060</v>
      </c>
      <c r="C31" s="2976">
        <v>801</v>
      </c>
      <c r="D31" s="2977">
        <v>55.46</v>
      </c>
      <c r="E31" s="2976" t="s">
        <v>3061</v>
      </c>
    </row>
    <row r="32" spans="1:5" ht="18.899999999999999" customHeight="1">
      <c r="A32" s="2976">
        <v>30</v>
      </c>
      <c r="B32" s="2976" t="s">
        <v>3060</v>
      </c>
      <c r="C32" s="2976">
        <v>802</v>
      </c>
      <c r="D32" s="2977">
        <v>53.04</v>
      </c>
      <c r="E32" s="2976" t="s">
        <v>3061</v>
      </c>
    </row>
    <row r="33" spans="1:5" ht="18.899999999999999" customHeight="1">
      <c r="A33" s="2976">
        <v>31</v>
      </c>
      <c r="B33" s="2976" t="s">
        <v>3060</v>
      </c>
      <c r="C33" s="2976">
        <v>803</v>
      </c>
      <c r="D33" s="2977">
        <v>63.92</v>
      </c>
      <c r="E33" s="2976" t="s">
        <v>3061</v>
      </c>
    </row>
    <row r="34" spans="1:5" ht="18.899999999999999" customHeight="1">
      <c r="A34" s="2976">
        <v>32</v>
      </c>
      <c r="B34" s="2976" t="s">
        <v>3060</v>
      </c>
      <c r="C34" s="2976">
        <v>805</v>
      </c>
      <c r="D34" s="2977">
        <v>63.71</v>
      </c>
      <c r="E34" s="2976" t="s">
        <v>3061</v>
      </c>
    </row>
    <row r="35" spans="1:5" ht="18.899999999999999" customHeight="1">
      <c r="A35" s="2976">
        <v>33</v>
      </c>
      <c r="B35" s="2976" t="s">
        <v>3060</v>
      </c>
      <c r="C35" s="2976">
        <v>806</v>
      </c>
      <c r="D35" s="2977">
        <v>64.39</v>
      </c>
      <c r="E35" s="2976" t="s">
        <v>3061</v>
      </c>
    </row>
    <row r="36" spans="1:5" ht="18.899999999999999" customHeight="1">
      <c r="A36" s="2976">
        <v>34</v>
      </c>
      <c r="B36" s="2976" t="s">
        <v>3060</v>
      </c>
      <c r="C36" s="2976">
        <v>807</v>
      </c>
      <c r="D36" s="2977">
        <v>102.3</v>
      </c>
      <c r="E36" s="2976" t="s">
        <v>3061</v>
      </c>
    </row>
    <row r="37" spans="1:5" ht="18.899999999999999" customHeight="1">
      <c r="A37" s="2976">
        <v>35</v>
      </c>
      <c r="B37" s="2976" t="s">
        <v>3060</v>
      </c>
      <c r="C37" s="2976">
        <v>808</v>
      </c>
      <c r="D37" s="2977">
        <v>62.25</v>
      </c>
      <c r="E37" s="2976" t="s">
        <v>3061</v>
      </c>
    </row>
    <row r="38" spans="1:5" ht="18.899999999999999" customHeight="1">
      <c r="A38" s="2976">
        <v>36</v>
      </c>
      <c r="B38" s="2976" t="s">
        <v>3060</v>
      </c>
      <c r="C38" s="2976">
        <v>901</v>
      </c>
      <c r="D38" s="2977">
        <v>55.46</v>
      </c>
      <c r="E38" s="2976" t="s">
        <v>3061</v>
      </c>
    </row>
    <row r="39" spans="1:5" ht="18.899999999999999" customHeight="1">
      <c r="A39" s="2976">
        <v>37</v>
      </c>
      <c r="B39" s="2976" t="s">
        <v>3060</v>
      </c>
      <c r="C39" s="2976">
        <v>902</v>
      </c>
      <c r="D39" s="2977">
        <v>53.04</v>
      </c>
      <c r="E39" s="2976" t="s">
        <v>3061</v>
      </c>
    </row>
    <row r="40" spans="1:5" ht="18.899999999999999" customHeight="1">
      <c r="A40" s="2976">
        <v>38</v>
      </c>
      <c r="B40" s="2976" t="s">
        <v>3060</v>
      </c>
      <c r="C40" s="2976">
        <v>903</v>
      </c>
      <c r="D40" s="2977">
        <v>63.92</v>
      </c>
      <c r="E40" s="2976" t="s">
        <v>3061</v>
      </c>
    </row>
    <row r="41" spans="1:5" ht="18.899999999999999" customHeight="1">
      <c r="A41" s="2976">
        <v>39</v>
      </c>
      <c r="B41" s="2976" t="s">
        <v>3060</v>
      </c>
      <c r="C41" s="2976">
        <v>905</v>
      </c>
      <c r="D41" s="2977">
        <v>63.71</v>
      </c>
      <c r="E41" s="2976" t="s">
        <v>3061</v>
      </c>
    </row>
    <row r="42" spans="1:5" ht="18.899999999999999" customHeight="1">
      <c r="A42" s="2976">
        <v>40</v>
      </c>
      <c r="B42" s="2976" t="s">
        <v>3060</v>
      </c>
      <c r="C42" s="2976">
        <v>906</v>
      </c>
      <c r="D42" s="2977">
        <v>64.39</v>
      </c>
      <c r="E42" s="2976" t="s">
        <v>3061</v>
      </c>
    </row>
    <row r="43" spans="1:5" ht="18.899999999999999" customHeight="1">
      <c r="A43" s="2976">
        <v>41</v>
      </c>
      <c r="B43" s="2976" t="s">
        <v>3060</v>
      </c>
      <c r="C43" s="2976">
        <v>907</v>
      </c>
      <c r="D43" s="2977">
        <v>102.3</v>
      </c>
      <c r="E43" s="2976" t="s">
        <v>3061</v>
      </c>
    </row>
    <row r="44" spans="1:5" ht="18.899999999999999" customHeight="1">
      <c r="A44" s="2976">
        <v>42</v>
      </c>
      <c r="B44" s="2976" t="s">
        <v>3060</v>
      </c>
      <c r="C44" s="2976">
        <v>908</v>
      </c>
      <c r="D44" s="2977">
        <v>62.25</v>
      </c>
      <c r="E44" s="2976" t="s">
        <v>3061</v>
      </c>
    </row>
    <row r="45" spans="1:5" ht="18.899999999999999" customHeight="1">
      <c r="A45" s="2976">
        <v>43</v>
      </c>
      <c r="B45" s="2976" t="s">
        <v>3060</v>
      </c>
      <c r="C45" s="2976">
        <v>1001</v>
      </c>
      <c r="D45" s="2977">
        <v>55.46</v>
      </c>
      <c r="E45" s="2976" t="s">
        <v>3061</v>
      </c>
    </row>
    <row r="46" spans="1:5" ht="18.899999999999999" customHeight="1">
      <c r="A46" s="2976">
        <v>44</v>
      </c>
      <c r="B46" s="2976" t="s">
        <v>3060</v>
      </c>
      <c r="C46" s="2976">
        <v>1002</v>
      </c>
      <c r="D46" s="2977">
        <v>53.04</v>
      </c>
      <c r="E46" s="2976" t="s">
        <v>3061</v>
      </c>
    </row>
    <row r="47" spans="1:5" ht="18.899999999999999" customHeight="1">
      <c r="A47" s="2976">
        <v>45</v>
      </c>
      <c r="B47" s="2976" t="s">
        <v>3060</v>
      </c>
      <c r="C47" s="2976">
        <v>1003</v>
      </c>
      <c r="D47" s="2977">
        <v>63.92</v>
      </c>
      <c r="E47" s="2976" t="s">
        <v>3061</v>
      </c>
    </row>
    <row r="48" spans="1:5" ht="18.899999999999999" customHeight="1">
      <c r="A48" s="2976">
        <v>46</v>
      </c>
      <c r="B48" s="2976" t="s">
        <v>3060</v>
      </c>
      <c r="C48" s="2976">
        <v>1005</v>
      </c>
      <c r="D48" s="2977">
        <v>63.71</v>
      </c>
      <c r="E48" s="2976" t="s">
        <v>3061</v>
      </c>
    </row>
    <row r="49" spans="1:5" ht="18.899999999999999" customHeight="1">
      <c r="A49" s="2976">
        <v>47</v>
      </c>
      <c r="B49" s="2976" t="s">
        <v>3060</v>
      </c>
      <c r="C49" s="2976">
        <v>1006</v>
      </c>
      <c r="D49" s="2977">
        <v>64.39</v>
      </c>
      <c r="E49" s="2976" t="s">
        <v>3061</v>
      </c>
    </row>
    <row r="50" spans="1:5" ht="18.899999999999999" customHeight="1">
      <c r="A50" s="2976">
        <v>48</v>
      </c>
      <c r="B50" s="2976" t="s">
        <v>3060</v>
      </c>
      <c r="C50" s="2976">
        <v>1007</v>
      </c>
      <c r="D50" s="2977">
        <v>102.3</v>
      </c>
      <c r="E50" s="2976" t="s">
        <v>3061</v>
      </c>
    </row>
    <row r="51" spans="1:5" ht="18.899999999999999" customHeight="1">
      <c r="A51" s="2976">
        <v>49</v>
      </c>
      <c r="B51" s="2976" t="s">
        <v>3060</v>
      </c>
      <c r="C51" s="2976">
        <v>1008</v>
      </c>
      <c r="D51" s="2977">
        <v>62.25</v>
      </c>
      <c r="E51" s="2976" t="s">
        <v>3061</v>
      </c>
    </row>
    <row r="52" spans="1:5" ht="18.899999999999999" customHeight="1">
      <c r="A52" s="2976">
        <v>50</v>
      </c>
      <c r="B52" s="2976" t="s">
        <v>3060</v>
      </c>
      <c r="C52" s="2976">
        <v>1101</v>
      </c>
      <c r="D52" s="2977">
        <v>55.46</v>
      </c>
      <c r="E52" s="2976" t="s">
        <v>3061</v>
      </c>
    </row>
    <row r="53" spans="1:5" ht="18.899999999999999" customHeight="1">
      <c r="A53" s="2976">
        <v>51</v>
      </c>
      <c r="B53" s="2976" t="s">
        <v>3060</v>
      </c>
      <c r="C53" s="2976">
        <v>1102</v>
      </c>
      <c r="D53" s="2977">
        <v>53.04</v>
      </c>
      <c r="E53" s="2976" t="s">
        <v>3061</v>
      </c>
    </row>
    <row r="54" spans="1:5" ht="18.899999999999999" customHeight="1">
      <c r="A54" s="2976">
        <v>52</v>
      </c>
      <c r="B54" s="2976" t="s">
        <v>3060</v>
      </c>
      <c r="C54" s="2976">
        <v>1103</v>
      </c>
      <c r="D54" s="2977">
        <v>63.92</v>
      </c>
      <c r="E54" s="2976" t="s">
        <v>3061</v>
      </c>
    </row>
    <row r="55" spans="1:5" ht="18.899999999999999" customHeight="1">
      <c r="A55" s="2976">
        <v>53</v>
      </c>
      <c r="B55" s="2976" t="s">
        <v>3060</v>
      </c>
      <c r="C55" s="2976">
        <v>1105</v>
      </c>
      <c r="D55" s="2977">
        <v>63.71</v>
      </c>
      <c r="E55" s="2976" t="s">
        <v>3061</v>
      </c>
    </row>
    <row r="56" spans="1:5" ht="18.899999999999999" customHeight="1">
      <c r="A56" s="2976">
        <v>54</v>
      </c>
      <c r="B56" s="2976" t="s">
        <v>3060</v>
      </c>
      <c r="C56" s="2976">
        <v>1106</v>
      </c>
      <c r="D56" s="2977">
        <v>64.39</v>
      </c>
      <c r="E56" s="2976" t="s">
        <v>3061</v>
      </c>
    </row>
    <row r="57" spans="1:5" ht="18.899999999999999" customHeight="1">
      <c r="A57" s="2976">
        <v>55</v>
      </c>
      <c r="B57" s="2976" t="s">
        <v>3060</v>
      </c>
      <c r="C57" s="2976">
        <v>1107</v>
      </c>
      <c r="D57" s="2977">
        <v>102.3</v>
      </c>
      <c r="E57" s="2976" t="s">
        <v>3061</v>
      </c>
    </row>
    <row r="58" spans="1:5" ht="18.899999999999999" customHeight="1">
      <c r="A58" s="2976">
        <v>56</v>
      </c>
      <c r="B58" s="2976" t="s">
        <v>3060</v>
      </c>
      <c r="C58" s="2976">
        <v>1108</v>
      </c>
      <c r="D58" s="2977">
        <v>62.25</v>
      </c>
      <c r="E58" s="2976" t="s">
        <v>3061</v>
      </c>
    </row>
    <row r="59" spans="1:5" ht="18.899999999999999" customHeight="1">
      <c r="A59" s="2976">
        <v>57</v>
      </c>
      <c r="B59" s="2976" t="s">
        <v>3060</v>
      </c>
      <c r="C59" s="2976">
        <v>1201</v>
      </c>
      <c r="D59" s="2977">
        <v>55.46</v>
      </c>
      <c r="E59" s="2976" t="s">
        <v>3061</v>
      </c>
    </row>
    <row r="60" spans="1:5" ht="18.899999999999999" customHeight="1">
      <c r="A60" s="2976">
        <v>58</v>
      </c>
      <c r="B60" s="2976" t="s">
        <v>3060</v>
      </c>
      <c r="C60" s="2976">
        <v>1202</v>
      </c>
      <c r="D60" s="2977">
        <v>53.04</v>
      </c>
      <c r="E60" s="2976" t="s">
        <v>3061</v>
      </c>
    </row>
    <row r="61" spans="1:5" ht="18.899999999999999" customHeight="1">
      <c r="A61" s="2976">
        <v>59</v>
      </c>
      <c r="B61" s="2976" t="s">
        <v>3060</v>
      </c>
      <c r="C61" s="2976">
        <v>1203</v>
      </c>
      <c r="D61" s="2977">
        <v>63.92</v>
      </c>
      <c r="E61" s="2976" t="s">
        <v>3061</v>
      </c>
    </row>
    <row r="62" spans="1:5" ht="18.899999999999999" customHeight="1">
      <c r="A62" s="2976">
        <v>60</v>
      </c>
      <c r="B62" s="2976" t="s">
        <v>3060</v>
      </c>
      <c r="C62" s="2976">
        <v>1205</v>
      </c>
      <c r="D62" s="2977">
        <v>63.71</v>
      </c>
      <c r="E62" s="2976" t="s">
        <v>3061</v>
      </c>
    </row>
    <row r="63" spans="1:5" ht="18.899999999999999" customHeight="1">
      <c r="A63" s="2976">
        <v>61</v>
      </c>
      <c r="B63" s="2976" t="s">
        <v>3060</v>
      </c>
      <c r="C63" s="2976">
        <v>1206</v>
      </c>
      <c r="D63" s="2977">
        <v>64.39</v>
      </c>
      <c r="E63" s="2976" t="s">
        <v>3061</v>
      </c>
    </row>
    <row r="64" spans="1:5" ht="18.899999999999999" customHeight="1">
      <c r="A64" s="2976">
        <v>62</v>
      </c>
      <c r="B64" s="2976" t="s">
        <v>3060</v>
      </c>
      <c r="C64" s="2976">
        <v>1207</v>
      </c>
      <c r="D64" s="2977">
        <v>102.3</v>
      </c>
      <c r="E64" s="2976" t="s">
        <v>3061</v>
      </c>
    </row>
    <row r="65" spans="1:5" ht="18.899999999999999" customHeight="1">
      <c r="A65" s="2976">
        <v>63</v>
      </c>
      <c r="B65" s="2976" t="s">
        <v>3060</v>
      </c>
      <c r="C65" s="2976">
        <v>1208</v>
      </c>
      <c r="D65" s="2977">
        <v>62.25</v>
      </c>
      <c r="E65" s="2976" t="s">
        <v>3061</v>
      </c>
    </row>
    <row r="66" spans="1:5" ht="18.899999999999999" customHeight="1">
      <c r="A66" s="2976">
        <v>64</v>
      </c>
      <c r="B66" s="2976" t="s">
        <v>3060</v>
      </c>
      <c r="C66" s="2976">
        <v>1301</v>
      </c>
      <c r="D66" s="2977">
        <v>55.46</v>
      </c>
      <c r="E66" s="2976" t="s">
        <v>3061</v>
      </c>
    </row>
    <row r="67" spans="1:5" ht="18.899999999999999" customHeight="1">
      <c r="A67" s="2976">
        <v>65</v>
      </c>
      <c r="B67" s="2976" t="s">
        <v>3060</v>
      </c>
      <c r="C67" s="2976">
        <v>1302</v>
      </c>
      <c r="D67" s="2977">
        <v>53.04</v>
      </c>
      <c r="E67" s="2976" t="s">
        <v>3061</v>
      </c>
    </row>
    <row r="68" spans="1:5" ht="18.899999999999999" customHeight="1">
      <c r="A68" s="2976">
        <v>66</v>
      </c>
      <c r="B68" s="2976" t="s">
        <v>3060</v>
      </c>
      <c r="C68" s="2976">
        <v>1303</v>
      </c>
      <c r="D68" s="2977">
        <v>63.92</v>
      </c>
      <c r="E68" s="2976" t="s">
        <v>3061</v>
      </c>
    </row>
    <row r="69" spans="1:5" ht="18.899999999999999" customHeight="1">
      <c r="A69" s="2976">
        <v>67</v>
      </c>
      <c r="B69" s="2976" t="s">
        <v>3060</v>
      </c>
      <c r="C69" s="2976">
        <v>1305</v>
      </c>
      <c r="D69" s="2977">
        <v>63.71</v>
      </c>
      <c r="E69" s="2976" t="s">
        <v>3061</v>
      </c>
    </row>
    <row r="70" spans="1:5" ht="18.899999999999999" customHeight="1">
      <c r="A70" s="2976">
        <v>68</v>
      </c>
      <c r="B70" s="2976" t="s">
        <v>3060</v>
      </c>
      <c r="C70" s="2976">
        <v>1306</v>
      </c>
      <c r="D70" s="2977">
        <v>64.39</v>
      </c>
      <c r="E70" s="2976" t="s">
        <v>3061</v>
      </c>
    </row>
    <row r="71" spans="1:5" ht="18.899999999999999" customHeight="1">
      <c r="A71" s="2976">
        <v>69</v>
      </c>
      <c r="B71" s="2976" t="s">
        <v>3060</v>
      </c>
      <c r="C71" s="2976">
        <v>1307</v>
      </c>
      <c r="D71" s="2977">
        <v>102.3</v>
      </c>
      <c r="E71" s="2976" t="s">
        <v>3061</v>
      </c>
    </row>
    <row r="72" spans="1:5" ht="18.899999999999999" customHeight="1">
      <c r="A72" s="2976">
        <v>70</v>
      </c>
      <c r="B72" s="2976" t="s">
        <v>3060</v>
      </c>
      <c r="C72" s="2976">
        <v>1308</v>
      </c>
      <c r="D72" s="2977">
        <v>62.25</v>
      </c>
      <c r="E72" s="2976" t="s">
        <v>3061</v>
      </c>
    </row>
    <row r="73" spans="1:5" ht="18.899999999999999" customHeight="1">
      <c r="A73" s="2976">
        <v>71</v>
      </c>
      <c r="B73" s="2976" t="s">
        <v>3060</v>
      </c>
      <c r="C73" s="2976">
        <v>1501</v>
      </c>
      <c r="D73" s="2977">
        <v>55.46</v>
      </c>
      <c r="E73" s="2976" t="s">
        <v>3061</v>
      </c>
    </row>
    <row r="74" spans="1:5" ht="18.899999999999999" customHeight="1">
      <c r="A74" s="2976">
        <v>72</v>
      </c>
      <c r="B74" s="2976" t="s">
        <v>3060</v>
      </c>
      <c r="C74" s="2976">
        <v>1502</v>
      </c>
      <c r="D74" s="2977">
        <v>53.04</v>
      </c>
      <c r="E74" s="2976" t="s">
        <v>3061</v>
      </c>
    </row>
    <row r="75" spans="1:5" ht="18.899999999999999" customHeight="1">
      <c r="A75" s="2976">
        <v>73</v>
      </c>
      <c r="B75" s="2976" t="s">
        <v>3060</v>
      </c>
      <c r="C75" s="2976">
        <v>1503</v>
      </c>
      <c r="D75" s="2977">
        <v>63.92</v>
      </c>
      <c r="E75" s="2976" t="s">
        <v>3061</v>
      </c>
    </row>
    <row r="76" spans="1:5" ht="18.899999999999999" customHeight="1">
      <c r="A76" s="2976">
        <v>74</v>
      </c>
      <c r="B76" s="2976" t="s">
        <v>3060</v>
      </c>
      <c r="C76" s="2976">
        <v>1505</v>
      </c>
      <c r="D76" s="2977">
        <v>63.71</v>
      </c>
      <c r="E76" s="2976" t="s">
        <v>3061</v>
      </c>
    </row>
    <row r="77" spans="1:5" ht="18.899999999999999" customHeight="1">
      <c r="A77" s="2976">
        <v>75</v>
      </c>
      <c r="B77" s="2976" t="s">
        <v>3060</v>
      </c>
      <c r="C77" s="2976">
        <v>1506</v>
      </c>
      <c r="D77" s="2977">
        <v>64.39</v>
      </c>
      <c r="E77" s="2976" t="s">
        <v>3061</v>
      </c>
    </row>
    <row r="78" spans="1:5" ht="18.899999999999999" customHeight="1">
      <c r="A78" s="2976">
        <v>76</v>
      </c>
      <c r="B78" s="2976" t="s">
        <v>3060</v>
      </c>
      <c r="C78" s="2976">
        <v>1507</v>
      </c>
      <c r="D78" s="2977">
        <v>102.3</v>
      </c>
      <c r="E78" s="2976" t="s">
        <v>3061</v>
      </c>
    </row>
    <row r="79" spans="1:5" ht="18.899999999999999" customHeight="1">
      <c r="A79" s="2976">
        <v>77</v>
      </c>
      <c r="B79" s="2976" t="s">
        <v>3060</v>
      </c>
      <c r="C79" s="2976">
        <v>1508</v>
      </c>
      <c r="D79" s="2977">
        <v>62.25</v>
      </c>
      <c r="E79" s="2976" t="s">
        <v>3061</v>
      </c>
    </row>
    <row r="80" spans="1:5" ht="18.899999999999999" customHeight="1">
      <c r="A80" s="2976">
        <v>78</v>
      </c>
      <c r="B80" s="2976" t="s">
        <v>3060</v>
      </c>
      <c r="C80" s="2976">
        <v>1601</v>
      </c>
      <c r="D80" s="2977">
        <v>55.46</v>
      </c>
      <c r="E80" s="2976" t="s">
        <v>3061</v>
      </c>
    </row>
    <row r="81" spans="1:5" ht="18.899999999999999" customHeight="1">
      <c r="A81" s="2976">
        <v>79</v>
      </c>
      <c r="B81" s="2976" t="s">
        <v>3060</v>
      </c>
      <c r="C81" s="2976">
        <v>1602</v>
      </c>
      <c r="D81" s="2977">
        <v>53.04</v>
      </c>
      <c r="E81" s="2976" t="s">
        <v>3061</v>
      </c>
    </row>
    <row r="82" spans="1:5" ht="18.899999999999999" customHeight="1">
      <c r="A82" s="2976">
        <v>80</v>
      </c>
      <c r="B82" s="2976" t="s">
        <v>3060</v>
      </c>
      <c r="C82" s="2976">
        <v>1603</v>
      </c>
      <c r="D82" s="2977">
        <v>63.92</v>
      </c>
      <c r="E82" s="2976" t="s">
        <v>3061</v>
      </c>
    </row>
    <row r="83" spans="1:5" ht="18.899999999999999" customHeight="1">
      <c r="A83" s="2976">
        <v>81</v>
      </c>
      <c r="B83" s="2976" t="s">
        <v>3060</v>
      </c>
      <c r="C83" s="2976">
        <v>1605</v>
      </c>
      <c r="D83" s="2977">
        <v>63.71</v>
      </c>
      <c r="E83" s="2976" t="s">
        <v>3061</v>
      </c>
    </row>
    <row r="84" spans="1:5" ht="18.899999999999999" customHeight="1">
      <c r="A84" s="2976">
        <v>82</v>
      </c>
      <c r="B84" s="2976" t="s">
        <v>3060</v>
      </c>
      <c r="C84" s="2976">
        <v>1606</v>
      </c>
      <c r="D84" s="2977">
        <v>64.39</v>
      </c>
      <c r="E84" s="2976" t="s">
        <v>3061</v>
      </c>
    </row>
    <row r="85" spans="1:5" ht="18.899999999999999" customHeight="1">
      <c r="A85" s="2976">
        <v>83</v>
      </c>
      <c r="B85" s="2976" t="s">
        <v>3060</v>
      </c>
      <c r="C85" s="2976">
        <v>1607</v>
      </c>
      <c r="D85" s="2977">
        <v>102.3</v>
      </c>
      <c r="E85" s="2976" t="s">
        <v>3061</v>
      </c>
    </row>
    <row r="86" spans="1:5" ht="18.899999999999999" customHeight="1">
      <c r="A86" s="2976">
        <v>84</v>
      </c>
      <c r="B86" s="2976" t="s">
        <v>3060</v>
      </c>
      <c r="C86" s="2976">
        <v>1608</v>
      </c>
      <c r="D86" s="2977">
        <v>62.25</v>
      </c>
      <c r="E86" s="2976" t="s">
        <v>3061</v>
      </c>
    </row>
    <row r="87" spans="1:5" ht="18.899999999999999" customHeight="1">
      <c r="A87" s="2976">
        <v>85</v>
      </c>
      <c r="B87" s="2976" t="s">
        <v>3060</v>
      </c>
      <c r="C87" s="2976">
        <v>1701</v>
      </c>
      <c r="D87" s="2977">
        <v>55.46</v>
      </c>
      <c r="E87" s="2976" t="s">
        <v>3061</v>
      </c>
    </row>
    <row r="88" spans="1:5" ht="18.899999999999999" customHeight="1">
      <c r="A88" s="2976">
        <v>86</v>
      </c>
      <c r="B88" s="2976" t="s">
        <v>3060</v>
      </c>
      <c r="C88" s="2976">
        <v>1702</v>
      </c>
      <c r="D88" s="2977">
        <v>53.04</v>
      </c>
      <c r="E88" s="2976" t="s">
        <v>3061</v>
      </c>
    </row>
    <row r="89" spans="1:5" ht="18.899999999999999" customHeight="1">
      <c r="A89" s="2976">
        <v>87</v>
      </c>
      <c r="B89" s="2976" t="s">
        <v>3060</v>
      </c>
      <c r="C89" s="2976">
        <v>1703</v>
      </c>
      <c r="D89" s="2977">
        <v>63.92</v>
      </c>
      <c r="E89" s="2976" t="s">
        <v>3061</v>
      </c>
    </row>
    <row r="90" spans="1:5" ht="18.899999999999999" customHeight="1">
      <c r="A90" s="2976">
        <v>88</v>
      </c>
      <c r="B90" s="2976" t="s">
        <v>3060</v>
      </c>
      <c r="C90" s="2976">
        <v>1705</v>
      </c>
      <c r="D90" s="2977">
        <v>63.71</v>
      </c>
      <c r="E90" s="2976" t="s">
        <v>3061</v>
      </c>
    </row>
    <row r="91" spans="1:5" ht="18.899999999999999" customHeight="1">
      <c r="A91" s="2976">
        <v>89</v>
      </c>
      <c r="B91" s="2976" t="s">
        <v>3060</v>
      </c>
      <c r="C91" s="2976">
        <v>1706</v>
      </c>
      <c r="D91" s="2977">
        <v>64.39</v>
      </c>
      <c r="E91" s="2976" t="s">
        <v>3061</v>
      </c>
    </row>
    <row r="92" spans="1:5" ht="18.899999999999999" customHeight="1">
      <c r="A92" s="2976">
        <v>90</v>
      </c>
      <c r="B92" s="2976" t="s">
        <v>3060</v>
      </c>
      <c r="C92" s="2976">
        <v>1707</v>
      </c>
      <c r="D92" s="2977">
        <v>102.3</v>
      </c>
      <c r="E92" s="2976" t="s">
        <v>3061</v>
      </c>
    </row>
    <row r="93" spans="1:5" ht="18.899999999999999" customHeight="1">
      <c r="A93" s="2976">
        <v>91</v>
      </c>
      <c r="B93" s="2976" t="s">
        <v>3060</v>
      </c>
      <c r="C93" s="2976">
        <v>1708</v>
      </c>
      <c r="D93" s="2977">
        <v>62.25</v>
      </c>
      <c r="E93" s="2976" t="s">
        <v>3061</v>
      </c>
    </row>
    <row r="94" spans="1:5" ht="18.899999999999999" customHeight="1">
      <c r="A94" s="2976">
        <v>92</v>
      </c>
      <c r="B94" s="2976" t="s">
        <v>3060</v>
      </c>
      <c r="C94" s="2976">
        <v>1801</v>
      </c>
      <c r="D94" s="2977">
        <v>55.46</v>
      </c>
      <c r="E94" s="2976" t="s">
        <v>3061</v>
      </c>
    </row>
    <row r="95" spans="1:5" ht="18.899999999999999" customHeight="1">
      <c r="A95" s="2976">
        <v>93</v>
      </c>
      <c r="B95" s="2976" t="s">
        <v>3060</v>
      </c>
      <c r="C95" s="2976">
        <v>1802</v>
      </c>
      <c r="D95" s="2977">
        <v>53.04</v>
      </c>
      <c r="E95" s="2976" t="s">
        <v>3061</v>
      </c>
    </row>
    <row r="96" spans="1:5" ht="18.899999999999999" customHeight="1">
      <c r="A96" s="2976">
        <v>94</v>
      </c>
      <c r="B96" s="2976" t="s">
        <v>3060</v>
      </c>
      <c r="C96" s="2976">
        <v>1803</v>
      </c>
      <c r="D96" s="2977">
        <v>63.92</v>
      </c>
      <c r="E96" s="2976" t="s">
        <v>3061</v>
      </c>
    </row>
    <row r="97" spans="1:5" ht="18.899999999999999" customHeight="1">
      <c r="A97" s="2976">
        <v>95</v>
      </c>
      <c r="B97" s="2976" t="s">
        <v>3060</v>
      </c>
      <c r="C97" s="2976">
        <v>1805</v>
      </c>
      <c r="D97" s="2977">
        <v>63.71</v>
      </c>
      <c r="E97" s="2976" t="s">
        <v>3061</v>
      </c>
    </row>
    <row r="98" spans="1:5" ht="18.899999999999999" customHeight="1">
      <c r="A98" s="2976">
        <v>96</v>
      </c>
      <c r="B98" s="2976" t="s">
        <v>3060</v>
      </c>
      <c r="C98" s="2976">
        <v>1806</v>
      </c>
      <c r="D98" s="2977">
        <v>64.39</v>
      </c>
      <c r="E98" s="2976" t="s">
        <v>3061</v>
      </c>
    </row>
    <row r="99" spans="1:5" ht="18.899999999999999" customHeight="1">
      <c r="A99" s="2976">
        <v>97</v>
      </c>
      <c r="B99" s="2976" t="s">
        <v>3060</v>
      </c>
      <c r="C99" s="2976">
        <v>1807</v>
      </c>
      <c r="D99" s="2977">
        <v>102.3</v>
      </c>
      <c r="E99" s="2976" t="s">
        <v>3061</v>
      </c>
    </row>
    <row r="100" spans="1:5" ht="18.899999999999999" customHeight="1">
      <c r="A100" s="2976">
        <v>98</v>
      </c>
      <c r="B100" s="2976" t="s">
        <v>3060</v>
      </c>
      <c r="C100" s="2976">
        <v>1808</v>
      </c>
      <c r="D100" s="2977">
        <v>62.25</v>
      </c>
      <c r="E100" s="2976" t="s">
        <v>3061</v>
      </c>
    </row>
    <row r="101" spans="1:5" ht="18.899999999999999" customHeight="1">
      <c r="A101" s="2976">
        <v>99</v>
      </c>
      <c r="B101" s="2976" t="s">
        <v>3060</v>
      </c>
      <c r="C101" s="2976">
        <v>1901</v>
      </c>
      <c r="D101" s="2977">
        <v>55.46</v>
      </c>
      <c r="E101" s="2976" t="s">
        <v>3061</v>
      </c>
    </row>
    <row r="102" spans="1:5" ht="18.899999999999999" customHeight="1">
      <c r="A102" s="2976">
        <v>100</v>
      </c>
      <c r="B102" s="2976" t="s">
        <v>3060</v>
      </c>
      <c r="C102" s="2976">
        <v>1902</v>
      </c>
      <c r="D102" s="2977">
        <v>53.04</v>
      </c>
      <c r="E102" s="2976" t="s">
        <v>3061</v>
      </c>
    </row>
    <row r="103" spans="1:5" ht="18.899999999999999" customHeight="1">
      <c r="A103" s="2976">
        <v>101</v>
      </c>
      <c r="B103" s="2976" t="s">
        <v>3060</v>
      </c>
      <c r="C103" s="2976">
        <v>1903</v>
      </c>
      <c r="D103" s="2977">
        <v>63.92</v>
      </c>
      <c r="E103" s="2976" t="s">
        <v>3061</v>
      </c>
    </row>
    <row r="104" spans="1:5" ht="18.899999999999999" customHeight="1">
      <c r="A104" s="2976">
        <v>102</v>
      </c>
      <c r="B104" s="2976" t="s">
        <v>3060</v>
      </c>
      <c r="C104" s="2976">
        <v>1905</v>
      </c>
      <c r="D104" s="2977">
        <v>63.71</v>
      </c>
      <c r="E104" s="2976" t="s">
        <v>3061</v>
      </c>
    </row>
    <row r="105" spans="1:5" ht="18.899999999999999" customHeight="1">
      <c r="A105" s="2976">
        <v>103</v>
      </c>
      <c r="B105" s="2976" t="s">
        <v>3060</v>
      </c>
      <c r="C105" s="2976">
        <v>1906</v>
      </c>
      <c r="D105" s="2977">
        <v>64.39</v>
      </c>
      <c r="E105" s="2976" t="s">
        <v>3061</v>
      </c>
    </row>
    <row r="106" spans="1:5" ht="18.899999999999999" customHeight="1">
      <c r="A106" s="2976">
        <v>104</v>
      </c>
      <c r="B106" s="2976" t="s">
        <v>3060</v>
      </c>
      <c r="C106" s="2976">
        <v>1907</v>
      </c>
      <c r="D106" s="2977">
        <v>102.3</v>
      </c>
      <c r="E106" s="2976" t="s">
        <v>3061</v>
      </c>
    </row>
    <row r="107" spans="1:5" ht="18.899999999999999" customHeight="1">
      <c r="A107" s="2976">
        <v>105</v>
      </c>
      <c r="B107" s="2976" t="s">
        <v>3060</v>
      </c>
      <c r="C107" s="2976">
        <v>1908</v>
      </c>
      <c r="D107" s="2977">
        <v>62.25</v>
      </c>
      <c r="E107" s="2976" t="s">
        <v>3061</v>
      </c>
    </row>
    <row r="108" spans="1:5" ht="18.899999999999999" customHeight="1">
      <c r="A108" s="2976">
        <v>106</v>
      </c>
      <c r="B108" s="2976" t="s">
        <v>3060</v>
      </c>
      <c r="C108" s="2976">
        <v>2001</v>
      </c>
      <c r="D108" s="2977">
        <v>55.46</v>
      </c>
      <c r="E108" s="2976" t="s">
        <v>3061</v>
      </c>
    </row>
    <row r="109" spans="1:5" ht="18.899999999999999" customHeight="1">
      <c r="A109" s="2976">
        <v>107</v>
      </c>
      <c r="B109" s="2976" t="s">
        <v>3060</v>
      </c>
      <c r="C109" s="2976">
        <v>2002</v>
      </c>
      <c r="D109" s="2977">
        <v>53.04</v>
      </c>
      <c r="E109" s="2976" t="s">
        <v>3061</v>
      </c>
    </row>
    <row r="110" spans="1:5" ht="18.899999999999999" customHeight="1">
      <c r="A110" s="2976">
        <v>108</v>
      </c>
      <c r="B110" s="2976" t="s">
        <v>3060</v>
      </c>
      <c r="C110" s="2976">
        <v>2003</v>
      </c>
      <c r="D110" s="2977">
        <v>63.92</v>
      </c>
      <c r="E110" s="2976" t="s">
        <v>3061</v>
      </c>
    </row>
    <row r="111" spans="1:5" ht="18.899999999999999" customHeight="1">
      <c r="A111" s="2976">
        <v>109</v>
      </c>
      <c r="B111" s="2976" t="s">
        <v>3060</v>
      </c>
      <c r="C111" s="2976">
        <v>2005</v>
      </c>
      <c r="D111" s="2977">
        <v>63.71</v>
      </c>
      <c r="E111" s="2976" t="s">
        <v>3061</v>
      </c>
    </row>
    <row r="112" spans="1:5" ht="18.899999999999999" customHeight="1">
      <c r="A112" s="2976">
        <v>110</v>
      </c>
      <c r="B112" s="2976" t="s">
        <v>3060</v>
      </c>
      <c r="C112" s="2976">
        <v>2006</v>
      </c>
      <c r="D112" s="2977">
        <v>64.39</v>
      </c>
      <c r="E112" s="2976" t="s">
        <v>3061</v>
      </c>
    </row>
    <row r="113" spans="1:5" ht="18.899999999999999" customHeight="1">
      <c r="A113" s="2976">
        <v>111</v>
      </c>
      <c r="B113" s="2976" t="s">
        <v>3060</v>
      </c>
      <c r="C113" s="2976">
        <v>2007</v>
      </c>
      <c r="D113" s="2977">
        <v>102.3</v>
      </c>
      <c r="E113" s="2976" t="s">
        <v>3061</v>
      </c>
    </row>
    <row r="114" spans="1:5" ht="18.899999999999999" customHeight="1">
      <c r="A114" s="2976">
        <v>112</v>
      </c>
      <c r="B114" s="2976" t="s">
        <v>3060</v>
      </c>
      <c r="C114" s="2976">
        <v>2008</v>
      </c>
      <c r="D114" s="2977">
        <v>62.25</v>
      </c>
      <c r="E114" s="2976" t="s">
        <v>3061</v>
      </c>
    </row>
    <row r="115" spans="1:5" ht="18.899999999999999" customHeight="1">
      <c r="A115" s="2976">
        <v>113</v>
      </c>
      <c r="B115" s="2976" t="s">
        <v>3060</v>
      </c>
      <c r="C115" s="2976">
        <v>2101</v>
      </c>
      <c r="D115" s="2977">
        <v>55.46</v>
      </c>
      <c r="E115" s="2976" t="s">
        <v>3061</v>
      </c>
    </row>
    <row r="116" spans="1:5" ht="18.899999999999999" customHeight="1">
      <c r="A116" s="2976">
        <v>114</v>
      </c>
      <c r="B116" s="2976" t="s">
        <v>3060</v>
      </c>
      <c r="C116" s="2976">
        <v>2102</v>
      </c>
      <c r="D116" s="2977">
        <v>53.04</v>
      </c>
      <c r="E116" s="2976" t="s">
        <v>3061</v>
      </c>
    </row>
    <row r="117" spans="1:5" ht="18.899999999999999" customHeight="1">
      <c r="A117" s="2976">
        <v>115</v>
      </c>
      <c r="B117" s="2976" t="s">
        <v>3060</v>
      </c>
      <c r="C117" s="2976">
        <v>2103</v>
      </c>
      <c r="D117" s="2977">
        <v>63.92</v>
      </c>
      <c r="E117" s="2976" t="s">
        <v>3061</v>
      </c>
    </row>
    <row r="118" spans="1:5" ht="18.899999999999999" customHeight="1">
      <c r="A118" s="2976">
        <v>116</v>
      </c>
      <c r="B118" s="2976" t="s">
        <v>3060</v>
      </c>
      <c r="C118" s="2976">
        <v>2105</v>
      </c>
      <c r="D118" s="2977">
        <v>63.71</v>
      </c>
      <c r="E118" s="2976" t="s">
        <v>3061</v>
      </c>
    </row>
    <row r="119" spans="1:5" ht="18.899999999999999" customHeight="1">
      <c r="A119" s="2976">
        <v>117</v>
      </c>
      <c r="B119" s="2976" t="s">
        <v>3060</v>
      </c>
      <c r="C119" s="2976">
        <v>2106</v>
      </c>
      <c r="D119" s="2977">
        <v>64.39</v>
      </c>
      <c r="E119" s="2976" t="s">
        <v>3061</v>
      </c>
    </row>
    <row r="120" spans="1:5" ht="18.899999999999999" customHeight="1">
      <c r="A120" s="2976">
        <v>118</v>
      </c>
      <c r="B120" s="2976" t="s">
        <v>3060</v>
      </c>
      <c r="C120" s="2976">
        <v>2107</v>
      </c>
      <c r="D120" s="2977">
        <v>102.3</v>
      </c>
      <c r="E120" s="2976" t="s">
        <v>3061</v>
      </c>
    </row>
    <row r="121" spans="1:5" ht="18.899999999999999" customHeight="1">
      <c r="A121" s="2976">
        <v>119</v>
      </c>
      <c r="B121" s="2976" t="s">
        <v>3060</v>
      </c>
      <c r="C121" s="2976">
        <v>2108</v>
      </c>
      <c r="D121" s="2977">
        <v>62.25</v>
      </c>
      <c r="E121" s="2976" t="s">
        <v>3061</v>
      </c>
    </row>
    <row r="122" spans="1:5" ht="18.899999999999999" customHeight="1">
      <c r="A122" s="2976">
        <v>120</v>
      </c>
      <c r="B122" s="2976" t="s">
        <v>3060</v>
      </c>
      <c r="C122" s="2976">
        <v>2201</v>
      </c>
      <c r="D122" s="2977">
        <v>55.46</v>
      </c>
      <c r="E122" s="2976" t="s">
        <v>3061</v>
      </c>
    </row>
    <row r="123" spans="1:5" ht="18.899999999999999" customHeight="1">
      <c r="A123" s="2976">
        <v>121</v>
      </c>
      <c r="B123" s="2976" t="s">
        <v>3060</v>
      </c>
      <c r="C123" s="2976">
        <v>2202</v>
      </c>
      <c r="D123" s="2977">
        <v>53.04</v>
      </c>
      <c r="E123" s="2976" t="s">
        <v>3061</v>
      </c>
    </row>
    <row r="124" spans="1:5" ht="18.899999999999999" customHeight="1">
      <c r="A124" s="2976">
        <v>122</v>
      </c>
      <c r="B124" s="2976" t="s">
        <v>3060</v>
      </c>
      <c r="C124" s="2976">
        <v>2203</v>
      </c>
      <c r="D124" s="2977">
        <v>63.92</v>
      </c>
      <c r="E124" s="2976" t="s">
        <v>3061</v>
      </c>
    </row>
    <row r="125" spans="1:5" ht="18.899999999999999" customHeight="1">
      <c r="A125" s="2976">
        <v>123</v>
      </c>
      <c r="B125" s="2976" t="s">
        <v>3060</v>
      </c>
      <c r="C125" s="2976">
        <v>2205</v>
      </c>
      <c r="D125" s="2977">
        <v>63.71</v>
      </c>
      <c r="E125" s="2976" t="s">
        <v>3061</v>
      </c>
    </row>
    <row r="126" spans="1:5" ht="18.899999999999999" customHeight="1">
      <c r="A126" s="2976">
        <v>124</v>
      </c>
      <c r="B126" s="2976" t="s">
        <v>3060</v>
      </c>
      <c r="C126" s="2976">
        <v>2206</v>
      </c>
      <c r="D126" s="2977">
        <v>64.39</v>
      </c>
      <c r="E126" s="2976" t="s">
        <v>3061</v>
      </c>
    </row>
    <row r="127" spans="1:5" ht="18.899999999999999" customHeight="1">
      <c r="A127" s="2976">
        <v>125</v>
      </c>
      <c r="B127" s="2976" t="s">
        <v>3060</v>
      </c>
      <c r="C127" s="2976">
        <v>2207</v>
      </c>
      <c r="D127" s="2977">
        <v>102.3</v>
      </c>
      <c r="E127" s="2976" t="s">
        <v>3061</v>
      </c>
    </row>
    <row r="128" spans="1:5" ht="18.899999999999999" customHeight="1">
      <c r="A128" s="2976">
        <v>126</v>
      </c>
      <c r="B128" s="2976" t="s">
        <v>3060</v>
      </c>
      <c r="C128" s="2976">
        <v>2208</v>
      </c>
      <c r="D128" s="2977">
        <v>62.25</v>
      </c>
      <c r="E128" s="2976" t="s">
        <v>3061</v>
      </c>
    </row>
    <row r="129" spans="1:5" ht="18.899999999999999" customHeight="1">
      <c r="A129" s="2976">
        <v>127</v>
      </c>
      <c r="B129" s="2976" t="s">
        <v>3060</v>
      </c>
      <c r="C129" s="2976">
        <v>2301</v>
      </c>
      <c r="D129" s="2977">
        <v>55.46</v>
      </c>
      <c r="E129" s="2976" t="s">
        <v>3061</v>
      </c>
    </row>
    <row r="130" spans="1:5" ht="18.899999999999999" customHeight="1">
      <c r="A130" s="2976">
        <v>128</v>
      </c>
      <c r="B130" s="2976" t="s">
        <v>3060</v>
      </c>
      <c r="C130" s="2976">
        <v>2302</v>
      </c>
      <c r="D130" s="2977">
        <v>53.04</v>
      </c>
      <c r="E130" s="2976" t="s">
        <v>3061</v>
      </c>
    </row>
    <row r="131" spans="1:5" ht="18.899999999999999" customHeight="1">
      <c r="A131" s="2976">
        <v>129</v>
      </c>
      <c r="B131" s="2976" t="s">
        <v>3060</v>
      </c>
      <c r="C131" s="2976">
        <v>2303</v>
      </c>
      <c r="D131" s="2977">
        <v>63.92</v>
      </c>
      <c r="E131" s="2976" t="s">
        <v>3061</v>
      </c>
    </row>
    <row r="132" spans="1:5" ht="18.899999999999999" customHeight="1">
      <c r="A132" s="2976">
        <v>130</v>
      </c>
      <c r="B132" s="2976" t="s">
        <v>3060</v>
      </c>
      <c r="C132" s="2976">
        <v>2305</v>
      </c>
      <c r="D132" s="2977">
        <v>63.71</v>
      </c>
      <c r="E132" s="2976" t="s">
        <v>3061</v>
      </c>
    </row>
    <row r="133" spans="1:5" ht="18.899999999999999" customHeight="1">
      <c r="A133" s="2976">
        <v>131</v>
      </c>
      <c r="B133" s="2976" t="s">
        <v>3060</v>
      </c>
      <c r="C133" s="2976">
        <v>2306</v>
      </c>
      <c r="D133" s="2977">
        <v>64.39</v>
      </c>
      <c r="E133" s="2976" t="s">
        <v>3061</v>
      </c>
    </row>
    <row r="134" spans="1:5" ht="18.899999999999999" customHeight="1">
      <c r="A134" s="2976">
        <v>132</v>
      </c>
      <c r="B134" s="2976" t="s">
        <v>3060</v>
      </c>
      <c r="C134" s="2976">
        <v>2307</v>
      </c>
      <c r="D134" s="2977">
        <v>102.3</v>
      </c>
      <c r="E134" s="2976" t="s">
        <v>3061</v>
      </c>
    </row>
    <row r="135" spans="1:5" ht="18.899999999999999" customHeight="1">
      <c r="A135" s="2976">
        <v>133</v>
      </c>
      <c r="B135" s="2976" t="s">
        <v>3060</v>
      </c>
      <c r="C135" s="2976">
        <v>2308</v>
      </c>
      <c r="D135" s="2977">
        <v>62.25</v>
      </c>
      <c r="E135" s="2976" t="s">
        <v>3061</v>
      </c>
    </row>
    <row r="136" spans="1:5" ht="18.899999999999999" customHeight="1">
      <c r="A136" s="2976">
        <v>134</v>
      </c>
      <c r="B136" s="2976" t="s">
        <v>3060</v>
      </c>
      <c r="C136" s="2976">
        <v>2501</v>
      </c>
      <c r="D136" s="2977">
        <v>55.46</v>
      </c>
      <c r="E136" s="2976" t="s">
        <v>3061</v>
      </c>
    </row>
    <row r="137" spans="1:5" ht="18.899999999999999" customHeight="1">
      <c r="A137" s="2976">
        <v>135</v>
      </c>
      <c r="B137" s="2976" t="s">
        <v>3060</v>
      </c>
      <c r="C137" s="2976">
        <v>2502</v>
      </c>
      <c r="D137" s="2977">
        <v>53.04</v>
      </c>
      <c r="E137" s="2976" t="s">
        <v>3061</v>
      </c>
    </row>
    <row r="138" spans="1:5" ht="18.899999999999999" customHeight="1">
      <c r="A138" s="2976">
        <v>136</v>
      </c>
      <c r="B138" s="2976" t="s">
        <v>3060</v>
      </c>
      <c r="C138" s="2976">
        <v>2503</v>
      </c>
      <c r="D138" s="2977">
        <v>63.92</v>
      </c>
      <c r="E138" s="2976" t="s">
        <v>3061</v>
      </c>
    </row>
    <row r="139" spans="1:5" ht="18.899999999999999" customHeight="1">
      <c r="A139" s="2976">
        <v>137</v>
      </c>
      <c r="B139" s="2976" t="s">
        <v>3060</v>
      </c>
      <c r="C139" s="2976">
        <v>2505</v>
      </c>
      <c r="D139" s="2977">
        <v>63.71</v>
      </c>
      <c r="E139" s="2976" t="s">
        <v>3061</v>
      </c>
    </row>
    <row r="140" spans="1:5" ht="18.899999999999999" customHeight="1">
      <c r="A140" s="2976">
        <v>138</v>
      </c>
      <c r="B140" s="2976" t="s">
        <v>3060</v>
      </c>
      <c r="C140" s="2976">
        <v>2506</v>
      </c>
      <c r="D140" s="2977">
        <v>64.39</v>
      </c>
      <c r="E140" s="2976" t="s">
        <v>3061</v>
      </c>
    </row>
    <row r="141" spans="1:5" ht="18.899999999999999" customHeight="1">
      <c r="A141" s="2976">
        <v>139</v>
      </c>
      <c r="B141" s="2976" t="s">
        <v>3060</v>
      </c>
      <c r="C141" s="2976">
        <v>2507</v>
      </c>
      <c r="D141" s="2977">
        <v>102.3</v>
      </c>
      <c r="E141" s="2976" t="s">
        <v>3061</v>
      </c>
    </row>
    <row r="142" spans="1:5" ht="18.899999999999999" customHeight="1">
      <c r="A142" s="2976">
        <v>140</v>
      </c>
      <c r="B142" s="2976" t="s">
        <v>3060</v>
      </c>
      <c r="C142" s="2976">
        <v>2508</v>
      </c>
      <c r="D142" s="2977">
        <v>62.25</v>
      </c>
      <c r="E142" s="2976" t="s">
        <v>3061</v>
      </c>
    </row>
    <row r="143" spans="1:5" ht="18.899999999999999" customHeight="1">
      <c r="A143" s="2976">
        <v>141</v>
      </c>
      <c r="B143" s="2976" t="s">
        <v>3060</v>
      </c>
      <c r="C143" s="2976">
        <v>2601</v>
      </c>
      <c r="D143" s="2977">
        <v>55.46</v>
      </c>
      <c r="E143" s="2976" t="s">
        <v>3061</v>
      </c>
    </row>
    <row r="144" spans="1:5" ht="18.899999999999999" customHeight="1">
      <c r="A144" s="2976">
        <v>142</v>
      </c>
      <c r="B144" s="2976" t="s">
        <v>3060</v>
      </c>
      <c r="C144" s="2976">
        <v>2602</v>
      </c>
      <c r="D144" s="2977">
        <v>53.04</v>
      </c>
      <c r="E144" s="2976" t="s">
        <v>3061</v>
      </c>
    </row>
    <row r="145" spans="1:5" ht="18.899999999999999" customHeight="1">
      <c r="A145" s="2976">
        <v>143</v>
      </c>
      <c r="B145" s="2976" t="s">
        <v>3060</v>
      </c>
      <c r="C145" s="2976">
        <v>2603</v>
      </c>
      <c r="D145" s="2977">
        <v>63.92</v>
      </c>
      <c r="E145" s="2976" t="s">
        <v>3061</v>
      </c>
    </row>
    <row r="146" spans="1:5" ht="18.899999999999999" customHeight="1">
      <c r="A146" s="2976">
        <v>144</v>
      </c>
      <c r="B146" s="2976" t="s">
        <v>3060</v>
      </c>
      <c r="C146" s="2976">
        <v>2605</v>
      </c>
      <c r="D146" s="2977">
        <v>63.71</v>
      </c>
      <c r="E146" s="2976" t="s">
        <v>3061</v>
      </c>
    </row>
    <row r="147" spans="1:5" ht="18.899999999999999" customHeight="1">
      <c r="A147" s="2976">
        <v>145</v>
      </c>
      <c r="B147" s="2976" t="s">
        <v>3060</v>
      </c>
      <c r="C147" s="2976">
        <v>2606</v>
      </c>
      <c r="D147" s="2977">
        <v>64.39</v>
      </c>
      <c r="E147" s="2976" t="s">
        <v>3061</v>
      </c>
    </row>
    <row r="148" spans="1:5" ht="18.899999999999999" customHeight="1">
      <c r="A148" s="2976">
        <v>146</v>
      </c>
      <c r="B148" s="2976" t="s">
        <v>3060</v>
      </c>
      <c r="C148" s="2976">
        <v>2607</v>
      </c>
      <c r="D148" s="2977">
        <v>102.3</v>
      </c>
      <c r="E148" s="2976" t="s">
        <v>3061</v>
      </c>
    </row>
    <row r="149" spans="1:5" ht="18.899999999999999" customHeight="1">
      <c r="A149" s="2976">
        <v>147</v>
      </c>
      <c r="B149" s="2976" t="s">
        <v>3060</v>
      </c>
      <c r="C149" s="2976">
        <v>2608</v>
      </c>
      <c r="D149" s="2977">
        <v>62.25</v>
      </c>
      <c r="E149" s="2976" t="s">
        <v>3061</v>
      </c>
    </row>
    <row r="150" spans="1:5" ht="18.899999999999999" customHeight="1">
      <c r="A150" s="2976">
        <v>148</v>
      </c>
      <c r="B150" s="2976" t="s">
        <v>3060</v>
      </c>
      <c r="C150" s="2976">
        <v>2701</v>
      </c>
      <c r="D150" s="2977">
        <v>55.46</v>
      </c>
      <c r="E150" s="2976" t="s">
        <v>3061</v>
      </c>
    </row>
    <row r="151" spans="1:5" ht="18.899999999999999" customHeight="1">
      <c r="A151" s="2976">
        <v>149</v>
      </c>
      <c r="B151" s="2976" t="s">
        <v>3060</v>
      </c>
      <c r="C151" s="2976">
        <v>2702</v>
      </c>
      <c r="D151" s="2977">
        <v>53.04</v>
      </c>
      <c r="E151" s="2976" t="s">
        <v>3061</v>
      </c>
    </row>
    <row r="152" spans="1:5" ht="18.899999999999999" customHeight="1">
      <c r="A152" s="2976">
        <v>150</v>
      </c>
      <c r="B152" s="2976" t="s">
        <v>3060</v>
      </c>
      <c r="C152" s="2976">
        <v>2703</v>
      </c>
      <c r="D152" s="2977">
        <v>63.92</v>
      </c>
      <c r="E152" s="2976" t="s">
        <v>3061</v>
      </c>
    </row>
    <row r="153" spans="1:5" ht="18.899999999999999" customHeight="1">
      <c r="A153" s="2976">
        <v>151</v>
      </c>
      <c r="B153" s="2976" t="s">
        <v>3060</v>
      </c>
      <c r="C153" s="2976">
        <v>2705</v>
      </c>
      <c r="D153" s="2977">
        <v>63.71</v>
      </c>
      <c r="E153" s="2976" t="s">
        <v>3061</v>
      </c>
    </row>
    <row r="154" spans="1:5" ht="18.899999999999999" customHeight="1">
      <c r="A154" s="2976">
        <v>152</v>
      </c>
      <c r="B154" s="2976" t="s">
        <v>3060</v>
      </c>
      <c r="C154" s="2976">
        <v>2706</v>
      </c>
      <c r="D154" s="2977">
        <v>64.39</v>
      </c>
      <c r="E154" s="2976" t="s">
        <v>3061</v>
      </c>
    </row>
    <row r="155" spans="1:5" ht="18.899999999999999" customHeight="1">
      <c r="A155" s="2976">
        <v>153</v>
      </c>
      <c r="B155" s="2976" t="s">
        <v>3060</v>
      </c>
      <c r="C155" s="2976">
        <v>2707</v>
      </c>
      <c r="D155" s="2977">
        <v>102.3</v>
      </c>
      <c r="E155" s="2976" t="s">
        <v>3061</v>
      </c>
    </row>
    <row r="156" spans="1:5" ht="18.899999999999999" customHeight="1">
      <c r="A156" s="2976">
        <v>154</v>
      </c>
      <c r="B156" s="2976" t="s">
        <v>3060</v>
      </c>
      <c r="C156" s="2976">
        <v>2708</v>
      </c>
      <c r="D156" s="2977">
        <v>62.25</v>
      </c>
      <c r="E156" s="2976" t="s">
        <v>3061</v>
      </c>
    </row>
    <row r="157" spans="1:5" ht="18.899999999999999" customHeight="1">
      <c r="A157" s="2976">
        <v>155</v>
      </c>
      <c r="B157" s="2976" t="s">
        <v>3060</v>
      </c>
      <c r="C157" s="2976">
        <v>2801</v>
      </c>
      <c r="D157" s="2977">
        <v>55.46</v>
      </c>
      <c r="E157" s="2976" t="s">
        <v>3061</v>
      </c>
    </row>
    <row r="158" spans="1:5" ht="18.899999999999999" customHeight="1">
      <c r="A158" s="2976">
        <v>156</v>
      </c>
      <c r="B158" s="2976" t="s">
        <v>3060</v>
      </c>
      <c r="C158" s="2976">
        <v>2802</v>
      </c>
      <c r="D158" s="2977">
        <v>49.99</v>
      </c>
      <c r="E158" s="2976" t="s">
        <v>3061</v>
      </c>
    </row>
    <row r="159" spans="1:5" ht="18.899999999999999" customHeight="1">
      <c r="A159" s="2976">
        <v>157</v>
      </c>
      <c r="B159" s="2976" t="s">
        <v>3060</v>
      </c>
      <c r="C159" s="2976">
        <v>2803</v>
      </c>
      <c r="D159" s="2977">
        <v>60.88</v>
      </c>
      <c r="E159" s="2976" t="s">
        <v>3061</v>
      </c>
    </row>
    <row r="160" spans="1:5" ht="18.899999999999999" customHeight="1">
      <c r="A160" s="2976">
        <v>158</v>
      </c>
      <c r="B160" s="2976" t="s">
        <v>3060</v>
      </c>
      <c r="C160" s="2976">
        <v>2805</v>
      </c>
      <c r="D160" s="2977">
        <v>63.71</v>
      </c>
      <c r="E160" s="2976" t="s">
        <v>3061</v>
      </c>
    </row>
    <row r="161" spans="1:5" ht="18.899999999999999" customHeight="1">
      <c r="A161" s="2976">
        <v>159</v>
      </c>
      <c r="B161" s="2976" t="s">
        <v>3060</v>
      </c>
      <c r="C161" s="2976">
        <v>2806</v>
      </c>
      <c r="D161" s="2977">
        <v>64.39</v>
      </c>
      <c r="E161" s="2976" t="s">
        <v>3061</v>
      </c>
    </row>
    <row r="162" spans="1:5" ht="18.899999999999999" customHeight="1">
      <c r="A162" s="2976">
        <v>160</v>
      </c>
      <c r="B162" s="2976" t="s">
        <v>3060</v>
      </c>
      <c r="C162" s="2976">
        <v>2807</v>
      </c>
      <c r="D162" s="2977">
        <v>102.3</v>
      </c>
      <c r="E162" s="2976" t="s">
        <v>3061</v>
      </c>
    </row>
    <row r="163" spans="1:5" ht="18.899999999999999" customHeight="1">
      <c r="A163" s="2976">
        <v>161</v>
      </c>
      <c r="B163" s="2976" t="s">
        <v>3060</v>
      </c>
      <c r="C163" s="2976">
        <v>2808</v>
      </c>
      <c r="D163" s="2977">
        <v>62.25</v>
      </c>
      <c r="E163" s="2976" t="s">
        <v>3061</v>
      </c>
    </row>
    <row r="164" spans="1:5" ht="18.899999999999999" customHeight="1">
      <c r="A164" s="2976">
        <v>162</v>
      </c>
      <c r="B164" s="2976" t="s">
        <v>3060</v>
      </c>
      <c r="C164" s="2976">
        <v>2901</v>
      </c>
      <c r="D164" s="2977">
        <v>55.46</v>
      </c>
      <c r="E164" s="2976" t="s">
        <v>3061</v>
      </c>
    </row>
    <row r="165" spans="1:5" ht="18.899999999999999" customHeight="1">
      <c r="A165" s="2976">
        <v>163</v>
      </c>
      <c r="B165" s="2976" t="s">
        <v>3060</v>
      </c>
      <c r="C165" s="2976">
        <v>2902</v>
      </c>
      <c r="D165" s="2977">
        <v>49.99</v>
      </c>
      <c r="E165" s="2976" t="s">
        <v>3061</v>
      </c>
    </row>
    <row r="166" spans="1:5" ht="18.899999999999999" customHeight="1">
      <c r="A166" s="2976">
        <v>164</v>
      </c>
      <c r="B166" s="2976" t="s">
        <v>3060</v>
      </c>
      <c r="C166" s="2976">
        <v>2903</v>
      </c>
      <c r="D166" s="2977">
        <v>60.88</v>
      </c>
      <c r="E166" s="2976" t="s">
        <v>3061</v>
      </c>
    </row>
    <row r="167" spans="1:5" ht="18.899999999999999" customHeight="1">
      <c r="A167" s="2976">
        <v>165</v>
      </c>
      <c r="B167" s="2976" t="s">
        <v>3060</v>
      </c>
      <c r="C167" s="2976">
        <v>2905</v>
      </c>
      <c r="D167" s="2977">
        <v>63.71</v>
      </c>
      <c r="E167" s="2976" t="s">
        <v>3061</v>
      </c>
    </row>
    <row r="168" spans="1:5" ht="18.899999999999999" customHeight="1">
      <c r="A168" s="2976">
        <v>166</v>
      </c>
      <c r="B168" s="2976" t="s">
        <v>3060</v>
      </c>
      <c r="C168" s="2976">
        <v>2906</v>
      </c>
      <c r="D168" s="2977">
        <v>64.39</v>
      </c>
      <c r="E168" s="2976" t="s">
        <v>3061</v>
      </c>
    </row>
    <row r="169" spans="1:5" ht="18.899999999999999" customHeight="1">
      <c r="A169" s="2976">
        <v>167</v>
      </c>
      <c r="B169" s="2976" t="s">
        <v>3060</v>
      </c>
      <c r="C169" s="2976">
        <v>2907</v>
      </c>
      <c r="D169" s="2977">
        <v>102.3</v>
      </c>
      <c r="E169" s="2976" t="s">
        <v>3061</v>
      </c>
    </row>
    <row r="170" spans="1:5" ht="18.899999999999999" customHeight="1">
      <c r="A170" s="2976">
        <v>168</v>
      </c>
      <c r="B170" s="2976" t="s">
        <v>3060</v>
      </c>
      <c r="C170" s="2976">
        <v>2908</v>
      </c>
      <c r="D170" s="2977">
        <v>62.25</v>
      </c>
      <c r="E170" s="2976" t="s">
        <v>3061</v>
      </c>
    </row>
    <row r="171" spans="1:5" ht="18.899999999999999" customHeight="1">
      <c r="A171" s="2976">
        <v>169</v>
      </c>
      <c r="B171" s="2976" t="s">
        <v>3060</v>
      </c>
      <c r="C171" s="2976">
        <v>3001</v>
      </c>
      <c r="D171" s="2977">
        <v>55.46</v>
      </c>
      <c r="E171" s="2976" t="s">
        <v>3061</v>
      </c>
    </row>
    <row r="172" spans="1:5" ht="18.899999999999999" customHeight="1">
      <c r="A172" s="2976">
        <v>170</v>
      </c>
      <c r="B172" s="2976" t="s">
        <v>3060</v>
      </c>
      <c r="C172" s="2976">
        <v>3002</v>
      </c>
      <c r="D172" s="2977">
        <v>49.99</v>
      </c>
      <c r="E172" s="2976" t="s">
        <v>3061</v>
      </c>
    </row>
    <row r="173" spans="1:5" ht="18.899999999999999" customHeight="1">
      <c r="A173" s="2976">
        <v>171</v>
      </c>
      <c r="B173" s="2976" t="s">
        <v>3060</v>
      </c>
      <c r="C173" s="2976">
        <v>3003</v>
      </c>
      <c r="D173" s="2977">
        <v>60.88</v>
      </c>
      <c r="E173" s="2976" t="s">
        <v>3061</v>
      </c>
    </row>
    <row r="174" spans="1:5" ht="18.899999999999999" customHeight="1">
      <c r="A174" s="2976">
        <v>172</v>
      </c>
      <c r="B174" s="2976" t="s">
        <v>3060</v>
      </c>
      <c r="C174" s="2976">
        <v>3005</v>
      </c>
      <c r="D174" s="2977">
        <v>63.71</v>
      </c>
      <c r="E174" s="2976" t="s">
        <v>3061</v>
      </c>
    </row>
    <row r="175" spans="1:5" ht="18.899999999999999" customHeight="1">
      <c r="A175" s="2976">
        <v>173</v>
      </c>
      <c r="B175" s="2976" t="s">
        <v>3060</v>
      </c>
      <c r="C175" s="2976">
        <v>3006</v>
      </c>
      <c r="D175" s="2977">
        <v>64.39</v>
      </c>
      <c r="E175" s="2976" t="s">
        <v>3061</v>
      </c>
    </row>
    <row r="176" spans="1:5" ht="18.899999999999999" customHeight="1">
      <c r="A176" s="2976">
        <v>174</v>
      </c>
      <c r="B176" s="2976" t="s">
        <v>3060</v>
      </c>
      <c r="C176" s="2976">
        <v>3007</v>
      </c>
      <c r="D176" s="2977">
        <v>102.3</v>
      </c>
      <c r="E176" s="2976" t="s">
        <v>3061</v>
      </c>
    </row>
    <row r="177" spans="1:5" ht="18.899999999999999" customHeight="1">
      <c r="A177" s="2976">
        <v>175</v>
      </c>
      <c r="B177" s="2976" t="s">
        <v>3060</v>
      </c>
      <c r="C177" s="2976">
        <v>3008</v>
      </c>
      <c r="D177" s="2977">
        <v>62.25</v>
      </c>
      <c r="E177" s="2976" t="s">
        <v>3061</v>
      </c>
    </row>
    <row r="178" spans="1:5" ht="18.899999999999999" customHeight="1">
      <c r="A178" s="2976">
        <v>176</v>
      </c>
      <c r="B178" s="2976" t="s">
        <v>3060</v>
      </c>
      <c r="C178" s="2976">
        <v>3101</v>
      </c>
      <c r="D178" s="2977">
        <v>55.46</v>
      </c>
      <c r="E178" s="2976" t="s">
        <v>3061</v>
      </c>
    </row>
    <row r="179" spans="1:5" ht="18.899999999999999" customHeight="1">
      <c r="A179" s="2976">
        <v>177</v>
      </c>
      <c r="B179" s="2976" t="s">
        <v>3060</v>
      </c>
      <c r="C179" s="2976">
        <v>3102</v>
      </c>
      <c r="D179" s="2977">
        <v>49.99</v>
      </c>
      <c r="E179" s="2976" t="s">
        <v>3061</v>
      </c>
    </row>
    <row r="180" spans="1:5" ht="18.899999999999999" customHeight="1">
      <c r="A180" s="2976">
        <v>178</v>
      </c>
      <c r="B180" s="2976" t="s">
        <v>3060</v>
      </c>
      <c r="C180" s="2976">
        <v>3103</v>
      </c>
      <c r="D180" s="2977">
        <v>60.88</v>
      </c>
      <c r="E180" s="2976" t="s">
        <v>3061</v>
      </c>
    </row>
    <row r="181" spans="1:5" ht="18.899999999999999" customHeight="1">
      <c r="A181" s="2976">
        <v>179</v>
      </c>
      <c r="B181" s="2976" t="s">
        <v>3060</v>
      </c>
      <c r="C181" s="2976">
        <v>3105</v>
      </c>
      <c r="D181" s="2977">
        <v>63.71</v>
      </c>
      <c r="E181" s="2976" t="s">
        <v>3061</v>
      </c>
    </row>
    <row r="182" spans="1:5" ht="18.899999999999999" customHeight="1">
      <c r="A182" s="2976">
        <v>180</v>
      </c>
      <c r="B182" s="2976" t="s">
        <v>3060</v>
      </c>
      <c r="C182" s="2976">
        <v>3106</v>
      </c>
      <c r="D182" s="2977">
        <v>64.39</v>
      </c>
      <c r="E182" s="2976" t="s">
        <v>3061</v>
      </c>
    </row>
    <row r="183" spans="1:5" ht="18.899999999999999" customHeight="1">
      <c r="A183" s="2976">
        <v>181</v>
      </c>
      <c r="B183" s="2976" t="s">
        <v>3060</v>
      </c>
      <c r="C183" s="2976">
        <v>3107</v>
      </c>
      <c r="D183" s="2977">
        <v>102.3</v>
      </c>
      <c r="E183" s="2976" t="s">
        <v>3061</v>
      </c>
    </row>
    <row r="184" spans="1:5" ht="18.899999999999999" customHeight="1">
      <c r="A184" s="2976">
        <v>182</v>
      </c>
      <c r="B184" s="2976" t="s">
        <v>3060</v>
      </c>
      <c r="C184" s="2976">
        <v>3108</v>
      </c>
      <c r="D184" s="2977">
        <v>62.25</v>
      </c>
      <c r="E184" s="2976" t="s">
        <v>3061</v>
      </c>
    </row>
    <row r="185" spans="1:5" ht="18.899999999999999" customHeight="1">
      <c r="A185" s="2976">
        <v>183</v>
      </c>
      <c r="B185" s="2976" t="s">
        <v>3060</v>
      </c>
      <c r="C185" s="2976">
        <v>3201</v>
      </c>
      <c r="D185" s="2977">
        <v>55.46</v>
      </c>
      <c r="E185" s="2976" t="s">
        <v>3061</v>
      </c>
    </row>
    <row r="186" spans="1:5" ht="18.899999999999999" customHeight="1">
      <c r="A186" s="2976">
        <v>184</v>
      </c>
      <c r="B186" s="2976" t="s">
        <v>3060</v>
      </c>
      <c r="C186" s="2976">
        <v>3202</v>
      </c>
      <c r="D186" s="2977">
        <v>49.99</v>
      </c>
      <c r="E186" s="2976" t="s">
        <v>3061</v>
      </c>
    </row>
    <row r="187" spans="1:5" ht="18.899999999999999" customHeight="1">
      <c r="A187" s="2976">
        <v>185</v>
      </c>
      <c r="B187" s="2976" t="s">
        <v>3060</v>
      </c>
      <c r="C187" s="2976">
        <v>3203</v>
      </c>
      <c r="D187" s="2977">
        <v>60.88</v>
      </c>
      <c r="E187" s="2976" t="s">
        <v>3061</v>
      </c>
    </row>
    <row r="188" spans="1:5" ht="18.899999999999999" customHeight="1">
      <c r="A188" s="2976">
        <v>186</v>
      </c>
      <c r="B188" s="2976" t="s">
        <v>3060</v>
      </c>
      <c r="C188" s="2976">
        <v>3205</v>
      </c>
      <c r="D188" s="2977">
        <v>63.71</v>
      </c>
      <c r="E188" s="2976" t="s">
        <v>3061</v>
      </c>
    </row>
    <row r="189" spans="1:5" ht="18.899999999999999" customHeight="1">
      <c r="A189" s="2976">
        <v>187</v>
      </c>
      <c r="B189" s="2976" t="s">
        <v>3060</v>
      </c>
      <c r="C189" s="2976">
        <v>3206</v>
      </c>
      <c r="D189" s="2977">
        <v>64.39</v>
      </c>
      <c r="E189" s="2976" t="s">
        <v>3061</v>
      </c>
    </row>
    <row r="190" spans="1:5" ht="18.899999999999999" customHeight="1">
      <c r="A190" s="2976">
        <v>188</v>
      </c>
      <c r="B190" s="2976" t="s">
        <v>3060</v>
      </c>
      <c r="C190" s="2976">
        <v>3207</v>
      </c>
      <c r="D190" s="2977">
        <v>102.3</v>
      </c>
      <c r="E190" s="2976" t="s">
        <v>3061</v>
      </c>
    </row>
    <row r="191" spans="1:5" ht="18.899999999999999" customHeight="1">
      <c r="A191" s="2976">
        <v>189</v>
      </c>
      <c r="B191" s="2976" t="s">
        <v>3060</v>
      </c>
      <c r="C191" s="2976">
        <v>3208</v>
      </c>
      <c r="D191" s="2977">
        <v>62.25</v>
      </c>
      <c r="E191" s="2976" t="s">
        <v>3061</v>
      </c>
    </row>
    <row r="192" spans="1:5" ht="18.899999999999999" customHeight="1">
      <c r="A192" s="2976">
        <v>190</v>
      </c>
      <c r="B192" s="2976" t="s">
        <v>3060</v>
      </c>
      <c r="C192" s="2976">
        <v>3301</v>
      </c>
      <c r="D192" s="2977">
        <v>55.46</v>
      </c>
      <c r="E192" s="2976" t="s">
        <v>3061</v>
      </c>
    </row>
    <row r="193" spans="1:5" ht="18.899999999999999" customHeight="1">
      <c r="A193" s="2976">
        <v>191</v>
      </c>
      <c r="B193" s="2976" t="s">
        <v>3060</v>
      </c>
      <c r="C193" s="2976">
        <v>3302</v>
      </c>
      <c r="D193" s="2977">
        <v>49.99</v>
      </c>
      <c r="E193" s="2976" t="s">
        <v>3061</v>
      </c>
    </row>
    <row r="194" spans="1:5" ht="18.899999999999999" customHeight="1">
      <c r="A194" s="2976">
        <v>192</v>
      </c>
      <c r="B194" s="2976" t="s">
        <v>3060</v>
      </c>
      <c r="C194" s="2976">
        <v>3303</v>
      </c>
      <c r="D194" s="2977">
        <v>60.88</v>
      </c>
      <c r="E194" s="2976" t="s">
        <v>3061</v>
      </c>
    </row>
    <row r="195" spans="1:5" ht="18.899999999999999" customHeight="1">
      <c r="A195" s="2976">
        <v>193</v>
      </c>
      <c r="B195" s="2976" t="s">
        <v>3060</v>
      </c>
      <c r="C195" s="2976">
        <v>3305</v>
      </c>
      <c r="D195" s="2977">
        <v>63.71</v>
      </c>
      <c r="E195" s="2976" t="s">
        <v>3061</v>
      </c>
    </row>
    <row r="196" spans="1:5" ht="18.899999999999999" customHeight="1">
      <c r="A196" s="2976">
        <v>194</v>
      </c>
      <c r="B196" s="2976" t="s">
        <v>3060</v>
      </c>
      <c r="C196" s="2976">
        <v>3306</v>
      </c>
      <c r="D196" s="2977">
        <v>64.39</v>
      </c>
      <c r="E196" s="2976" t="s">
        <v>3061</v>
      </c>
    </row>
    <row r="197" spans="1:5" ht="18.899999999999999" customHeight="1">
      <c r="A197" s="2976">
        <v>195</v>
      </c>
      <c r="B197" s="2976" t="s">
        <v>3060</v>
      </c>
      <c r="C197" s="2976">
        <v>3307</v>
      </c>
      <c r="D197" s="2977">
        <v>102.3</v>
      </c>
      <c r="E197" s="2976" t="s">
        <v>3061</v>
      </c>
    </row>
    <row r="198" spans="1:5" ht="18.899999999999999" customHeight="1">
      <c r="A198" s="2976">
        <v>196</v>
      </c>
      <c r="B198" s="2976" t="s">
        <v>3060</v>
      </c>
      <c r="C198" s="2976">
        <v>3308</v>
      </c>
      <c r="D198" s="2977">
        <v>62.25</v>
      </c>
      <c r="E198" s="2976" t="s">
        <v>3061</v>
      </c>
    </row>
    <row r="199" spans="1:5" ht="18.899999999999999" customHeight="1">
      <c r="A199" s="2976">
        <v>197</v>
      </c>
      <c r="B199" s="2976" t="s">
        <v>3060</v>
      </c>
      <c r="C199" s="2976">
        <v>3501</v>
      </c>
      <c r="D199" s="2977">
        <v>55.46</v>
      </c>
      <c r="E199" s="2976" t="s">
        <v>3061</v>
      </c>
    </row>
    <row r="200" spans="1:5" ht="18.899999999999999" customHeight="1">
      <c r="A200" s="2976">
        <v>198</v>
      </c>
      <c r="B200" s="2976" t="s">
        <v>3060</v>
      </c>
      <c r="C200" s="2976">
        <v>3502</v>
      </c>
      <c r="D200" s="2977">
        <v>49.99</v>
      </c>
      <c r="E200" s="2976" t="s">
        <v>3061</v>
      </c>
    </row>
    <row r="201" spans="1:5" ht="18.899999999999999" customHeight="1">
      <c r="A201" s="2976">
        <v>199</v>
      </c>
      <c r="B201" s="2976" t="s">
        <v>3060</v>
      </c>
      <c r="C201" s="2976">
        <v>3503</v>
      </c>
      <c r="D201" s="2977">
        <v>60.88</v>
      </c>
      <c r="E201" s="2976" t="s">
        <v>3061</v>
      </c>
    </row>
    <row r="202" spans="1:5" ht="18.899999999999999" customHeight="1">
      <c r="A202" s="2976">
        <v>200</v>
      </c>
      <c r="B202" s="2976" t="s">
        <v>3060</v>
      </c>
      <c r="C202" s="2976">
        <v>3505</v>
      </c>
      <c r="D202" s="2977">
        <v>63.71</v>
      </c>
      <c r="E202" s="2976" t="s">
        <v>3061</v>
      </c>
    </row>
    <row r="203" spans="1:5" ht="18.899999999999999" customHeight="1">
      <c r="A203" s="2976">
        <v>201</v>
      </c>
      <c r="B203" s="2976" t="s">
        <v>3060</v>
      </c>
      <c r="C203" s="2976">
        <v>3506</v>
      </c>
      <c r="D203" s="2977">
        <v>64.39</v>
      </c>
      <c r="E203" s="2976" t="s">
        <v>3061</v>
      </c>
    </row>
    <row r="204" spans="1:5" ht="18.899999999999999" customHeight="1">
      <c r="A204" s="2976">
        <v>202</v>
      </c>
      <c r="B204" s="2976" t="s">
        <v>3060</v>
      </c>
      <c r="C204" s="2976">
        <v>3507</v>
      </c>
      <c r="D204" s="2977">
        <v>102.3</v>
      </c>
      <c r="E204" s="2976" t="s">
        <v>3061</v>
      </c>
    </row>
    <row r="205" spans="1:5" ht="18.899999999999999" customHeight="1">
      <c r="A205" s="2976">
        <v>203</v>
      </c>
      <c r="B205" s="2976" t="s">
        <v>3060</v>
      </c>
      <c r="C205" s="2976">
        <v>3508</v>
      </c>
      <c r="D205" s="2977">
        <v>62.25</v>
      </c>
      <c r="E205" s="2976" t="s">
        <v>3061</v>
      </c>
    </row>
    <row r="206" spans="1:5" ht="18.899999999999999" customHeight="1">
      <c r="A206" s="2976">
        <v>204</v>
      </c>
      <c r="B206" s="2976" t="s">
        <v>3060</v>
      </c>
      <c r="C206" s="2976">
        <v>3601</v>
      </c>
      <c r="D206" s="2977">
        <v>55.46</v>
      </c>
      <c r="E206" s="2976" t="s">
        <v>3061</v>
      </c>
    </row>
    <row r="207" spans="1:5" ht="18.899999999999999" customHeight="1">
      <c r="A207" s="2976">
        <v>205</v>
      </c>
      <c r="B207" s="2976" t="s">
        <v>3060</v>
      </c>
      <c r="C207" s="2976">
        <v>3602</v>
      </c>
      <c r="D207" s="2977">
        <v>49.99</v>
      </c>
      <c r="E207" s="2976" t="s">
        <v>3061</v>
      </c>
    </row>
    <row r="208" spans="1:5" ht="18.899999999999999" customHeight="1">
      <c r="A208" s="2976">
        <v>206</v>
      </c>
      <c r="B208" s="2976" t="s">
        <v>3060</v>
      </c>
      <c r="C208" s="2976">
        <v>3603</v>
      </c>
      <c r="D208" s="2977">
        <v>60.88</v>
      </c>
      <c r="E208" s="2976" t="s">
        <v>3061</v>
      </c>
    </row>
    <row r="209" spans="1:10" ht="18.899999999999999" customHeight="1">
      <c r="A209" s="2976">
        <v>207</v>
      </c>
      <c r="B209" s="2976" t="s">
        <v>3060</v>
      </c>
      <c r="C209" s="2976">
        <v>3605</v>
      </c>
      <c r="D209" s="2977">
        <v>63.71</v>
      </c>
      <c r="E209" s="2976" t="s">
        <v>3061</v>
      </c>
    </row>
    <row r="210" spans="1:10" ht="18.899999999999999" customHeight="1">
      <c r="A210" s="2976">
        <v>208</v>
      </c>
      <c r="B210" s="2976" t="s">
        <v>3060</v>
      </c>
      <c r="C210" s="2976">
        <v>3606</v>
      </c>
      <c r="D210" s="2977">
        <v>64.39</v>
      </c>
      <c r="E210" s="2976" t="s">
        <v>3061</v>
      </c>
    </row>
    <row r="211" spans="1:10" ht="18.899999999999999" customHeight="1">
      <c r="A211" s="2976">
        <v>209</v>
      </c>
      <c r="B211" s="2976" t="s">
        <v>3060</v>
      </c>
      <c r="C211" s="2976">
        <v>3607</v>
      </c>
      <c r="D211" s="2977">
        <v>102.3</v>
      </c>
      <c r="E211" s="2976" t="s">
        <v>3061</v>
      </c>
    </row>
    <row r="212" spans="1:10" ht="18.899999999999999" customHeight="1">
      <c r="A212" s="2976">
        <v>210</v>
      </c>
      <c r="B212" s="2976" t="s">
        <v>3060</v>
      </c>
      <c r="C212" s="2976">
        <v>3608</v>
      </c>
      <c r="D212" s="2977">
        <v>62.25</v>
      </c>
      <c r="E212" s="2976" t="s">
        <v>3061</v>
      </c>
    </row>
    <row r="213" spans="1:10" ht="18.899999999999999" customHeight="1">
      <c r="A213" s="2976">
        <v>211</v>
      </c>
      <c r="B213" s="2976" t="s">
        <v>3060</v>
      </c>
      <c r="C213" s="2976">
        <v>3701</v>
      </c>
      <c r="D213" s="2977">
        <v>55.46</v>
      </c>
      <c r="E213" s="2976" t="s">
        <v>3061</v>
      </c>
    </row>
    <row r="214" spans="1:10" ht="18.899999999999999" customHeight="1">
      <c r="A214" s="2976">
        <v>212</v>
      </c>
      <c r="B214" s="2976" t="s">
        <v>3060</v>
      </c>
      <c r="C214" s="2976">
        <v>3702</v>
      </c>
      <c r="D214" s="2977">
        <v>49.99</v>
      </c>
      <c r="E214" s="2976" t="s">
        <v>3061</v>
      </c>
    </row>
    <row r="215" spans="1:10" ht="18.899999999999999" customHeight="1">
      <c r="A215" s="2976">
        <v>213</v>
      </c>
      <c r="B215" s="2976" t="s">
        <v>3060</v>
      </c>
      <c r="C215" s="2976">
        <v>3703</v>
      </c>
      <c r="D215" s="2977">
        <v>60.88</v>
      </c>
      <c r="E215" s="2976" t="s">
        <v>3061</v>
      </c>
    </row>
    <row r="216" spans="1:10" ht="18.899999999999999" customHeight="1">
      <c r="A216" s="2976">
        <v>214</v>
      </c>
      <c r="B216" s="2976" t="s">
        <v>3060</v>
      </c>
      <c r="C216" s="2976">
        <v>3705</v>
      </c>
      <c r="D216" s="2977">
        <v>63.71</v>
      </c>
      <c r="E216" s="2976" t="s">
        <v>3061</v>
      </c>
    </row>
    <row r="217" spans="1:10" ht="18.899999999999999" customHeight="1">
      <c r="A217" s="2976">
        <v>215</v>
      </c>
      <c r="B217" s="2976" t="s">
        <v>3060</v>
      </c>
      <c r="C217" s="2976">
        <v>3706</v>
      </c>
      <c r="D217" s="2977">
        <v>64.39</v>
      </c>
      <c r="E217" s="2976" t="s">
        <v>3061</v>
      </c>
    </row>
    <row r="218" spans="1:10" ht="18.899999999999999" customHeight="1">
      <c r="A218" s="2976">
        <v>216</v>
      </c>
      <c r="B218" s="2976" t="s">
        <v>3060</v>
      </c>
      <c r="C218" s="2976">
        <v>3707</v>
      </c>
      <c r="D218" s="2977">
        <v>102.3</v>
      </c>
      <c r="E218" s="2976" t="s">
        <v>3061</v>
      </c>
    </row>
    <row r="219" spans="1:10" ht="18.899999999999999" customHeight="1">
      <c r="A219" s="2976">
        <v>217</v>
      </c>
      <c r="B219" s="2976" t="s">
        <v>3060</v>
      </c>
      <c r="C219" s="2976">
        <v>3708</v>
      </c>
      <c r="D219" s="2977">
        <v>62.25</v>
      </c>
      <c r="E219" s="2976" t="s">
        <v>3061</v>
      </c>
      <c r="J219" s="2972"/>
    </row>
    <row r="220" spans="1:10" ht="18.899999999999999" customHeight="1">
      <c r="A220" s="3108" t="s">
        <v>3062</v>
      </c>
      <c r="B220" s="3108"/>
      <c r="C220" s="3108"/>
      <c r="D220" s="3109">
        <f>SUM(D3:D219)</f>
        <v>14362.359999999961</v>
      </c>
      <c r="E220" s="3108"/>
      <c r="J220" s="2972"/>
    </row>
    <row r="221" spans="1:10" ht="18.899999999999999" customHeight="1">
      <c r="J221" s="2972"/>
    </row>
    <row r="222" spans="1:10" ht="18.75" customHeight="1">
      <c r="J222" s="2972"/>
    </row>
    <row r="223" spans="1:10" ht="39" customHeight="1">
      <c r="A223" s="3106" t="s">
        <v>3063</v>
      </c>
      <c r="B223" s="3107"/>
      <c r="C223" s="3107"/>
      <c r="D223" s="3107"/>
      <c r="E223" s="3107"/>
      <c r="J223" s="2972"/>
    </row>
    <row r="224" spans="1:10" ht="31.2">
      <c r="A224" s="2974" t="s">
        <v>3064</v>
      </c>
      <c r="B224" s="2974" t="s">
        <v>3065</v>
      </c>
      <c r="C224" s="2974" t="s">
        <v>3066</v>
      </c>
      <c r="D224" s="2975" t="s">
        <v>3067</v>
      </c>
      <c r="E224" s="2974" t="s">
        <v>3068</v>
      </c>
      <c r="J224" s="2972"/>
    </row>
    <row r="225" spans="1:10" ht="20.100000000000001" customHeight="1">
      <c r="A225" s="2976">
        <v>1</v>
      </c>
      <c r="B225" s="2976" t="s">
        <v>3069</v>
      </c>
      <c r="C225" s="2976" t="s">
        <v>3070</v>
      </c>
      <c r="D225" s="2980">
        <v>443.61</v>
      </c>
      <c r="E225" s="2976" t="s">
        <v>3071</v>
      </c>
      <c r="J225" s="2972"/>
    </row>
    <row r="226" spans="1:10" ht="20.100000000000001" customHeight="1">
      <c r="A226" s="2976">
        <v>2</v>
      </c>
      <c r="B226" s="2976" t="s">
        <v>3072</v>
      </c>
      <c r="C226" s="2976" t="s">
        <v>3070</v>
      </c>
      <c r="D226" s="2977">
        <v>299.77999999999997</v>
      </c>
      <c r="E226" s="2976" t="s">
        <v>3071</v>
      </c>
      <c r="J226" s="2972"/>
    </row>
    <row r="227" spans="1:10" ht="20.100000000000001" customHeight="1">
      <c r="A227" s="2976">
        <v>3</v>
      </c>
      <c r="B227" s="2976" t="s">
        <v>3073</v>
      </c>
      <c r="C227" s="2976" t="s">
        <v>3070</v>
      </c>
      <c r="D227" s="2977">
        <v>309.8</v>
      </c>
      <c r="E227" s="2976" t="s">
        <v>3071</v>
      </c>
    </row>
    <row r="228" spans="1:10" ht="20.100000000000001" customHeight="1">
      <c r="A228" s="2976">
        <v>4</v>
      </c>
      <c r="B228" s="2976" t="s">
        <v>3074</v>
      </c>
      <c r="C228" s="2976" t="s">
        <v>3070</v>
      </c>
      <c r="D228" s="2977">
        <v>454.19</v>
      </c>
      <c r="E228" s="2976" t="s">
        <v>3071</v>
      </c>
    </row>
    <row r="229" spans="1:10" ht="20.100000000000001" customHeight="1">
      <c r="A229" s="2976">
        <v>5</v>
      </c>
      <c r="B229" s="2976" t="s">
        <v>3075</v>
      </c>
      <c r="C229" s="2976" t="s">
        <v>3070</v>
      </c>
      <c r="D229" s="2977">
        <v>371.73</v>
      </c>
      <c r="E229" s="2976" t="s">
        <v>3071</v>
      </c>
    </row>
    <row r="230" spans="1:10" ht="20.100000000000001" customHeight="1">
      <c r="A230" s="2976">
        <v>6</v>
      </c>
      <c r="B230" s="2976" t="s">
        <v>3076</v>
      </c>
      <c r="C230" s="2976" t="s">
        <v>3070</v>
      </c>
      <c r="D230" s="2977">
        <v>379.79</v>
      </c>
      <c r="E230" s="2976" t="s">
        <v>3071</v>
      </c>
    </row>
    <row r="231" spans="1:10" ht="20.100000000000001" customHeight="1">
      <c r="A231" s="2976">
        <v>7</v>
      </c>
      <c r="B231" s="2976" t="s">
        <v>3077</v>
      </c>
      <c r="C231" s="2976" t="s">
        <v>3070</v>
      </c>
      <c r="D231" s="2977">
        <v>525.02</v>
      </c>
      <c r="E231" s="2976" t="s">
        <v>3071</v>
      </c>
    </row>
    <row r="232" spans="1:10" ht="20.100000000000001" customHeight="1">
      <c r="A232" s="2976">
        <v>8</v>
      </c>
      <c r="B232" s="2976" t="s">
        <v>3078</v>
      </c>
      <c r="C232" s="2976" t="s">
        <v>3070</v>
      </c>
      <c r="D232" s="2977">
        <v>419.8</v>
      </c>
      <c r="E232" s="2976" t="s">
        <v>3071</v>
      </c>
    </row>
    <row r="233" spans="1:10" ht="20.100000000000001" customHeight="1">
      <c r="A233" s="2976">
        <v>9</v>
      </c>
      <c r="B233" s="2976" t="s">
        <v>3079</v>
      </c>
      <c r="C233" s="2976" t="s">
        <v>3070</v>
      </c>
      <c r="D233" s="2977">
        <v>882.57</v>
      </c>
      <c r="E233" s="2976" t="s">
        <v>3071</v>
      </c>
    </row>
    <row r="234" spans="1:10" ht="20.100000000000001" customHeight="1">
      <c r="A234" s="2976">
        <v>10</v>
      </c>
      <c r="B234" s="2976" t="s">
        <v>3080</v>
      </c>
      <c r="C234" s="2976" t="s">
        <v>3070</v>
      </c>
      <c r="D234" s="2977">
        <v>678.43</v>
      </c>
      <c r="E234" s="2976" t="s">
        <v>3071</v>
      </c>
    </row>
    <row r="235" spans="1:10" ht="20.100000000000001" customHeight="1">
      <c r="A235" s="3108" t="s">
        <v>3081</v>
      </c>
      <c r="B235" s="3108"/>
      <c r="C235" s="3108"/>
      <c r="D235" s="3109">
        <f>SUM(D225:D234)</f>
        <v>4764.72</v>
      </c>
      <c r="E235" s="3108"/>
    </row>
    <row r="236" spans="1:10" ht="20.100000000000001" customHeight="1"/>
    <row r="237" spans="1:10" ht="20.100000000000001" customHeight="1"/>
    <row r="238" spans="1:10" ht="29.25" customHeight="1">
      <c r="A238" s="3106"/>
      <c r="B238" s="3107"/>
      <c r="C238" s="3107"/>
      <c r="D238" s="3107"/>
      <c r="E238" s="3107"/>
    </row>
  </sheetData>
  <mergeCells count="7">
    <mergeCell ref="A238:E238"/>
    <mergeCell ref="A1:E1"/>
    <mergeCell ref="A220:C220"/>
    <mergeCell ref="D220:E220"/>
    <mergeCell ref="A223:E223"/>
    <mergeCell ref="A235:C235"/>
    <mergeCell ref="D235:E23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89"/>
      <c r="C1" s="1389"/>
      <c r="D1" s="1389"/>
      <c r="E1" s="1389"/>
      <c r="F1" s="1389"/>
      <c r="G1" s="1389"/>
      <c r="H1" s="1389"/>
      <c r="I1" s="1389"/>
      <c r="J1" s="1389"/>
      <c r="K1" s="1389"/>
      <c r="L1" s="1389"/>
      <c r="M1" s="1389"/>
      <c r="N1" s="1389"/>
      <c r="O1" s="1389"/>
      <c r="P1" s="1389"/>
    </row>
    <row r="2" spans="1:16" ht="14.4">
      <c r="A2" s="3119" t="s">
        <v>1934</v>
      </c>
      <c r="B2" s="3119"/>
      <c r="C2" s="3119"/>
      <c r="D2" s="964" t="s">
        <v>1910</v>
      </c>
      <c r="E2" s="2224" t="s">
        <v>1911</v>
      </c>
      <c r="F2" s="1389"/>
      <c r="G2" s="2225"/>
      <c r="H2" s="2226"/>
      <c r="I2" s="2227" t="s">
        <v>1935</v>
      </c>
      <c r="J2" s="1389"/>
      <c r="K2" s="1389"/>
      <c r="L2" s="1389"/>
      <c r="M2" s="1389"/>
      <c r="N2" s="1424"/>
      <c r="O2" s="1389"/>
      <c r="P2" s="1389"/>
    </row>
    <row r="3" spans="1:16" ht="15" thickBot="1">
      <c r="A3" s="3120" t="s">
        <v>1908</v>
      </c>
      <c r="B3" s="3120"/>
      <c r="C3" s="3120"/>
      <c r="D3" s="46">
        <f>'数据-基础表'!AY6</f>
        <v>14543</v>
      </c>
      <c r="E3" s="46">
        <f>'数据-基础表'!AZ5</f>
        <v>499.07</v>
      </c>
      <c r="F3" s="1389"/>
      <c r="G3" s="1396"/>
      <c r="H3" s="1244" t="s">
        <v>1909</v>
      </c>
      <c r="I3" s="55">
        <f>ROUND('数据-基础表'!B3/'数据-基础表'!A3,2)</f>
        <v>0.03</v>
      </c>
      <c r="J3" s="1389"/>
      <c r="K3" s="1389"/>
      <c r="L3" s="1389"/>
      <c r="M3" s="1389"/>
      <c r="N3" s="1424"/>
      <c r="O3" s="1389"/>
      <c r="P3" s="1389"/>
    </row>
    <row r="4" spans="1:16" ht="14.4">
      <c r="A4" s="3121"/>
      <c r="B4" s="3122"/>
      <c r="C4" s="3123"/>
      <c r="D4" s="2228" t="s">
        <v>1910</v>
      </c>
      <c r="E4" s="2229" t="s">
        <v>1911</v>
      </c>
      <c r="F4" s="1389"/>
      <c r="G4" s="2230" t="s">
        <v>1936</v>
      </c>
      <c r="H4" s="1244" t="s">
        <v>1916</v>
      </c>
      <c r="I4" s="55">
        <f>ROUND(SUMIF('数据-基础表'!I9:AS9,"地上",'数据-基础表'!I5:AS5)/'数据-基础表'!A3,2)</f>
        <v>0.03</v>
      </c>
      <c r="J4" s="1389"/>
      <c r="K4" s="1389"/>
      <c r="L4" s="1389"/>
      <c r="M4" s="1389"/>
      <c r="N4" s="1424"/>
      <c r="O4" s="1389"/>
      <c r="P4" s="1389"/>
    </row>
    <row r="5" spans="1:16" ht="14.4">
      <c r="A5" s="47" t="s">
        <v>1912</v>
      </c>
      <c r="B5" s="3124" t="s">
        <v>1913</v>
      </c>
      <c r="C5" s="3124"/>
      <c r="D5" s="48">
        <f>ROUND($D$3*E5/$E$3,2)</f>
        <v>0</v>
      </c>
      <c r="E5" s="49">
        <f>SUMIF('数据-基础表'!$11:$11,"住宅",'数据-基础表'!$5:$5)</f>
        <v>0</v>
      </c>
      <c r="F5" s="1389"/>
      <c r="G5" s="1396"/>
      <c r="H5" s="1244" t="s">
        <v>1909</v>
      </c>
      <c r="I5" s="55">
        <f>ROUND(E31/D31,2)</f>
        <v>0.03</v>
      </c>
      <c r="J5" s="1389"/>
      <c r="K5" s="1389"/>
      <c r="L5" s="1389"/>
      <c r="M5" s="1389"/>
      <c r="N5" s="1389"/>
      <c r="O5" s="1389"/>
      <c r="P5" s="1389"/>
    </row>
    <row r="6" spans="1:16" ht="15" thickBot="1">
      <c r="A6" s="2231"/>
      <c r="B6" s="3124" t="s">
        <v>1914</v>
      </c>
      <c r="C6" s="3124"/>
      <c r="D6" s="48">
        <f>ROUND($D$3*E6/$E$3,2)</f>
        <v>14543</v>
      </c>
      <c r="E6" s="49">
        <f>E3-E5</f>
        <v>499.07</v>
      </c>
      <c r="F6" s="1389"/>
      <c r="G6" s="2232" t="s">
        <v>1915</v>
      </c>
      <c r="H6" s="1396" t="s">
        <v>1916</v>
      </c>
      <c r="I6" s="936">
        <f>ROUND(F31/D31,2)</f>
        <v>0.03</v>
      </c>
      <c r="J6" s="1389"/>
      <c r="K6" s="1389"/>
      <c r="L6" s="1389"/>
      <c r="M6" s="1389"/>
      <c r="N6" s="1389"/>
      <c r="O6" s="1389"/>
      <c r="P6" s="1389"/>
    </row>
    <row r="7" spans="1:16" ht="14.4">
      <c r="A7" s="3116"/>
      <c r="B7" s="3117"/>
      <c r="C7" s="3118"/>
      <c r="D7" s="2228" t="s">
        <v>1910</v>
      </c>
      <c r="E7" s="2233" t="s">
        <v>1917</v>
      </c>
      <c r="F7" s="1389"/>
      <c r="G7" s="2225" t="s">
        <v>1918</v>
      </c>
      <c r="H7" s="64"/>
      <c r="I7" s="419"/>
      <c r="J7" s="1389"/>
      <c r="K7" s="1389"/>
      <c r="L7" s="1389"/>
      <c r="M7" s="1389"/>
      <c r="N7" s="1389"/>
      <c r="O7" s="1389"/>
      <c r="P7" s="1389"/>
    </row>
    <row r="8" spans="1:16" ht="14.4">
      <c r="A8" s="47" t="s">
        <v>1919</v>
      </c>
      <c r="B8" s="50" t="s">
        <v>1920</v>
      </c>
      <c r="C8" s="48" t="s">
        <v>1921</v>
      </c>
      <c r="D8" s="48">
        <f t="shared" ref="D8:D15" si="0">ROUND($D$3*E8/$E$3,2)</f>
        <v>14543</v>
      </c>
      <c r="E8" s="51">
        <f>SUMIF('数据-基础表'!BB10:BK10,"地上",'数据-基础表'!BB5:BK5)</f>
        <v>499.07</v>
      </c>
      <c r="F8" s="1389"/>
      <c r="G8" s="2234"/>
      <c r="H8" s="2234"/>
      <c r="I8" s="1389"/>
      <c r="J8" s="1389"/>
      <c r="K8" s="1389"/>
      <c r="L8" s="1389"/>
      <c r="M8" s="1389"/>
      <c r="N8" s="1389"/>
      <c r="O8" s="1389"/>
      <c r="P8" s="1389"/>
    </row>
    <row r="9" spans="1:16" ht="14.4">
      <c r="A9" s="2235"/>
      <c r="B9" s="2236"/>
      <c r="C9" s="48" t="s">
        <v>1922</v>
      </c>
      <c r="D9" s="48">
        <f t="shared" si="0"/>
        <v>0</v>
      </c>
      <c r="E9" s="52">
        <v>0</v>
      </c>
      <c r="F9" s="1389"/>
      <c r="G9" s="2234"/>
      <c r="H9" s="2234"/>
      <c r="I9" s="1389"/>
      <c r="J9" s="1389"/>
      <c r="K9" s="1389"/>
      <c r="L9" s="1389"/>
      <c r="M9" s="1389"/>
      <c r="N9" s="1389"/>
      <c r="O9" s="1389"/>
      <c r="P9" s="1389"/>
    </row>
    <row r="10" spans="1:16" ht="14.4">
      <c r="A10" s="2235"/>
      <c r="B10" s="2236"/>
      <c r="C10" s="48" t="s">
        <v>1931</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ht="14.4">
      <c r="A11" s="2235"/>
      <c r="B11" s="2236"/>
      <c r="C11" s="48" t="s">
        <v>1923</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ht="14.4">
      <c r="A12" s="2235"/>
      <c r="B12" s="2236"/>
      <c r="C12" s="48" t="s">
        <v>1924</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ht="14.4">
      <c r="A13" s="2235"/>
      <c r="B13" s="2236"/>
      <c r="C13" s="48" t="s">
        <v>1925</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ht="14.4">
      <c r="A14" s="2235"/>
      <c r="B14" s="2236"/>
      <c r="C14" s="48" t="s">
        <v>1937</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1932</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 thickBot="1">
      <c r="A16" s="2231"/>
      <c r="B16" s="2236"/>
      <c r="C16" s="50" t="s">
        <v>1926</v>
      </c>
      <c r="D16" s="50">
        <f>SUM(D8:D15)</f>
        <v>14543</v>
      </c>
      <c r="E16" s="53">
        <f>SUM(E8:E15)</f>
        <v>499.07</v>
      </c>
      <c r="F16" s="1389"/>
      <c r="G16" s="2234"/>
      <c r="H16" s="2237" t="s">
        <v>1938</v>
      </c>
      <c r="I16" s="2238"/>
      <c r="J16" s="1389"/>
      <c r="K16" s="3113" t="s">
        <v>1938</v>
      </c>
      <c r="L16" s="3114"/>
      <c r="M16" s="3114"/>
      <c r="N16" s="3114"/>
      <c r="O16" s="3114"/>
      <c r="P16" s="3115"/>
    </row>
    <row r="17" spans="1:19" ht="14.4">
      <c r="A17" s="2239" t="s">
        <v>1939</v>
      </c>
      <c r="B17" s="2240" t="s">
        <v>1940</v>
      </c>
      <c r="C17" s="2241" t="s">
        <v>1941</v>
      </c>
      <c r="D17" s="2242" t="s">
        <v>1929</v>
      </c>
      <c r="E17" s="2243" t="s">
        <v>1930</v>
      </c>
      <c r="F17" s="2244"/>
      <c r="G17" s="2245"/>
      <c r="H17" s="2246" t="s">
        <v>1942</v>
      </c>
      <c r="I17" s="2247" t="s">
        <v>1927</v>
      </c>
      <c r="J17" s="1389"/>
      <c r="K17" s="3110" t="s">
        <v>1943</v>
      </c>
      <c r="L17" s="3111"/>
      <c r="M17" s="3112"/>
      <c r="N17" s="3110" t="s">
        <v>1944</v>
      </c>
      <c r="O17" s="3111"/>
      <c r="P17" s="3112"/>
      <c r="R17" s="2225" t="s">
        <v>1945</v>
      </c>
      <c r="S17" s="64"/>
    </row>
    <row r="18" spans="1:19" ht="14.4">
      <c r="A18" s="2235"/>
      <c r="B18" s="2248"/>
      <c r="C18" s="2249"/>
      <c r="D18" s="2250"/>
      <c r="E18" s="2251" t="s">
        <v>1946</v>
      </c>
      <c r="F18" s="2252" t="s">
        <v>1947</v>
      </c>
      <c r="G18" s="2253" t="s">
        <v>1948</v>
      </c>
      <c r="H18" s="1259" t="s">
        <v>1949</v>
      </c>
      <c r="I18" s="2254" t="s">
        <v>1950</v>
      </c>
      <c r="J18" s="1389"/>
      <c r="K18" s="1259" t="s">
        <v>1951</v>
      </c>
      <c r="L18" s="2255" t="s">
        <v>1952</v>
      </c>
      <c r="M18" s="1043" t="s">
        <v>1953</v>
      </c>
      <c r="N18" s="1259" t="s">
        <v>1951</v>
      </c>
      <c r="O18" s="2255" t="s">
        <v>1952</v>
      </c>
      <c r="P18" s="1043" t="s">
        <v>1953</v>
      </c>
      <c r="R18" s="1244" t="s">
        <v>1954</v>
      </c>
      <c r="S18" s="1244" t="s">
        <v>1955</v>
      </c>
    </row>
    <row r="19" spans="1:19" ht="14.4">
      <c r="A19" s="2256"/>
      <c r="B19" s="50" t="s">
        <v>1928</v>
      </c>
      <c r="C19" s="2981" t="s">
        <v>3086</v>
      </c>
      <c r="D19" s="48">
        <f>ROUND($D$3*E19/$E$3,2)</f>
        <v>1616.12</v>
      </c>
      <c r="E19" s="56">
        <f t="shared" ref="E19:E26" si="1">SUM(F19:G19)</f>
        <v>55.46</v>
      </c>
      <c r="F19" s="57">
        <f>'数据-基础表'!I13</f>
        <v>55.46</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8"/>
      <c r="O19" s="2259"/>
      <c r="P19" s="1400">
        <f>N19+O19</f>
        <v>0</v>
      </c>
      <c r="R19" s="1244">
        <f t="shared" ref="R19:S26" si="5">D19+H19</f>
        <v>1616.12</v>
      </c>
      <c r="S19" s="1245">
        <f t="shared" si="5"/>
        <v>55.46</v>
      </c>
    </row>
    <row r="20" spans="1:19" ht="14.4">
      <c r="A20" s="2260"/>
      <c r="B20" s="50" t="s">
        <v>1956</v>
      </c>
      <c r="C20" s="2981" t="s">
        <v>3087</v>
      </c>
      <c r="D20" s="48">
        <f t="shared" ref="D20:D26" si="6">ROUND($D$3*E20/$E$3,2)</f>
        <v>12926.88</v>
      </c>
      <c r="E20" s="56">
        <f t="shared" si="1"/>
        <v>443.61</v>
      </c>
      <c r="F20" s="57">
        <f>'数据-基础表'!K13</f>
        <v>443.61</v>
      </c>
      <c r="G20" s="58"/>
      <c r="H20" s="721">
        <f t="shared" ref="H20:H26" si="7">ROUND($D$3*I20/$E$3,2)</f>
        <v>0</v>
      </c>
      <c r="I20" s="51">
        <f t="shared" si="2"/>
        <v>0</v>
      </c>
      <c r="J20" s="1389"/>
      <c r="K20" s="1388">
        <f t="shared" si="3"/>
        <v>0</v>
      </c>
      <c r="L20" s="1244">
        <f t="shared" si="4"/>
        <v>0</v>
      </c>
      <c r="M20" s="1400">
        <f t="shared" ref="M20:M26" si="8">K20+L20</f>
        <v>0</v>
      </c>
      <c r="N20" s="2258"/>
      <c r="O20" s="2259"/>
      <c r="P20" s="1400">
        <f t="shared" ref="P20:P26" si="9">N20+O20</f>
        <v>0</v>
      </c>
      <c r="R20" s="1244">
        <f t="shared" si="5"/>
        <v>12926.88</v>
      </c>
      <c r="S20" s="1245">
        <f t="shared" si="5"/>
        <v>443.61</v>
      </c>
    </row>
    <row r="21" spans="1:19" ht="14.4">
      <c r="A21" s="2260"/>
      <c r="B21" s="50" t="s">
        <v>1956</v>
      </c>
      <c r="C21" s="2257"/>
      <c r="D21" s="48">
        <f t="shared" si="6"/>
        <v>0</v>
      </c>
      <c r="E21" s="56">
        <f t="shared" si="1"/>
        <v>0</v>
      </c>
      <c r="F21" s="57"/>
      <c r="G21" s="58"/>
      <c r="H21" s="721">
        <f t="shared" si="7"/>
        <v>0</v>
      </c>
      <c r="I21" s="51">
        <f t="shared" si="2"/>
        <v>0</v>
      </c>
      <c r="J21" s="1389"/>
      <c r="K21" s="1388">
        <f t="shared" si="3"/>
        <v>0</v>
      </c>
      <c r="L21" s="1244">
        <f t="shared" si="4"/>
        <v>0</v>
      </c>
      <c r="M21" s="1400">
        <f t="shared" si="8"/>
        <v>0</v>
      </c>
      <c r="N21" s="2258"/>
      <c r="O21" s="2259"/>
      <c r="P21" s="1400">
        <f t="shared" si="9"/>
        <v>0</v>
      </c>
      <c r="R21" s="1244">
        <f t="shared" si="5"/>
        <v>0</v>
      </c>
      <c r="S21" s="1245">
        <f t="shared" si="5"/>
        <v>0</v>
      </c>
    </row>
    <row r="22" spans="1:19" ht="14.4">
      <c r="A22" s="2260"/>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8"/>
      <c r="O22" s="2259"/>
      <c r="P22" s="1400">
        <f t="shared" si="9"/>
        <v>0</v>
      </c>
      <c r="R22" s="1244">
        <f t="shared" si="5"/>
        <v>0</v>
      </c>
      <c r="S22" s="1245">
        <f t="shared" si="5"/>
        <v>0</v>
      </c>
    </row>
    <row r="23" spans="1:19" ht="14.4">
      <c r="A23" s="2260"/>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8"/>
      <c r="O23" s="2259"/>
      <c r="P23" s="1400">
        <f t="shared" si="9"/>
        <v>0</v>
      </c>
      <c r="R23" s="1244">
        <f t="shared" si="5"/>
        <v>0</v>
      </c>
      <c r="S23" s="1245">
        <f t="shared" si="5"/>
        <v>0</v>
      </c>
    </row>
    <row r="24" spans="1:19" ht="14.4">
      <c r="A24" s="2260"/>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8"/>
      <c r="O24" s="2259"/>
      <c r="P24" s="1400">
        <f t="shared" si="9"/>
        <v>0</v>
      </c>
      <c r="R24" s="1244">
        <f t="shared" si="5"/>
        <v>0</v>
      </c>
      <c r="S24" s="1245">
        <f t="shared" si="5"/>
        <v>0</v>
      </c>
    </row>
    <row r="25" spans="1:19" ht="14.4">
      <c r="A25" s="2260"/>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8"/>
      <c r="O25" s="2259"/>
      <c r="P25" s="1400">
        <f t="shared" si="9"/>
        <v>0</v>
      </c>
      <c r="R25" s="1244">
        <f t="shared" si="5"/>
        <v>0</v>
      </c>
      <c r="S25" s="1245">
        <f t="shared" si="5"/>
        <v>0</v>
      </c>
    </row>
    <row r="26" spans="1:19" ht="14.4">
      <c r="A26" s="2260"/>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1"/>
      <c r="O26" s="2262"/>
      <c r="P26" s="67">
        <f t="shared" si="9"/>
        <v>0</v>
      </c>
      <c r="R26" s="1244">
        <f t="shared" si="5"/>
        <v>0</v>
      </c>
      <c r="S26" s="1245">
        <f t="shared" si="5"/>
        <v>0</v>
      </c>
    </row>
    <row r="27" spans="1:19" ht="15" thickBot="1">
      <c r="A27" s="2260"/>
      <c r="B27" s="48"/>
      <c r="C27" s="2263" t="s">
        <v>1957</v>
      </c>
      <c r="D27" s="1390">
        <f>SUM(D19:D26)</f>
        <v>14543</v>
      </c>
      <c r="E27" s="1391">
        <f>IF(SUM(E19:E26)='数据-基础表'!BA5,SUM(E19:E26),IF(F27="地上面积有误","面积有误","地下面积有误"))</f>
        <v>499.07</v>
      </c>
      <c r="F27" s="1390">
        <f>IF(SUM(F19:F26)=E8,SUM(F19:F26),"地上面积有误")</f>
        <v>499.07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14543</v>
      </c>
      <c r="S27" s="1244">
        <f>IF(SUM(S19:S26)=$E$3,SUM(S19:S26),SUM(S19:S26)&amp;"误差"&amp;ROUND(SUM(S19:S26)-E3,2))</f>
        <v>499.07</v>
      </c>
    </row>
    <row r="28" spans="1:19" ht="14.4">
      <c r="A28" s="2260"/>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60"/>
      <c r="B29" s="50" t="s">
        <v>1958</v>
      </c>
      <c r="C29" s="2264"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60"/>
      <c r="B30" s="50"/>
      <c r="C30" s="2265" t="s">
        <v>1957</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6"/>
      <c r="B31" s="2267"/>
      <c r="C31" s="1004" t="s">
        <v>1961</v>
      </c>
      <c r="D31" s="726">
        <f>D27+D30</f>
        <v>14543</v>
      </c>
      <c r="E31" s="726">
        <f>E27+E30</f>
        <v>499.07</v>
      </c>
      <c r="F31" s="727">
        <f>F27+F30</f>
        <v>499.07</v>
      </c>
      <c r="G31" s="728">
        <f>G27+G30</f>
        <v>0</v>
      </c>
      <c r="H31" s="1389"/>
      <c r="I31" s="1389"/>
      <c r="J31" s="1389"/>
      <c r="K31" s="1389"/>
      <c r="L31" s="1389"/>
      <c r="M31" s="1389"/>
      <c r="N31" s="1389"/>
      <c r="O31" s="1389"/>
      <c r="P31" s="1389"/>
    </row>
    <row r="32" spans="1:19" ht="14.4">
      <c r="A32" s="2230"/>
      <c r="B32" s="2230" t="s">
        <v>1962</v>
      </c>
      <c r="C32" s="2230"/>
      <c r="D32" s="2230"/>
      <c r="E32" s="1271">
        <f>SUMIF(C19:C26,"*住宅*",E19:E26)</f>
        <v>0</v>
      </c>
      <c r="F32" s="2230"/>
      <c r="G32" s="2230"/>
      <c r="H32" s="1389"/>
      <c r="I32" s="1389"/>
      <c r="J32" s="1389"/>
      <c r="K32" s="1389"/>
      <c r="L32" s="1389"/>
      <c r="M32" s="1389"/>
      <c r="N32" s="1389"/>
      <c r="O32" s="1389"/>
      <c r="P32" s="1389"/>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9"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9" style="2271"/>
    <col min="68" max="16384" width="9" style="2272"/>
  </cols>
  <sheetData>
    <row r="1" spans="1:67" ht="18" thickBot="1">
      <c r="A1" s="2269" t="s">
        <v>1963</v>
      </c>
      <c r="B1" s="729"/>
      <c r="C1" s="1578"/>
      <c r="D1" s="2270"/>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73" t="s">
        <v>1964</v>
      </c>
      <c r="B2" s="1263">
        <f>项目基本情况!D3</f>
        <v>43845</v>
      </c>
      <c r="C2" s="2274"/>
      <c r="D2" s="2275"/>
      <c r="E2" s="2274"/>
      <c r="F2" s="2274"/>
      <c r="G2" s="2274"/>
      <c r="H2" s="2274"/>
      <c r="I2" s="2274"/>
      <c r="J2" s="2274"/>
      <c r="K2" s="1424"/>
      <c r="L2" s="142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7" customFormat="1" ht="14.4" thickBot="1">
      <c r="A3" s="2025"/>
      <c r="B3" s="2277"/>
      <c r="C3" s="2274"/>
      <c r="D3" s="2275"/>
      <c r="E3" s="2274"/>
      <c r="F3" s="2274"/>
      <c r="G3" s="2274"/>
      <c r="H3" s="2274"/>
      <c r="I3" s="2274"/>
      <c r="J3" s="2274"/>
      <c r="K3" s="1424"/>
      <c r="L3" s="142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7"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8" customFormat="1" ht="57.6">
      <c r="A5" s="2286" t="s">
        <v>1971</v>
      </c>
      <c r="B5" s="2287" t="s">
        <v>1972</v>
      </c>
      <c r="C5" s="2288" t="s">
        <v>1973</v>
      </c>
      <c r="D5" s="2289" t="s">
        <v>1974</v>
      </c>
      <c r="E5" s="1265" t="s">
        <v>1975</v>
      </c>
      <c r="F5" s="2290" t="s">
        <v>1976</v>
      </c>
      <c r="G5" s="1265" t="s">
        <v>1977</v>
      </c>
      <c r="H5" s="1265" t="s">
        <v>1978</v>
      </c>
      <c r="I5" s="1265" t="s">
        <v>1979</v>
      </c>
      <c r="J5" s="2291" t="s">
        <v>1980</v>
      </c>
      <c r="K5" s="2292" t="s">
        <v>1981</v>
      </c>
      <c r="L5" s="2293" t="s">
        <v>1982</v>
      </c>
      <c r="M5" s="2294" t="s">
        <v>1983</v>
      </c>
      <c r="N5" s="2295" t="s">
        <v>3089</v>
      </c>
      <c r="O5" s="2293" t="s">
        <v>1984</v>
      </c>
      <c r="P5" s="2296" t="s">
        <v>1985</v>
      </c>
      <c r="Q5" s="69" t="s">
        <v>1986</v>
      </c>
      <c r="R5" s="2297" t="s">
        <v>1987</v>
      </c>
      <c r="S5" s="2298" t="s">
        <v>1988</v>
      </c>
      <c r="T5" s="2299" t="s">
        <v>1989</v>
      </c>
      <c r="U5" s="1264" t="s">
        <v>1990</v>
      </c>
      <c r="V5" s="1265" t="s">
        <v>1991</v>
      </c>
      <c r="W5" s="1265" t="s">
        <v>1992</v>
      </c>
      <c r="X5" s="71"/>
      <c r="Y5" s="70" t="s">
        <v>1993</v>
      </c>
      <c r="Z5" s="2300" t="s">
        <v>1990</v>
      </c>
      <c r="AA5" s="1265" t="s">
        <v>1991</v>
      </c>
      <c r="AB5" s="1265" t="s">
        <v>1992</v>
      </c>
      <c r="AC5" s="71"/>
      <c r="AD5" s="71" t="s">
        <v>1993</v>
      </c>
      <c r="AE5" s="1264" t="s">
        <v>1994</v>
      </c>
      <c r="AF5" s="1265" t="s">
        <v>1995</v>
      </c>
      <c r="AG5" s="70" t="s">
        <v>1996</v>
      </c>
      <c r="AH5" s="1264" t="s">
        <v>1997</v>
      </c>
      <c r="AI5" s="2300" t="s">
        <v>1998</v>
      </c>
      <c r="AJ5" s="2300" t="s">
        <v>1999</v>
      </c>
      <c r="AK5" s="1265" t="s">
        <v>2000</v>
      </c>
      <c r="AL5" s="1265" t="s">
        <v>2001</v>
      </c>
      <c r="AM5" s="70" t="s">
        <v>2002</v>
      </c>
      <c r="AN5" s="2301" t="s">
        <v>2003</v>
      </c>
      <c r="AO5" s="2071" t="s">
        <v>2004</v>
      </c>
      <c r="AP5" s="1246"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3.8">
      <c r="A6" s="2303" t="str">
        <f>'数据-汇总表'!C19</f>
        <v>办公</v>
      </c>
      <c r="B6" s="2304" t="str">
        <f>IF(A6=0,"","经营性")</f>
        <v>经营性</v>
      </c>
      <c r="C6" s="2305" t="s">
        <v>27</v>
      </c>
      <c r="D6" s="1048">
        <f>SUMIF(项目基本情况!D$12:I$12,C6,项目基本情况!D$14:I$14)</f>
        <v>50</v>
      </c>
      <c r="E6" s="1045">
        <f>IF(B6="","",SUMIF(项目基本情况!D$12:I$12,C6,项目基本情况!D$13:I$13))</f>
        <v>57040</v>
      </c>
      <c r="F6" s="72">
        <f>SUMIF(项目基本情况!D$12:I$12,C6,项目基本情况!D$15:I$15)</f>
        <v>50</v>
      </c>
      <c r="G6" s="73">
        <f>IF(ISERROR(ROUND(POWER(1+H6,D6-F6)*(POWER(1+H6,F6)-1)/(POWER(1+H6,D6)-1),3)),0,ROUND(POWER(1+H6,D6-F6)*(POWER(1+H6,F6)-1)/(POWER(1+H6,D6)-1),3))</f>
        <v>1</v>
      </c>
      <c r="H6" s="3018">
        <v>0.05</v>
      </c>
      <c r="I6" s="3018">
        <v>5.5E-2</v>
      </c>
      <c r="J6" s="74">
        <v>8.5000000000000006E-2</v>
      </c>
      <c r="K6" s="1248">
        <f>SUMIF('数据-汇总表'!C$19:C$33,A6,'数据-汇总表'!E$19:E$33)</f>
        <v>55.46</v>
      </c>
      <c r="L6" s="3019">
        <v>5000</v>
      </c>
      <c r="M6" s="75">
        <f t="shared" ref="M6:M14" si="0">ROUND(K6*L6/10000,0)</f>
        <v>28</v>
      </c>
      <c r="N6" s="798">
        <f>ROUND(1-(2020-2008)/60,2)</f>
        <v>0.8</v>
      </c>
      <c r="O6" s="75" t="str">
        <f>IF($N$5="成新度","——",ROUND(M6*N6,0))</f>
        <v>——</v>
      </c>
      <c r="P6" s="76" t="str">
        <f>IF($N$5="成新度","——",M6-O6)</f>
        <v>——</v>
      </c>
      <c r="Q6" s="3020">
        <v>0.25</v>
      </c>
      <c r="R6" s="77">
        <f ca="1">SUMIF('数据-汇总表'!C$19:C$33,A6,'数据-汇总表'!R$19:R$27)</f>
        <v>1616.12</v>
      </c>
      <c r="S6" s="54">
        <f>IF('数据-汇总表'!$I$17="按面积比例",SUMIF('数据-汇总表'!C$19:C$33,A6,'数据-汇总表'!K$19:K$33),SUMIF('数据-汇总表'!C$19:C$33,A6,'数据-汇总表'!N$19:N$33))</f>
        <v>0</v>
      </c>
      <c r="T6" s="1440">
        <f>ROUND($L$14*S6/10000,0)</f>
        <v>0</v>
      </c>
      <c r="U6" s="78">
        <v>9</v>
      </c>
      <c r="V6" s="79">
        <v>0.03</v>
      </c>
      <c r="W6" s="79">
        <v>0.1</v>
      </c>
      <c r="X6" s="1258"/>
      <c r="Y6" s="80">
        <f>N6</f>
        <v>0.8</v>
      </c>
      <c r="Z6" s="81"/>
      <c r="AA6" s="74"/>
      <c r="AB6" s="74"/>
      <c r="AC6" s="1258"/>
      <c r="AD6" s="82"/>
      <c r="AE6" s="1259">
        <f ca="1">IF(AN6="",0,SUMIF(INDIRECT("'"&amp;AN6&amp;"'"&amp;"!E:E"),$AE$5,INDIRECT("'"&amp;AN6&amp;"'"&amp;"!F:F")))</f>
        <v>49</v>
      </c>
      <c r="AF6" s="1801"/>
      <c r="AG6" s="146">
        <f>IF(AF6="",0,AE6-AF6)</f>
        <v>0</v>
      </c>
      <c r="AH6" s="83"/>
      <c r="AI6" s="85">
        <v>365</v>
      </c>
      <c r="AJ6" s="86"/>
      <c r="AK6" s="3024">
        <v>0.02</v>
      </c>
      <c r="AL6" s="3025">
        <v>2E-3</v>
      </c>
      <c r="AM6" s="3026">
        <v>0.02</v>
      </c>
      <c r="AN6" s="2306" t="s">
        <v>3161</v>
      </c>
      <c r="AO6" s="55">
        <f ca="1">SUMIF(INDIRECT("'"&amp;AN6&amp;"'"&amp;"!A:A"),"总价",INDIRECT("'"&amp;AN6&amp;"'"&amp;"!B:B"))</f>
        <v>275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7" customFormat="1" ht="13.8">
      <c r="A7" s="2303" t="str">
        <f>'数据-汇总表'!C20</f>
        <v>商业</v>
      </c>
      <c r="B7" s="2304" t="str">
        <f t="shared" ref="B7:B13" si="1">IF(A7=0,"","经营性")</f>
        <v>经营性</v>
      </c>
      <c r="C7" s="2305" t="s">
        <v>1372</v>
      </c>
      <c r="D7" s="1048">
        <f>SUMIF(项目基本情况!D$12:I$12,C7,项目基本情况!D$14:I$14)</f>
        <v>40</v>
      </c>
      <c r="E7" s="1045">
        <f>IF(B7="","",SUMIF(项目基本情况!D$12:I$12,C7,项目基本情况!D$13:I$13))</f>
        <v>53387</v>
      </c>
      <c r="F7" s="72">
        <f>SUMIF(项目基本情况!D$12:I$12,C7,项目基本情况!D$15:I$15)</f>
        <v>40</v>
      </c>
      <c r="G7" s="73">
        <f t="shared" ref="G7:G11" si="2">IF(ISERROR(ROUND(POWER(1+H7,D7-F7)*(POWER(1+H7,F7)-1)/(POWER(1+H7,D7)-1),3)),0,ROUND(POWER(1+H7,D7-F7)*(POWER(1+H7,F7)-1)/(POWER(1+H7,D7)-1),3))</f>
        <v>1</v>
      </c>
      <c r="H7" s="3018">
        <v>0.05</v>
      </c>
      <c r="I7" s="3018">
        <v>5.5E-2</v>
      </c>
      <c r="J7" s="74">
        <v>8.5000000000000006E-2</v>
      </c>
      <c r="K7" s="1248">
        <f>SUMIF('数据-汇总表'!C$19:C$33,A7,'数据-汇总表'!E$19:E$33)</f>
        <v>443.61</v>
      </c>
      <c r="L7" s="3019">
        <v>3500</v>
      </c>
      <c r="M7" s="75">
        <f t="shared" si="0"/>
        <v>155</v>
      </c>
      <c r="N7" s="798">
        <f>N6</f>
        <v>0.8</v>
      </c>
      <c r="O7" s="75" t="str">
        <f t="shared" ref="O7:O14" si="3">IF($N$5="成新度","——",ROUND(M7*N7,0))</f>
        <v>——</v>
      </c>
      <c r="P7" s="76" t="str">
        <f t="shared" ref="P7:P14" si="4">IF($N$5="成新度","——",M7-O7)</f>
        <v>——</v>
      </c>
      <c r="Q7" s="3020">
        <v>0.3</v>
      </c>
      <c r="R7" s="77">
        <f ca="1">SUMIF('数据-汇总表'!C$19:C$33,A7,'数据-汇总表'!R$19:R$27)</f>
        <v>12926.88</v>
      </c>
      <c r="S7" s="54">
        <f>IF('数据-汇总表'!$I$17="按面积比例",SUMIF('数据-汇总表'!C$19:C$33,A7,'数据-汇总表'!K$19:K$33),SUMIF('数据-汇总表'!C$19:C$33,A7,'数据-汇总表'!N$19:N$33))</f>
        <v>0</v>
      </c>
      <c r="T7" s="1440">
        <f t="shared" ref="T7:T13" si="5">ROUND($L$14*S7/10000,0)</f>
        <v>0</v>
      </c>
      <c r="U7" s="78">
        <v>10</v>
      </c>
      <c r="V7" s="79">
        <v>0.03</v>
      </c>
      <c r="W7" s="79">
        <v>0.1</v>
      </c>
      <c r="X7" s="1258"/>
      <c r="Y7" s="80">
        <f>N7</f>
        <v>0.8</v>
      </c>
      <c r="Z7" s="81"/>
      <c r="AA7" s="74"/>
      <c r="AB7" s="74"/>
      <c r="AC7" s="1258"/>
      <c r="AD7" s="82"/>
      <c r="AE7" s="1259">
        <f t="shared" ref="AE7:AE13" ca="1" si="6">IF(AN7="",0,SUMIF(INDIRECT("'"&amp;AN7&amp;"'"&amp;"!E:E"),$AE$5,INDIRECT("'"&amp;AN7&amp;"'"&amp;"!F:F")))</f>
        <v>40</v>
      </c>
      <c r="AF7" s="1801"/>
      <c r="AG7" s="146">
        <f t="shared" ref="AG7:AG13" si="7">IF(AF7="",0,AE7-AF7)</f>
        <v>0</v>
      </c>
      <c r="AH7" s="83"/>
      <c r="AI7" s="85">
        <v>365</v>
      </c>
      <c r="AJ7" s="86"/>
      <c r="AK7" s="3024">
        <v>1.4999999999999999E-2</v>
      </c>
      <c r="AL7" s="3025">
        <v>2E-3</v>
      </c>
      <c r="AM7" s="3026">
        <v>1.4999999999999999E-2</v>
      </c>
      <c r="AN7" s="2306" t="s">
        <v>3163</v>
      </c>
      <c r="AO7" s="55">
        <f t="shared" ref="AO7:AO13" ca="1" si="8">SUMIF(INDIRECT("'"&amp;AN7&amp;"'"&amp;"!A:A"),"总价",INDIRECT("'"&amp;AN7&amp;"'"&amp;"!B:B"))</f>
        <v>2356</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7" customFormat="1" ht="13.8" hidden="1">
      <c r="A8" s="2303">
        <f>'数据-汇总表'!C21</f>
        <v>0</v>
      </c>
      <c r="B8" s="2304" t="str">
        <f t="shared" si="1"/>
        <v/>
      </c>
      <c r="C8" s="2305"/>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6">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7" customFormat="1" ht="13.8" hidden="1">
      <c r="A9" s="2303">
        <f>'数据-汇总表'!C22</f>
        <v>0</v>
      </c>
      <c r="B9" s="2304" t="str">
        <f t="shared" si="1"/>
        <v/>
      </c>
      <c r="C9" s="230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7" customFormat="1" ht="13.8" hidden="1">
      <c r="A10" s="2303">
        <f>'数据-汇总表'!C23</f>
        <v>0</v>
      </c>
      <c r="B10" s="2304" t="str">
        <f t="shared" si="1"/>
        <v/>
      </c>
      <c r="C10" s="230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7" customFormat="1" ht="13.8" hidden="1">
      <c r="A11" s="2303">
        <f>'数据-汇总表'!C24</f>
        <v>0</v>
      </c>
      <c r="B11" s="2304" t="str">
        <f t="shared" si="1"/>
        <v/>
      </c>
      <c r="C11" s="230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7" customFormat="1" ht="13.8" hidden="1">
      <c r="A12" s="2303">
        <f>'数据-汇总表'!C25</f>
        <v>0</v>
      </c>
      <c r="B12" s="2304" t="str">
        <f t="shared" si="1"/>
        <v/>
      </c>
      <c r="C12" s="230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7" customFormat="1" ht="13.8" hidden="1">
      <c r="A13" s="2303">
        <f>'数据-汇总表'!C26</f>
        <v>0</v>
      </c>
      <c r="B13" s="2304" t="str">
        <f t="shared" si="1"/>
        <v/>
      </c>
      <c r="C13" s="230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7" customFormat="1" ht="14.4">
      <c r="A14" s="2308" t="s">
        <v>2008</v>
      </c>
      <c r="B14" s="2304" t="s">
        <v>2009</v>
      </c>
      <c r="C14" s="2309"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6"/>
      <c r="AH14" s="1259"/>
      <c r="AI14" s="1812"/>
      <c r="AJ14" s="770"/>
      <c r="AK14" s="1260"/>
      <c r="AL14" s="1261"/>
      <c r="AM14" s="1262"/>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7" customFormat="1" ht="28.8">
      <c r="A15" s="2308" t="s">
        <v>2010</v>
      </c>
      <c r="B15" s="2304" t="s">
        <v>2009</v>
      </c>
      <c r="C15" s="2309"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6"/>
      <c r="AH15" s="1259"/>
      <c r="AI15" s="1812"/>
      <c r="AJ15" s="770"/>
      <c r="AK15" s="1260"/>
      <c r="AL15" s="1261"/>
      <c r="AM15" s="1262"/>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7" customFormat="1" ht="15" thickBot="1">
      <c r="A16" s="2310" t="s">
        <v>2012</v>
      </c>
      <c r="B16" s="97"/>
      <c r="C16" s="1002"/>
      <c r="D16" s="2311"/>
      <c r="E16" s="97"/>
      <c r="F16" s="97"/>
      <c r="G16" s="98">
        <f>ROUND(SUMPRODUCT(G6:G13,K6:K13)/SUMPRODUCT((G6:G13&gt;0)*(K6:K13)),3)</f>
        <v>1</v>
      </c>
      <c r="H16" s="99">
        <f>ROUND(SUMPRODUCT(H6:H13,K6:K13)/SUMPRODUCT((H6:H13&gt;0)*(K6:K13)),3)</f>
        <v>0.05</v>
      </c>
      <c r="I16" s="100"/>
      <c r="J16" s="100"/>
      <c r="K16" s="101">
        <f>SUM(K6:K15)</f>
        <v>499.07</v>
      </c>
      <c r="L16" s="102">
        <f>ROUND(M16*10000/SUM(K6:K14),0)</f>
        <v>3667</v>
      </c>
      <c r="M16" s="102">
        <f>SUM(M6:M14)</f>
        <v>183</v>
      </c>
      <c r="N16" s="103">
        <f>ROUND(SUMPRODUCT(M6:M14,N6:N14)/M16,3)</f>
        <v>0.8</v>
      </c>
      <c r="O16" s="102">
        <f>SUM(O6:O14)</f>
        <v>0</v>
      </c>
      <c r="P16" s="102">
        <f>SUM(P6:P14)</f>
        <v>0</v>
      </c>
      <c r="Q16" s="104">
        <f>ROUND(SUMPRODUCT(Q6:Q13,K6:K13)/SUMPRODUCT((Q6:Q13&gt;0)*(K6:K13)),2)</f>
        <v>0.28999999999999998</v>
      </c>
      <c r="R16" s="1252">
        <f ca="1">SUM(R6:R13)</f>
        <v>14543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29"/>
      <c r="C17" s="1578"/>
      <c r="D17" s="2270"/>
      <c r="E17" s="2270"/>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7"/>
      <c r="C18" s="2274"/>
      <c r="D18" s="2275"/>
      <c r="E18" s="2274"/>
      <c r="F18" s="2274"/>
      <c r="G18" s="2274"/>
      <c r="H18" s="2274"/>
      <c r="I18" s="2274"/>
      <c r="J18" s="2274"/>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3" t="s">
        <v>2014</v>
      </c>
      <c r="B19" s="112">
        <v>0</v>
      </c>
      <c r="C19" s="2274" t="s">
        <v>2015</v>
      </c>
      <c r="D19" s="2275"/>
      <c r="E19" s="2274"/>
      <c r="F19" s="2274"/>
      <c r="G19" s="2274"/>
      <c r="H19" s="2274"/>
      <c r="I19" s="2274"/>
      <c r="J19" s="2274"/>
      <c r="K19" s="167"/>
      <c r="L19" s="167"/>
      <c r="M19" s="1578"/>
      <c r="N19" s="1578"/>
      <c r="O19" s="1578"/>
      <c r="P19" s="1578"/>
      <c r="Q19" s="1578"/>
      <c r="R19" s="1578"/>
      <c r="S19" s="1578"/>
      <c r="T19" s="1578"/>
      <c r="U19" s="2989" t="s">
        <v>3108</v>
      </c>
      <c r="V19" s="1578"/>
      <c r="W19" s="2989" t="s">
        <v>3109</v>
      </c>
      <c r="X19" s="1578"/>
      <c r="Y19" s="2989" t="s">
        <v>3114</v>
      </c>
      <c r="Z19" s="1578"/>
      <c r="AA19" s="1578"/>
      <c r="AB19" s="1578"/>
      <c r="AC19" s="1578"/>
      <c r="AD19" s="1578"/>
      <c r="AE19" s="1578"/>
      <c r="AF19" s="1578"/>
      <c r="AG19" s="1578"/>
      <c r="AH19" s="1578"/>
      <c r="AI19" s="1578"/>
      <c r="AJ19" s="1578"/>
      <c r="AK19" s="1578"/>
      <c r="AL19" s="1578"/>
      <c r="AM19" s="1578"/>
    </row>
    <row r="20" spans="1:67" ht="14.4">
      <c r="A20" s="2314" t="s">
        <v>2016</v>
      </c>
      <c r="B20" s="113">
        <v>2</v>
      </c>
      <c r="C20" s="2274" t="s">
        <v>2017</v>
      </c>
      <c r="D20" s="2275"/>
      <c r="E20" s="2274"/>
      <c r="F20" s="2274"/>
      <c r="G20" s="2274"/>
      <c r="H20" s="2274"/>
      <c r="I20" s="2274"/>
      <c r="J20" s="2274"/>
      <c r="K20" s="167"/>
      <c r="L20" s="167"/>
      <c r="M20" s="1578"/>
      <c r="N20" s="1578"/>
      <c r="O20" s="1578"/>
      <c r="P20" s="1578"/>
      <c r="Q20" s="1578"/>
      <c r="R20" s="1578"/>
      <c r="S20" s="1578"/>
      <c r="T20" s="2989" t="s">
        <v>3115</v>
      </c>
      <c r="U20" s="1578" t="s">
        <v>3110</v>
      </c>
      <c r="V20" s="1578"/>
      <c r="W20" s="1578" t="s">
        <v>3136</v>
      </c>
      <c r="X20" s="1578"/>
      <c r="Y20" s="1578" t="s">
        <v>3137</v>
      </c>
      <c r="Z20" s="1578"/>
      <c r="AA20" s="1578"/>
      <c r="AB20" s="1578"/>
      <c r="AC20" s="1578"/>
      <c r="AD20" s="1578"/>
      <c r="AE20" s="1578"/>
      <c r="AF20" s="1578"/>
      <c r="AG20" s="1578"/>
      <c r="AH20" s="1578"/>
      <c r="AI20" s="1578"/>
      <c r="AJ20" s="1578"/>
      <c r="AK20" s="1578"/>
      <c r="AL20" s="1578"/>
      <c r="AM20" s="1578"/>
    </row>
    <row r="21" spans="1:67" ht="14.4">
      <c r="A21" s="2315" t="s">
        <v>2018</v>
      </c>
      <c r="B21" s="113">
        <v>2</v>
      </c>
      <c r="C21" s="2274"/>
      <c r="D21" s="2275"/>
      <c r="E21" s="2274"/>
      <c r="F21" s="2274"/>
      <c r="G21" s="2274"/>
      <c r="H21" s="2274"/>
      <c r="I21" s="2274"/>
      <c r="J21" s="2274"/>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4" t="s">
        <v>2019</v>
      </c>
      <c r="B22" s="114">
        <f>B19+B20</f>
        <v>2</v>
      </c>
      <c r="C22" s="2274"/>
      <c r="D22" s="2275"/>
      <c r="E22" s="2274"/>
      <c r="F22" s="2274"/>
      <c r="G22" s="2274"/>
      <c r="H22" s="2274"/>
      <c r="I22" s="2274"/>
      <c r="J22" s="2274"/>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5" t="s">
        <v>2020</v>
      </c>
      <c r="B23" s="114">
        <f>B19+B21</f>
        <v>2</v>
      </c>
      <c r="C23" s="2274"/>
      <c r="D23" s="2275"/>
      <c r="E23" s="2274"/>
      <c r="F23" s="2274"/>
      <c r="G23" s="2274"/>
      <c r="H23" s="2274"/>
      <c r="I23" s="2274"/>
      <c r="J23" s="2274"/>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2021</v>
      </c>
      <c r="B24" s="115">
        <f>B20-B21</f>
        <v>0</v>
      </c>
      <c r="C24" s="2274"/>
      <c r="D24" s="2275"/>
      <c r="E24" s="2274"/>
      <c r="F24" s="2274"/>
      <c r="G24" s="2274"/>
      <c r="H24" s="2274"/>
      <c r="I24" s="2274"/>
      <c r="J24" s="2274"/>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5"/>
      <c r="B25" s="2277"/>
      <c r="C25" s="2274"/>
      <c r="D25" s="2275"/>
      <c r="E25" s="2274"/>
      <c r="F25" s="2274"/>
      <c r="G25" s="2274"/>
      <c r="H25" s="2274"/>
      <c r="I25" s="2274"/>
      <c r="J25" s="2274"/>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2022</v>
      </c>
      <c r="B26" s="2317" t="s">
        <v>2023</v>
      </c>
      <c r="C26" s="2318" t="s">
        <v>2024</v>
      </c>
      <c r="D26" s="2275"/>
      <c r="E26" s="2274"/>
      <c r="F26" s="2274"/>
      <c r="G26" s="2274"/>
      <c r="H26" s="2274"/>
      <c r="I26" s="2274"/>
      <c r="J26" s="2274"/>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8.8">
      <c r="A27" s="2319" t="s">
        <v>2025</v>
      </c>
      <c r="B27" s="116">
        <v>430</v>
      </c>
      <c r="C27" s="1761" t="s">
        <v>2026</v>
      </c>
      <c r="D27" s="2320"/>
      <c r="E27" s="1424"/>
      <c r="F27" s="1424"/>
      <c r="G27" s="2274"/>
      <c r="H27" s="2274"/>
      <c r="I27" s="2274"/>
      <c r="J27" s="2274"/>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1" customFormat="1" ht="28.8">
      <c r="A28" s="2322" t="s">
        <v>2027</v>
      </c>
      <c r="B28" s="119">
        <v>430</v>
      </c>
      <c r="C28" s="2323"/>
      <c r="D28" s="2320"/>
      <c r="E28" s="1424"/>
      <c r="F28" s="1424"/>
      <c r="G28" s="2274"/>
      <c r="H28" s="2274"/>
      <c r="I28" s="2274"/>
      <c r="J28" s="2274"/>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1" customFormat="1" ht="29.4" thickBot="1">
      <c r="A29" s="2324" t="s">
        <v>2028</v>
      </c>
      <c r="B29" s="121"/>
      <c r="C29" s="1761" t="s">
        <v>2029</v>
      </c>
      <c r="D29" s="2320"/>
      <c r="E29" s="1424"/>
      <c r="F29" s="1424"/>
      <c r="G29" s="2274"/>
      <c r="H29" s="2274"/>
      <c r="I29" s="2274"/>
      <c r="J29" s="2274"/>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1" customFormat="1" ht="28.8">
      <c r="A30" s="2325" t="s">
        <v>2030</v>
      </c>
      <c r="B30" s="722">
        <v>200</v>
      </c>
      <c r="C30" s="2323"/>
      <c r="D30" s="2320"/>
      <c r="E30" s="1424"/>
      <c r="F30" s="1424"/>
      <c r="G30" s="2274"/>
      <c r="H30" s="2274"/>
      <c r="I30" s="2274"/>
      <c r="J30" s="2274"/>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1" customFormat="1" ht="28.8">
      <c r="A31" s="2322" t="s">
        <v>2031</v>
      </c>
      <c r="B31" s="120">
        <f>B30-B32</f>
        <v>200</v>
      </c>
      <c r="C31" s="1761"/>
      <c r="D31" s="2320"/>
      <c r="E31" s="1424"/>
      <c r="F31" s="1424"/>
      <c r="G31" s="2274"/>
      <c r="H31" s="2274"/>
      <c r="I31" s="2274"/>
      <c r="J31" s="2274"/>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1" customFormat="1" ht="29.4" thickBot="1">
      <c r="A32" s="2326" t="s">
        <v>2032</v>
      </c>
      <c r="B32" s="723">
        <v>0</v>
      </c>
      <c r="C32" s="2323"/>
      <c r="D32" s="2275"/>
      <c r="E32" s="2274"/>
      <c r="F32" s="2274"/>
      <c r="G32" s="2274"/>
      <c r="H32" s="2274"/>
      <c r="I32" s="2274"/>
      <c r="J32" s="2274"/>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1" customFormat="1" ht="14.4">
      <c r="A33" s="2319" t="s">
        <v>2033</v>
      </c>
      <c r="B33" s="3029">
        <v>0.05</v>
      </c>
      <c r="C33" s="1760" t="s">
        <v>2034</v>
      </c>
      <c r="D33" s="2275"/>
      <c r="E33" s="2274"/>
      <c r="F33" s="2274"/>
      <c r="G33" s="2274"/>
      <c r="H33" s="2274"/>
      <c r="I33" s="2274"/>
      <c r="J33" s="2274"/>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1" customFormat="1" ht="14.4">
      <c r="A34" s="2322" t="s">
        <v>2035</v>
      </c>
      <c r="B34" s="122">
        <v>0</v>
      </c>
      <c r="C34" s="1760" t="s">
        <v>2036</v>
      </c>
      <c r="D34" s="2275" t="s">
        <v>2037</v>
      </c>
      <c r="E34" s="729"/>
      <c r="F34" s="2274"/>
      <c r="G34" s="2274"/>
      <c r="H34" s="2274"/>
      <c r="I34" s="2274"/>
      <c r="J34" s="2274"/>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1" customFormat="1" ht="14.4">
      <c r="A35" s="2322" t="s">
        <v>2038</v>
      </c>
      <c r="B35" s="119">
        <v>200</v>
      </c>
      <c r="C35" s="1760" t="s">
        <v>2039</v>
      </c>
      <c r="D35" s="2320"/>
      <c r="E35" s="1424"/>
      <c r="F35" s="1424"/>
      <c r="G35" s="2274"/>
      <c r="H35" s="2274"/>
      <c r="I35" s="2274"/>
      <c r="J35" s="2274"/>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4" t="s">
        <v>2040</v>
      </c>
      <c r="B36" s="123">
        <v>1.4999999999999999E-2</v>
      </c>
      <c r="C36" s="1760" t="s">
        <v>2041</v>
      </c>
      <c r="D36" s="2275"/>
      <c r="E36" s="2274"/>
      <c r="F36" s="2274"/>
      <c r="G36" s="2274"/>
      <c r="H36" s="2274"/>
      <c r="I36" s="2274"/>
      <c r="J36" s="2274"/>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5" t="s">
        <v>2042</v>
      </c>
      <c r="B37" s="3027">
        <v>0.03</v>
      </c>
      <c r="C37" s="1760" t="s">
        <v>2043</v>
      </c>
      <c r="D37" s="2275"/>
      <c r="E37" s="2274"/>
      <c r="F37" s="2274"/>
      <c r="G37" s="2274"/>
      <c r="H37" s="2274"/>
      <c r="I37" s="2274"/>
      <c r="J37" s="2274"/>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22" t="s">
        <v>2044</v>
      </c>
      <c r="B38" s="3028">
        <v>0.03</v>
      </c>
      <c r="C38" s="1760" t="s">
        <v>2043</v>
      </c>
      <c r="D38" s="2275"/>
      <c r="E38" s="2274"/>
      <c r="F38" s="2274"/>
      <c r="G38" s="2274"/>
      <c r="H38" s="2274"/>
      <c r="I38" s="2274"/>
      <c r="J38" s="2274"/>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6" t="s">
        <v>2045</v>
      </c>
      <c r="B39" s="361">
        <f ca="1">存贷款利率!I1</f>
        <v>1.4999999999999999E-2</v>
      </c>
      <c r="C39" s="1760"/>
      <c r="D39" s="2275"/>
      <c r="E39" s="2274"/>
      <c r="F39" s="2274"/>
      <c r="G39" s="2274"/>
      <c r="H39" s="2274"/>
      <c r="I39" s="2274"/>
      <c r="J39" s="2274"/>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2046</v>
      </c>
      <c r="B40" s="1297">
        <f ca="1">存贷款利率!G1</f>
        <v>4.7500000000000001E-2</v>
      </c>
      <c r="C40" s="1760" t="s">
        <v>2047</v>
      </c>
      <c r="D40" s="1578"/>
      <c r="E40" s="2275"/>
      <c r="F40" s="2274"/>
      <c r="G40" s="2274"/>
      <c r="H40" s="2274"/>
      <c r="I40" s="2274"/>
      <c r="J40" s="2274"/>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9" t="s">
        <v>2048</v>
      </c>
      <c r="B41" s="124">
        <f>B42+B43</f>
        <v>5.6000000000000001E-2</v>
      </c>
      <c r="C41" s="1761"/>
      <c r="D41" s="1578"/>
      <c r="E41" s="2275"/>
      <c r="F41" s="2274"/>
      <c r="G41" s="2274"/>
      <c r="H41" s="2274"/>
      <c r="I41" s="2274"/>
      <c r="J41" s="2274"/>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7" t="s">
        <v>2049</v>
      </c>
      <c r="B42" s="125">
        <v>0.05</v>
      </c>
      <c r="C42" s="2328">
        <f>IF(B2&lt;DATE(2016,5,1),0,B42)</f>
        <v>0.05</v>
      </c>
      <c r="D42" s="2275"/>
      <c r="E42" s="2274"/>
      <c r="F42" s="2274"/>
      <c r="G42" s="2274"/>
      <c r="H42" s="2274"/>
      <c r="I42" s="2274"/>
      <c r="J42" s="2274"/>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7" t="s">
        <v>2050</v>
      </c>
      <c r="B43" s="126">
        <f>B42*(B44+B45+B46)+B47</f>
        <v>6.000000000000001E-3</v>
      </c>
      <c r="C43" s="1761"/>
      <c r="D43" s="2275"/>
      <c r="E43" s="2274"/>
      <c r="F43" s="2274"/>
      <c r="G43" s="2274"/>
      <c r="H43" s="2274"/>
      <c r="I43" s="2274"/>
      <c r="J43" s="2274"/>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9" t="s">
        <v>2051</v>
      </c>
      <c r="B44" s="127">
        <v>7.0000000000000007E-2</v>
      </c>
      <c r="C44" s="1760" t="s">
        <v>2052</v>
      </c>
      <c r="D44" s="2275"/>
      <c r="E44" s="2274"/>
      <c r="F44" s="2274"/>
      <c r="G44" s="2274"/>
      <c r="H44" s="2274"/>
      <c r="I44" s="2274"/>
      <c r="J44" s="2274"/>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9" t="s">
        <v>2053</v>
      </c>
      <c r="B45" s="125">
        <v>0.03</v>
      </c>
      <c r="C45" s="1761" t="s">
        <v>2054</v>
      </c>
      <c r="D45" s="2275"/>
      <c r="E45" s="2274"/>
      <c r="F45" s="2274"/>
      <c r="G45" s="2274"/>
      <c r="H45" s="2274"/>
      <c r="I45" s="2274"/>
      <c r="J45" s="2274"/>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9" t="s">
        <v>2055</v>
      </c>
      <c r="B46" s="125">
        <v>0.02</v>
      </c>
      <c r="C46" s="1761" t="s">
        <v>2056</v>
      </c>
      <c r="D46" s="2275"/>
      <c r="E46" s="2274"/>
      <c r="F46" s="2274"/>
      <c r="G46" s="2274"/>
      <c r="H46" s="2274"/>
      <c r="I46" s="2274"/>
      <c r="J46" s="2274"/>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2057</v>
      </c>
      <c r="B47" s="128"/>
      <c r="C47" s="1761" t="s">
        <v>2058</v>
      </c>
      <c r="D47" s="2275"/>
      <c r="E47" s="2274"/>
      <c r="F47" s="2274"/>
      <c r="G47" s="2274"/>
      <c r="H47" s="2274"/>
      <c r="I47" s="2274"/>
      <c r="J47" s="2274"/>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31" t="s">
        <v>2059</v>
      </c>
      <c r="B48" s="129">
        <v>0.03</v>
      </c>
      <c r="C48" s="1768" t="s">
        <v>2060</v>
      </c>
      <c r="D48" s="2275"/>
      <c r="E48" s="2274"/>
      <c r="F48" s="2274"/>
      <c r="G48" s="2274"/>
      <c r="H48" s="2274"/>
      <c r="I48" s="2274"/>
      <c r="J48" s="2274"/>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2061</v>
      </c>
      <c r="B49" s="125">
        <v>5.0000000000000001E-4</v>
      </c>
      <c r="C49" s="1768" t="s">
        <v>2062</v>
      </c>
      <c r="D49" s="2275"/>
      <c r="E49" s="2274"/>
      <c r="F49" s="2274"/>
      <c r="G49" s="2274"/>
      <c r="H49" s="2274"/>
      <c r="I49" s="2274"/>
      <c r="J49" s="2274"/>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32" t="s">
        <v>2063</v>
      </c>
      <c r="B50" s="130">
        <v>1.2E-2</v>
      </c>
      <c r="C50" s="1424"/>
      <c r="D50" s="2275"/>
      <c r="E50" s="2274"/>
      <c r="F50" s="2274"/>
      <c r="G50" s="2274"/>
      <c r="H50" s="2274"/>
      <c r="I50" s="2274"/>
      <c r="J50" s="2274"/>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2064</v>
      </c>
      <c r="B51" s="131">
        <v>0.12</v>
      </c>
      <c r="C51" s="1424"/>
      <c r="D51" s="2275"/>
      <c r="E51" s="2274"/>
      <c r="F51" s="2274"/>
      <c r="G51" s="2274"/>
      <c r="H51" s="2274"/>
      <c r="I51" s="2274"/>
      <c r="J51" s="2274"/>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32" t="s">
        <v>2065</v>
      </c>
      <c r="B52" s="132">
        <f>SUMIF(A54:A63,B53,B54:B63)</f>
        <v>15</v>
      </c>
      <c r="C52" s="1424"/>
      <c r="D52" s="2275"/>
      <c r="E52" s="2274"/>
      <c r="F52" s="2274"/>
      <c r="G52" s="2274"/>
      <c r="H52" s="2274"/>
      <c r="I52" s="2274"/>
      <c r="J52" s="2274"/>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22" t="s">
        <v>2066</v>
      </c>
      <c r="B53" s="2333" t="s">
        <v>212</v>
      </c>
      <c r="C53" s="1424" t="s">
        <v>2067</v>
      </c>
      <c r="D53" s="2334" t="s">
        <v>2068</v>
      </c>
      <c r="E53" s="2274"/>
      <c r="F53" s="2274"/>
      <c r="G53" s="2274"/>
      <c r="H53" s="2274"/>
      <c r="I53" s="2274"/>
      <c r="J53" s="2274"/>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5" t="s">
        <v>2069</v>
      </c>
      <c r="B54" s="2992">
        <v>15</v>
      </c>
      <c r="C54" s="1424">
        <v>30</v>
      </c>
      <c r="D54" s="2275"/>
      <c r="E54" s="2274"/>
      <c r="F54" s="2274"/>
      <c r="G54" s="2274"/>
      <c r="H54" s="2274"/>
      <c r="I54" s="2274"/>
      <c r="J54" s="2274"/>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5" t="s">
        <v>2070</v>
      </c>
      <c r="B55" s="2992">
        <v>10</v>
      </c>
      <c r="C55" s="1424">
        <v>24</v>
      </c>
      <c r="D55" s="2275"/>
      <c r="E55" s="2274"/>
      <c r="F55" s="2274"/>
      <c r="G55" s="2274"/>
      <c r="H55" s="2274"/>
      <c r="I55" s="2336"/>
      <c r="J55" s="2274"/>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5" t="s">
        <v>2071</v>
      </c>
      <c r="B56" s="2992">
        <v>6</v>
      </c>
      <c r="C56" s="1424">
        <v>18</v>
      </c>
      <c r="D56" s="2275"/>
      <c r="E56" s="2274"/>
      <c r="F56" s="2274"/>
      <c r="G56" s="2274"/>
      <c r="H56" s="2274"/>
      <c r="I56" s="2274"/>
      <c r="J56" s="2274"/>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5" t="s">
        <v>2072</v>
      </c>
      <c r="B57" s="2992">
        <v>3</v>
      </c>
      <c r="C57" s="1424">
        <v>12</v>
      </c>
      <c r="D57" s="2275"/>
      <c r="E57" s="2274"/>
      <c r="F57" s="2274"/>
      <c r="G57" s="2274"/>
      <c r="H57" s="2274"/>
      <c r="I57" s="2274"/>
      <c r="J57" s="2274"/>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5" t="s">
        <v>2073</v>
      </c>
      <c r="B58" s="2992">
        <v>1.5</v>
      </c>
      <c r="C58" s="1424">
        <v>3</v>
      </c>
      <c r="D58" s="2275"/>
      <c r="E58" s="2274"/>
      <c r="F58" s="2274"/>
      <c r="G58" s="2274"/>
      <c r="H58" s="2274"/>
      <c r="I58" s="2274"/>
      <c r="J58" s="2274"/>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5" t="s">
        <v>2074</v>
      </c>
      <c r="B59" s="84"/>
      <c r="C59" s="1424">
        <v>1.5</v>
      </c>
      <c r="D59" s="2275"/>
      <c r="E59" s="2274"/>
      <c r="F59" s="2274"/>
      <c r="G59" s="2274"/>
      <c r="H59" s="2274"/>
      <c r="I59" s="2274"/>
      <c r="J59" s="2274"/>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5" t="s">
        <v>2075</v>
      </c>
      <c r="B60" s="84"/>
      <c r="C60" s="2274"/>
      <c r="D60" s="2275"/>
      <c r="E60" s="2274"/>
      <c r="F60" s="2274"/>
      <c r="G60" s="2274"/>
      <c r="H60" s="2274"/>
      <c r="I60" s="2274"/>
      <c r="J60" s="2274"/>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5" t="s">
        <v>2076</v>
      </c>
      <c r="B61" s="84"/>
      <c r="C61" s="2274"/>
      <c r="D61" s="2275"/>
      <c r="E61" s="2274"/>
      <c r="F61" s="2274"/>
      <c r="G61" s="2274"/>
      <c r="H61" s="2274"/>
      <c r="I61" s="2274"/>
      <c r="J61" s="2274"/>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5" t="s">
        <v>2077</v>
      </c>
      <c r="B62" s="84"/>
      <c r="C62" s="2274"/>
      <c r="D62" s="2275"/>
      <c r="E62" s="2274"/>
      <c r="F62" s="2274"/>
      <c r="G62" s="2274"/>
      <c r="H62" s="2274"/>
      <c r="I62" s="2274"/>
      <c r="J62" s="2274"/>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2078</v>
      </c>
      <c r="B63" s="133"/>
      <c r="C63" s="2274"/>
      <c r="D63" s="2275"/>
      <c r="E63" s="2274"/>
      <c r="F63" s="2274"/>
      <c r="G63" s="2274"/>
      <c r="H63" s="2274"/>
      <c r="I63" s="2274"/>
      <c r="J63" s="2274"/>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8"/>
      <c r="D64" s="2339"/>
      <c r="K64" s="795"/>
      <c r="L64" s="795"/>
    </row>
    <row r="65" spans="1:12" s="961" customFormat="1">
      <c r="A65" s="2338"/>
      <c r="D65" s="2339"/>
      <c r="K65" s="795"/>
      <c r="L65" s="795"/>
    </row>
    <row r="66" spans="1:12" s="961" customFormat="1">
      <c r="A66" s="2338"/>
      <c r="D66" s="2339"/>
      <c r="K66" s="795"/>
      <c r="L66" s="795"/>
    </row>
    <row r="67" spans="1:12" s="961" customFormat="1">
      <c r="A67" s="2338"/>
      <c r="D67" s="2339"/>
      <c r="K67" s="795"/>
      <c r="L67" s="795"/>
    </row>
    <row r="68" spans="1:12" s="961" customFormat="1">
      <c r="A68" s="2338"/>
      <c r="D68" s="2339"/>
      <c r="K68" s="795"/>
      <c r="L68" s="795"/>
    </row>
    <row r="69" spans="1:12" s="961" customFormat="1">
      <c r="A69" s="2338"/>
      <c r="D69" s="2339"/>
      <c r="K69" s="795"/>
      <c r="L69" s="795"/>
    </row>
    <row r="70" spans="1:12" s="961" customFormat="1">
      <c r="A70" s="2338"/>
      <c r="D70" s="2339"/>
      <c r="K70" s="795"/>
      <c r="L70" s="795"/>
    </row>
    <row r="71" spans="1:12" s="961" customFormat="1">
      <c r="A71" s="2338"/>
      <c r="D71" s="2339"/>
      <c r="K71" s="795"/>
      <c r="L71" s="795"/>
    </row>
    <row r="72" spans="1:12" s="961" customFormat="1">
      <c r="A72" s="2338"/>
      <c r="D72" s="2339"/>
      <c r="K72" s="795"/>
      <c r="L72" s="795"/>
    </row>
    <row r="73" spans="1:12" s="961" customFormat="1">
      <c r="A73" s="2338"/>
      <c r="D73" s="2339"/>
      <c r="K73" s="795"/>
      <c r="L73" s="795"/>
    </row>
    <row r="74" spans="1:12" s="961" customFormat="1">
      <c r="A74" s="2338"/>
      <c r="D74" s="2339"/>
      <c r="K74" s="795"/>
      <c r="L74" s="795"/>
    </row>
    <row r="75" spans="1:12" s="961" customFormat="1">
      <c r="A75" s="2338"/>
      <c r="D75" s="2339"/>
      <c r="K75" s="795"/>
      <c r="L75" s="795"/>
    </row>
    <row r="76" spans="1:12" s="961" customFormat="1">
      <c r="A76" s="2338"/>
      <c r="D76" s="2339"/>
      <c r="K76" s="795"/>
      <c r="L76" s="795"/>
    </row>
    <row r="77" spans="1:12" s="961" customFormat="1">
      <c r="A77" s="2338"/>
      <c r="D77" s="2339"/>
      <c r="K77" s="795"/>
      <c r="L77" s="795"/>
    </row>
    <row r="78" spans="1:12" s="961" customFormat="1">
      <c r="A78" s="2338"/>
      <c r="D78" s="2339"/>
      <c r="K78" s="795"/>
      <c r="L78" s="795"/>
    </row>
    <row r="79" spans="1:12" s="961" customFormat="1">
      <c r="A79" s="2338"/>
      <c r="D79" s="2339"/>
      <c r="K79" s="795"/>
      <c r="L79" s="795"/>
    </row>
    <row r="80" spans="1:12" s="961" customFormat="1">
      <c r="A80" s="2338"/>
      <c r="D80" s="2339"/>
      <c r="K80" s="795"/>
      <c r="L80" s="795"/>
    </row>
    <row r="81" spans="1:12" s="961" customFormat="1">
      <c r="A81" s="2338"/>
      <c r="D81" s="2339"/>
      <c r="K81" s="795"/>
      <c r="L81" s="795"/>
    </row>
    <row r="82" spans="1:12" s="961" customFormat="1">
      <c r="A82" s="2338"/>
      <c r="D82" s="2339"/>
      <c r="K82" s="795"/>
      <c r="L82" s="795"/>
    </row>
    <row r="83" spans="1:12" s="961" customFormat="1">
      <c r="A83" s="2338"/>
      <c r="D83" s="2339"/>
      <c r="K83" s="795"/>
      <c r="L83" s="795"/>
    </row>
    <row r="84" spans="1:12" s="961" customFormat="1">
      <c r="A84" s="2338"/>
      <c r="D84" s="2339"/>
      <c r="K84" s="795"/>
      <c r="L84" s="795"/>
    </row>
    <row r="85" spans="1:12" s="961" customFormat="1">
      <c r="A85" s="2338"/>
      <c r="D85" s="2339"/>
      <c r="K85" s="795"/>
      <c r="L85" s="795"/>
    </row>
    <row r="86" spans="1:12" s="961" customFormat="1">
      <c r="A86" s="2338"/>
      <c r="D86" s="2339"/>
      <c r="K86" s="795"/>
      <c r="L86" s="795"/>
    </row>
    <row r="87" spans="1:12" s="961" customFormat="1">
      <c r="A87" s="2338"/>
      <c r="D87" s="2339"/>
      <c r="K87" s="795"/>
      <c r="L87" s="795"/>
    </row>
    <row r="88" spans="1:12" s="961" customFormat="1">
      <c r="A88" s="2338"/>
      <c r="D88" s="2339"/>
      <c r="K88" s="795"/>
      <c r="L88" s="795"/>
    </row>
    <row r="89" spans="1:12" s="961" customFormat="1">
      <c r="A89" s="2338"/>
      <c r="D89" s="2339"/>
      <c r="K89" s="795"/>
      <c r="L89" s="795"/>
    </row>
    <row r="90" spans="1:12" s="961" customFormat="1">
      <c r="A90" s="2338"/>
      <c r="D90" s="2339"/>
      <c r="K90" s="795"/>
      <c r="L90" s="795"/>
    </row>
    <row r="91" spans="1:12" s="961" customFormat="1">
      <c r="A91" s="2338"/>
      <c r="D91" s="2339"/>
      <c r="K91" s="795"/>
      <c r="L91" s="795"/>
    </row>
    <row r="92" spans="1:12" s="961" customFormat="1">
      <c r="A92" s="2338"/>
      <c r="D92" s="2339"/>
      <c r="K92" s="795"/>
      <c r="L92" s="795"/>
    </row>
    <row r="93" spans="1:12" s="961" customFormat="1">
      <c r="A93" s="2338"/>
      <c r="D93" s="2339"/>
      <c r="K93" s="795"/>
      <c r="L93" s="795"/>
    </row>
    <row r="94" spans="1:12" s="961" customFormat="1">
      <c r="A94" s="2338"/>
      <c r="D94" s="2339"/>
      <c r="K94" s="795"/>
      <c r="L94" s="795"/>
    </row>
    <row r="95" spans="1:12" s="961" customFormat="1">
      <c r="A95" s="2338"/>
      <c r="D95" s="2339"/>
      <c r="K95" s="795"/>
      <c r="L95" s="795"/>
    </row>
    <row r="96" spans="1:12" s="961" customFormat="1">
      <c r="A96" s="2338"/>
      <c r="D96" s="2339"/>
      <c r="K96" s="795"/>
      <c r="L96" s="795"/>
    </row>
    <row r="97" spans="1:12" s="961" customFormat="1">
      <c r="A97" s="2338"/>
      <c r="D97" s="2339"/>
      <c r="K97" s="795"/>
      <c r="L97" s="795"/>
    </row>
    <row r="98" spans="1:12" s="961" customFormat="1">
      <c r="A98" s="2338"/>
      <c r="D98" s="2339"/>
      <c r="K98" s="795"/>
      <c r="L98" s="795"/>
    </row>
    <row r="99" spans="1:12" s="961" customFormat="1">
      <c r="A99" s="2338"/>
      <c r="D99" s="2339"/>
      <c r="K99" s="795"/>
      <c r="L99" s="795"/>
    </row>
    <row r="100" spans="1:12" s="961" customFormat="1">
      <c r="A100" s="2338"/>
      <c r="D100" s="2339"/>
      <c r="K100" s="795"/>
      <c r="L100" s="795"/>
    </row>
    <row r="101" spans="1:12" s="961" customFormat="1">
      <c r="A101" s="2338"/>
      <c r="D101" s="2339"/>
      <c r="K101" s="795"/>
      <c r="L101" s="795"/>
    </row>
    <row r="102" spans="1:12" s="961" customFormat="1">
      <c r="A102" s="2338"/>
      <c r="D102" s="2339"/>
      <c r="K102" s="795"/>
      <c r="L102" s="795"/>
    </row>
    <row r="103" spans="1:12" s="961" customFormat="1">
      <c r="A103" s="2338"/>
      <c r="D103" s="2339"/>
      <c r="K103" s="795"/>
      <c r="L103" s="795"/>
    </row>
    <row r="104" spans="1:12" s="961" customFormat="1">
      <c r="A104" s="2338"/>
      <c r="D104" s="2339"/>
      <c r="K104" s="795"/>
      <c r="L104" s="795"/>
    </row>
    <row r="105" spans="1:12" s="961" customFormat="1">
      <c r="A105" s="2338"/>
      <c r="D105" s="2339"/>
      <c r="K105" s="795"/>
      <c r="L105" s="795"/>
    </row>
    <row r="106" spans="1:12" s="961" customFormat="1">
      <c r="A106" s="2338"/>
      <c r="D106" s="2339"/>
      <c r="K106" s="795"/>
      <c r="L106" s="795"/>
    </row>
    <row r="107" spans="1:12" s="961" customFormat="1">
      <c r="A107" s="2338"/>
      <c r="D107" s="2339"/>
      <c r="K107" s="795"/>
      <c r="L107" s="795"/>
    </row>
    <row r="108" spans="1:12" s="961" customFormat="1">
      <c r="A108" s="2338"/>
      <c r="D108" s="2339"/>
      <c r="K108" s="795"/>
      <c r="L108" s="795"/>
    </row>
    <row r="109" spans="1:12" s="961" customFormat="1">
      <c r="A109" s="2338"/>
      <c r="D109" s="2339"/>
      <c r="K109" s="795"/>
      <c r="L109" s="795"/>
    </row>
    <row r="110" spans="1:12" s="961" customFormat="1">
      <c r="A110" s="2338"/>
      <c r="D110" s="2339"/>
      <c r="K110" s="795"/>
      <c r="L110" s="795"/>
    </row>
    <row r="111" spans="1:12" s="961" customFormat="1">
      <c r="A111" s="2338"/>
      <c r="D111" s="2339"/>
      <c r="K111" s="795"/>
      <c r="L111" s="795"/>
    </row>
    <row r="112" spans="1:12" s="961" customFormat="1">
      <c r="A112" s="2338"/>
      <c r="D112" s="2339"/>
      <c r="K112" s="795"/>
      <c r="L112" s="795"/>
    </row>
    <row r="113" spans="1:12" s="961" customFormat="1">
      <c r="A113" s="2338"/>
      <c r="D113" s="2339"/>
      <c r="K113" s="795"/>
      <c r="L113" s="795"/>
    </row>
    <row r="114" spans="1:12" s="961" customFormat="1">
      <c r="A114" s="2338"/>
      <c r="D114" s="2339"/>
      <c r="K114" s="795"/>
      <c r="L114" s="795"/>
    </row>
    <row r="115" spans="1:12" s="961" customFormat="1">
      <c r="A115" s="2338"/>
      <c r="D115" s="2339"/>
      <c r="K115" s="795"/>
      <c r="L115" s="795"/>
    </row>
    <row r="116" spans="1:12" s="961" customFormat="1">
      <c r="A116" s="2338"/>
      <c r="D116" s="2339"/>
      <c r="K116" s="795"/>
      <c r="L116" s="795"/>
    </row>
    <row r="117" spans="1:12" s="961" customFormat="1">
      <c r="A117" s="2338"/>
      <c r="D117" s="2339"/>
      <c r="K117" s="795"/>
      <c r="L117" s="795"/>
    </row>
    <row r="118" spans="1:12" s="961" customFormat="1">
      <c r="A118" s="2338"/>
      <c r="D118" s="2339"/>
      <c r="K118" s="795"/>
      <c r="L118" s="795"/>
    </row>
    <row r="119" spans="1:12" s="961" customFormat="1">
      <c r="A119" s="2338"/>
      <c r="D119" s="2339"/>
      <c r="K119" s="795"/>
      <c r="L119" s="795"/>
    </row>
    <row r="120" spans="1:12" s="961" customFormat="1">
      <c r="A120" s="2338"/>
      <c r="D120" s="2339"/>
      <c r="K120" s="795"/>
      <c r="L120" s="795"/>
    </row>
    <row r="121" spans="1:12" s="961" customFormat="1">
      <c r="A121" s="2338"/>
      <c r="D121" s="2339"/>
      <c r="K121" s="795"/>
      <c r="L121" s="795"/>
    </row>
    <row r="122" spans="1:12" s="961" customFormat="1">
      <c r="A122" s="2338"/>
      <c r="D122" s="2339"/>
      <c r="K122" s="795"/>
      <c r="L122" s="795"/>
    </row>
    <row r="123" spans="1:12" s="961" customFormat="1">
      <c r="A123" s="2338"/>
      <c r="D123" s="2339"/>
      <c r="K123" s="795"/>
      <c r="L123" s="795"/>
    </row>
    <row r="124" spans="1:12" s="961" customFormat="1">
      <c r="A124" s="2338"/>
      <c r="D124" s="2339"/>
      <c r="K124" s="795"/>
      <c r="L124" s="795"/>
    </row>
    <row r="125" spans="1:12" s="961" customFormat="1">
      <c r="A125" s="2338"/>
      <c r="D125" s="2339"/>
      <c r="K125" s="795"/>
      <c r="L125" s="795"/>
    </row>
    <row r="126" spans="1:12" s="961" customFormat="1">
      <c r="A126" s="2338"/>
      <c r="D126" s="2339"/>
      <c r="K126" s="795"/>
      <c r="L126" s="795"/>
    </row>
    <row r="127" spans="1:12" s="961" customFormat="1">
      <c r="A127" s="2338"/>
      <c r="D127" s="2339"/>
      <c r="K127" s="795"/>
      <c r="L127" s="795"/>
    </row>
    <row r="128" spans="1:12" s="961" customFormat="1">
      <c r="A128" s="2338"/>
      <c r="D128" s="2339"/>
      <c r="K128" s="795"/>
      <c r="L128" s="795"/>
    </row>
    <row r="129" spans="1:12" s="961" customFormat="1">
      <c r="A129" s="2338"/>
      <c r="D129" s="2339"/>
      <c r="K129" s="795"/>
      <c r="L129" s="795"/>
    </row>
    <row r="130" spans="1:12" s="961" customFormat="1">
      <c r="A130" s="2338"/>
      <c r="D130" s="2339"/>
      <c r="K130" s="795"/>
      <c r="L130" s="795"/>
    </row>
    <row r="131" spans="1:12" s="961" customFormat="1">
      <c r="A131" s="2338"/>
      <c r="D131" s="2339"/>
      <c r="K131" s="795"/>
      <c r="L131" s="795"/>
    </row>
    <row r="132" spans="1:12" s="961" customFormat="1">
      <c r="A132" s="2338"/>
      <c r="D132" s="2339"/>
      <c r="K132" s="795"/>
      <c r="L132" s="795"/>
    </row>
    <row r="133" spans="1:12" s="961"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12"/>
  <sheetViews>
    <sheetView workbookViewId="0">
      <selection activeCell="B10" sqref="B10"/>
    </sheetView>
  </sheetViews>
  <sheetFormatPr defaultRowHeight="14.4"/>
  <cols>
    <col min="1" max="1" width="15" customWidth="1"/>
    <col min="2" max="2" width="14.77734375" customWidth="1"/>
    <col min="3" max="3" width="14" customWidth="1"/>
    <col min="4" max="4" width="14.44140625" customWidth="1"/>
  </cols>
  <sheetData>
    <row r="1" spans="1:8">
      <c r="A1" t="s">
        <v>3090</v>
      </c>
      <c r="B1" t="s">
        <v>3091</v>
      </c>
      <c r="C1" t="s">
        <v>3092</v>
      </c>
      <c r="D1" t="s">
        <v>3093</v>
      </c>
      <c r="F1" s="2984" t="s">
        <v>3094</v>
      </c>
      <c r="H1" s="2984" t="s">
        <v>3164</v>
      </c>
    </row>
    <row r="2" spans="1:8">
      <c r="A2">
        <v>1005</v>
      </c>
      <c r="B2">
        <v>18000</v>
      </c>
      <c r="C2" s="2982">
        <v>43751</v>
      </c>
      <c r="D2" s="2982">
        <v>44116</v>
      </c>
      <c r="F2">
        <f>抵押物清单!D48</f>
        <v>63.71</v>
      </c>
      <c r="H2">
        <f>B2/F2/30</f>
        <v>9.4176738345628621</v>
      </c>
    </row>
    <row r="3" spans="1:8">
      <c r="A3">
        <v>1106</v>
      </c>
      <c r="B3">
        <v>19500</v>
      </c>
      <c r="C3" s="2982">
        <v>43756</v>
      </c>
      <c r="D3" s="2982">
        <v>44121</v>
      </c>
      <c r="F3">
        <f>抵押物清单!D56</f>
        <v>64.39</v>
      </c>
      <c r="H3">
        <f t="shared" ref="H3:H12" si="0">B3/F3/30</f>
        <v>10.094735207330331</v>
      </c>
    </row>
    <row r="4" spans="1:8">
      <c r="A4">
        <v>1107</v>
      </c>
      <c r="B4">
        <v>26000</v>
      </c>
      <c r="C4" s="2987">
        <v>43764</v>
      </c>
      <c r="D4" s="2987">
        <v>43946</v>
      </c>
      <c r="F4">
        <f>抵押物清单!D57</f>
        <v>102.3</v>
      </c>
      <c r="H4">
        <f t="shared" si="0"/>
        <v>8.4718149234278268</v>
      </c>
    </row>
    <row r="5" spans="1:8">
      <c r="A5">
        <v>1501</v>
      </c>
      <c r="B5">
        <v>17500</v>
      </c>
      <c r="C5" s="2982">
        <v>43746</v>
      </c>
      <c r="D5" s="2982">
        <v>43897</v>
      </c>
      <c r="F5">
        <f>抵押物清单!D73</f>
        <v>55.46</v>
      </c>
      <c r="H5">
        <f t="shared" si="0"/>
        <v>10.518091116720759</v>
      </c>
    </row>
    <row r="6" spans="1:8">
      <c r="A6">
        <v>1502</v>
      </c>
      <c r="B6">
        <v>16500</v>
      </c>
      <c r="C6" s="2982">
        <v>43753</v>
      </c>
      <c r="D6" s="2982">
        <v>43935</v>
      </c>
      <c r="F6">
        <f>抵押物清单!D74</f>
        <v>53.04</v>
      </c>
      <c r="H6">
        <f t="shared" si="0"/>
        <v>10.369532428355958</v>
      </c>
    </row>
    <row r="7" spans="1:8">
      <c r="A7">
        <v>1602</v>
      </c>
      <c r="B7">
        <v>16200.000000000002</v>
      </c>
      <c r="C7" s="2982">
        <v>43748</v>
      </c>
      <c r="D7" s="2982">
        <v>44113</v>
      </c>
      <c r="F7">
        <f>抵押物清单!D81</f>
        <v>53.04</v>
      </c>
      <c r="H7">
        <f t="shared" si="0"/>
        <v>10.180995475113123</v>
      </c>
    </row>
    <row r="8" spans="1:8">
      <c r="A8">
        <v>1702</v>
      </c>
      <c r="B8">
        <v>16200.000000000002</v>
      </c>
      <c r="C8" s="2982">
        <v>43753</v>
      </c>
      <c r="D8" s="2982">
        <v>44118</v>
      </c>
      <c r="F8">
        <f>抵押物清单!D88</f>
        <v>53.04</v>
      </c>
      <c r="H8">
        <f t="shared" si="0"/>
        <v>10.180995475113123</v>
      </c>
    </row>
    <row r="9" spans="1:8">
      <c r="A9">
        <v>2601</v>
      </c>
      <c r="B9">
        <v>17500</v>
      </c>
      <c r="C9" s="2982">
        <v>43750</v>
      </c>
      <c r="D9" s="2982">
        <v>44115</v>
      </c>
      <c r="F9">
        <f>抵押物清单!D143</f>
        <v>55.46</v>
      </c>
      <c r="H9">
        <f t="shared" si="0"/>
        <v>10.518091116720759</v>
      </c>
    </row>
    <row r="10" spans="1:8">
      <c r="A10">
        <v>2605</v>
      </c>
      <c r="B10">
        <v>21500</v>
      </c>
      <c r="C10" s="2982">
        <v>43756</v>
      </c>
      <c r="D10" s="2982">
        <v>43847</v>
      </c>
      <c r="F10">
        <f>抵押物清单!D146</f>
        <v>63.71</v>
      </c>
      <c r="H10">
        <f t="shared" si="0"/>
        <v>11.248888191283418</v>
      </c>
    </row>
    <row r="11" spans="1:8">
      <c r="A11">
        <v>2803</v>
      </c>
      <c r="B11">
        <v>20500</v>
      </c>
      <c r="C11" s="2982">
        <v>43756</v>
      </c>
      <c r="D11" s="2982">
        <v>43999</v>
      </c>
      <c r="F11">
        <f>抵押物清单!D159</f>
        <v>60.88</v>
      </c>
      <c r="H11">
        <f t="shared" si="0"/>
        <v>11.224266316250548</v>
      </c>
    </row>
    <row r="12" spans="1:8">
      <c r="A12">
        <v>3503</v>
      </c>
      <c r="B12">
        <v>19500</v>
      </c>
      <c r="C12" s="2982">
        <v>43744</v>
      </c>
      <c r="D12" s="2982">
        <v>44109</v>
      </c>
      <c r="F12">
        <f>抵押物清单!D201</f>
        <v>60.88</v>
      </c>
      <c r="H12">
        <f t="shared" si="0"/>
        <v>10.676741130091983</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125" t="s">
        <v>2079</v>
      </c>
      <c r="B1" s="3126"/>
      <c r="C1" s="3126"/>
      <c r="D1" s="3126"/>
      <c r="E1" s="3126"/>
      <c r="F1" s="3126"/>
      <c r="G1" s="312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2080</v>
      </c>
      <c r="D2" s="2362"/>
      <c r="E2" s="2363"/>
      <c r="F2" s="2283"/>
      <c r="G2" s="2361" t="s">
        <v>2081</v>
      </c>
      <c r="H2" s="2364"/>
      <c r="I2" s="2364"/>
      <c r="J2" s="2364"/>
      <c r="K2" s="2364"/>
      <c r="L2" s="2364"/>
      <c r="M2" s="2364"/>
      <c r="N2" s="2364"/>
      <c r="O2" s="2364"/>
      <c r="P2" s="2364"/>
      <c r="Q2" s="2364"/>
      <c r="R2" s="2364"/>
    </row>
    <row r="3" spans="1:29" ht="57.6">
      <c r="A3" s="414" t="s">
        <v>2082</v>
      </c>
      <c r="B3" s="1265" t="s">
        <v>2083</v>
      </c>
      <c r="C3" s="2366" t="s">
        <v>2084</v>
      </c>
      <c r="D3" s="2367"/>
      <c r="E3" s="430" t="s">
        <v>2082</v>
      </c>
      <c r="F3" s="2368" t="s">
        <v>2085</v>
      </c>
      <c r="G3" s="2369" t="s">
        <v>2086</v>
      </c>
      <c r="H3" s="2364"/>
      <c r="I3" s="2364"/>
      <c r="J3" s="2364"/>
      <c r="K3" s="2364"/>
      <c r="L3" s="2364"/>
      <c r="M3" s="2364"/>
      <c r="N3" s="2364"/>
      <c r="O3" s="2364"/>
      <c r="P3" s="2364"/>
      <c r="Q3" s="2364"/>
      <c r="R3" s="2364"/>
    </row>
    <row r="4" spans="1:29" ht="43.2">
      <c r="A4" s="430"/>
      <c r="B4" s="1792" t="s">
        <v>2087</v>
      </c>
      <c r="C4" s="2370" t="s">
        <v>2088</v>
      </c>
      <c r="D4" s="2367"/>
      <c r="E4" s="2371"/>
      <c r="F4" s="42" t="s">
        <v>2089</v>
      </c>
      <c r="G4" s="2372" t="s">
        <v>2090</v>
      </c>
      <c r="H4" s="2364"/>
      <c r="I4" s="2364"/>
      <c r="J4" s="2364"/>
      <c r="K4" s="2364"/>
      <c r="L4" s="2364"/>
      <c r="M4" s="2364"/>
      <c r="N4" s="2364"/>
      <c r="O4" s="2364"/>
      <c r="P4" s="2364"/>
      <c r="Q4" s="2364"/>
      <c r="R4" s="2364"/>
    </row>
    <row r="5" spans="1:29" ht="43.2">
      <c r="A5" s="430"/>
      <c r="B5" s="1792" t="s">
        <v>2091</v>
      </c>
      <c r="C5" s="2370" t="s">
        <v>2092</v>
      </c>
      <c r="D5" s="2367"/>
      <c r="E5" s="2371"/>
      <c r="F5" s="1792" t="s">
        <v>2093</v>
      </c>
      <c r="G5" s="2372" t="s">
        <v>2094</v>
      </c>
      <c r="H5" s="2364"/>
      <c r="I5" s="2364"/>
      <c r="J5" s="2364"/>
      <c r="K5" s="2364"/>
      <c r="L5" s="2364"/>
      <c r="M5" s="2364"/>
      <c r="N5" s="2364"/>
      <c r="O5" s="2364"/>
      <c r="P5" s="2364"/>
      <c r="Q5" s="2364"/>
      <c r="R5" s="2364"/>
    </row>
    <row r="6" spans="1:29" ht="57.6">
      <c r="A6" s="430"/>
      <c r="B6" s="1792" t="s">
        <v>2095</v>
      </c>
      <c r="C6" s="2372" t="s">
        <v>2090</v>
      </c>
      <c r="D6" s="2367"/>
      <c r="E6" s="2371"/>
      <c r="F6" s="1792" t="s">
        <v>2096</v>
      </c>
      <c r="G6" s="2372" t="s">
        <v>2097</v>
      </c>
      <c r="H6" s="2364"/>
      <c r="I6" s="2364"/>
      <c r="J6" s="2364"/>
      <c r="K6" s="2364"/>
      <c r="L6" s="2364"/>
      <c r="M6" s="2364"/>
      <c r="N6" s="2364"/>
      <c r="O6" s="2364"/>
      <c r="P6" s="2364"/>
      <c r="Q6" s="2364"/>
      <c r="R6" s="2364"/>
    </row>
    <row r="7" spans="1:29" ht="43.8" thickBot="1">
      <c r="A7" s="430"/>
      <c r="B7" s="1792" t="s">
        <v>2093</v>
      </c>
      <c r="C7" s="2372" t="s">
        <v>2094</v>
      </c>
      <c r="D7" s="2373"/>
      <c r="E7" s="2374"/>
      <c r="F7" s="2375" t="s">
        <v>2098</v>
      </c>
      <c r="G7" s="2376" t="s">
        <v>2099</v>
      </c>
      <c r="H7" s="2364"/>
      <c r="I7" s="2364"/>
      <c r="J7" s="2364"/>
      <c r="K7" s="2364"/>
      <c r="L7" s="2364"/>
      <c r="M7" s="2364"/>
      <c r="N7" s="2364"/>
      <c r="O7" s="2364"/>
      <c r="P7" s="2364"/>
      <c r="Q7" s="2364"/>
      <c r="R7" s="2364"/>
    </row>
    <row r="8" spans="1:29" ht="28.8">
      <c r="A8" s="430"/>
      <c r="B8" s="1792" t="s">
        <v>2096</v>
      </c>
      <c r="C8" s="2372" t="s">
        <v>2097</v>
      </c>
      <c r="D8" s="2373"/>
      <c r="E8" s="2373"/>
      <c r="F8" s="1130"/>
      <c r="G8" s="1130"/>
      <c r="H8" s="2364"/>
      <c r="I8" s="2364"/>
      <c r="J8" s="2364"/>
      <c r="K8" s="2364"/>
      <c r="L8" s="2364"/>
      <c r="M8" s="2364"/>
      <c r="N8" s="2364"/>
      <c r="O8" s="2364"/>
      <c r="P8" s="2364"/>
      <c r="Q8" s="2364"/>
      <c r="R8" s="2364"/>
    </row>
    <row r="9" spans="1:29" ht="43.2">
      <c r="A9" s="430"/>
      <c r="B9" s="1792" t="s">
        <v>2100</v>
      </c>
      <c r="C9" s="2370" t="s">
        <v>2101</v>
      </c>
      <c r="D9" s="2367"/>
      <c r="E9" s="2373"/>
      <c r="F9" s="1130"/>
      <c r="G9" s="1130"/>
      <c r="H9" s="2364"/>
      <c r="I9" s="2364"/>
      <c r="J9" s="2364"/>
      <c r="K9" s="2364"/>
      <c r="L9" s="2364"/>
      <c r="M9" s="2364"/>
      <c r="N9" s="2364"/>
      <c r="O9" s="2364"/>
      <c r="P9" s="2364"/>
      <c r="Q9" s="2364"/>
      <c r="R9" s="2364"/>
    </row>
    <row r="10" spans="1:29" s="117" customFormat="1" ht="15" thickBot="1">
      <c r="A10" s="2377"/>
      <c r="B10" s="2378" t="s">
        <v>2102</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2103</v>
      </c>
      <c r="B13" s="2384"/>
      <c r="C13" s="2384"/>
      <c r="D13" s="2391"/>
      <c r="E13" s="2384"/>
      <c r="F13" s="2384"/>
      <c r="G13" s="2384"/>
    </row>
    <row r="14" spans="1:29" ht="15" thickBot="1">
      <c r="A14" s="2395"/>
      <c r="B14" s="2396"/>
      <c r="C14" s="2397" t="s">
        <v>2104</v>
      </c>
      <c r="D14" s="2367"/>
      <c r="E14" s="2398"/>
      <c r="F14" s="2398"/>
      <c r="G14" s="2361" t="s">
        <v>2105</v>
      </c>
    </row>
    <row r="15" spans="1:29" ht="55.2">
      <c r="A15" s="68" t="s">
        <v>2106</v>
      </c>
      <c r="B15" s="1264" t="s">
        <v>2083</v>
      </c>
      <c r="C15" s="2399" t="str">
        <f>C3</f>
        <v>估价对象周边居住用地比例、居住小区规模和社区发展完善程度，综合评价居住社区成熟度一般</v>
      </c>
      <c r="D15" s="2367"/>
      <c r="E15" s="2400" t="s">
        <v>2107</v>
      </c>
      <c r="F15" s="1264" t="s">
        <v>2108</v>
      </c>
      <c r="G15" s="134" t="str">
        <f>G3</f>
        <v>估价对象位于XX开发区，园区建设成熟度XX，产业集聚程度XX</v>
      </c>
    </row>
    <row r="16" spans="1:29" ht="41.4">
      <c r="A16" s="643"/>
      <c r="B16" s="2401" t="s">
        <v>2087</v>
      </c>
      <c r="C16" s="2402" t="str">
        <f>C4</f>
        <v>估价对象位于XX商圈，周边商业氛围成熟，人流量大，商业繁华度好</v>
      </c>
      <c r="D16" s="2367"/>
      <c r="E16" s="2403"/>
      <c r="F16" s="2404" t="s">
        <v>2089</v>
      </c>
      <c r="G16" s="135" t="str">
        <f>G4</f>
        <v>估价对象周边道路状况、公共交通通达情况、停车便捷程度，综合评价交通便捷度较好</v>
      </c>
    </row>
    <row r="17" spans="1:18" ht="41.4">
      <c r="A17" s="643"/>
      <c r="B17" s="2401" t="s">
        <v>2091</v>
      </c>
      <c r="C17" s="2402" t="str">
        <f>C5</f>
        <v>估价对象位于XX商圈，周边办公楼项目较多，入驻率高，办公集聚程度较好</v>
      </c>
      <c r="D17" s="2373"/>
      <c r="E17" s="2403"/>
      <c r="F17" s="2404" t="s">
        <v>2109</v>
      </c>
      <c r="G17" s="1566"/>
    </row>
    <row r="18" spans="1:18" ht="55.2">
      <c r="A18" s="643"/>
      <c r="B18" s="2404" t="s">
        <v>2095</v>
      </c>
      <c r="C18" s="135" t="str">
        <f>C6</f>
        <v>估价对象周边道路状况、公共交通通达情况、停车便捷程度，综合评价交通便捷度较好</v>
      </c>
      <c r="D18" s="2373"/>
      <c r="E18" s="2403"/>
      <c r="F18" s="2404" t="s">
        <v>2098</v>
      </c>
      <c r="G18" s="135" t="str">
        <f>G7</f>
        <v>该园区内是否有污染型企业，绿化情况，卫生条件，整体环境状况判断</v>
      </c>
    </row>
    <row r="19" spans="1:18" ht="27.6">
      <c r="A19" s="643"/>
      <c r="B19" s="2404" t="s">
        <v>2110</v>
      </c>
      <c r="C19" s="1566"/>
      <c r="D19" s="2367"/>
      <c r="E19" s="2403"/>
      <c r="F19" s="1792" t="s">
        <v>2093</v>
      </c>
      <c r="G19" s="135" t="str">
        <f>G5</f>
        <v>估价对象所在区域公共配套设施齐备情况</v>
      </c>
    </row>
    <row r="20" spans="1:18" ht="41.4">
      <c r="A20" s="643"/>
      <c r="B20" s="2404" t="s">
        <v>2111</v>
      </c>
      <c r="C20" s="2402" t="str">
        <f>C9</f>
        <v>区域自然环境：；人文环境；综合评价环境状况一般</v>
      </c>
      <c r="D20" s="2373"/>
      <c r="E20" s="2403"/>
      <c r="F20" s="1792" t="s">
        <v>2112</v>
      </c>
      <c r="G20" s="135" t="str">
        <f>G6</f>
        <v>估价对象所在区域基础设施水平</v>
      </c>
    </row>
    <row r="21" spans="1:18" ht="27.6">
      <c r="A21" s="643"/>
      <c r="B21" s="1792" t="s">
        <v>2093</v>
      </c>
      <c r="C21" s="135" t="str">
        <f>C7</f>
        <v>估价对象所在区域公共配套设施齐备情况</v>
      </c>
      <c r="D21" s="2367"/>
      <c r="E21" s="2403"/>
      <c r="F21" s="2404" t="s">
        <v>2113</v>
      </c>
      <c r="G21" s="2405"/>
    </row>
    <row r="22" spans="1:18" ht="13.5" customHeight="1">
      <c r="A22" s="643"/>
      <c r="B22" s="1792" t="s">
        <v>2096</v>
      </c>
      <c r="C22" s="135" t="str">
        <f>C8</f>
        <v>估价对象所在区域基础设施水平</v>
      </c>
      <c r="D22" s="2367"/>
      <c r="E22" s="2403"/>
      <c r="F22" s="2404" t="s">
        <v>2102</v>
      </c>
      <c r="G22" s="1566"/>
    </row>
    <row r="23" spans="1:18" s="2364" customFormat="1" ht="15" thickBot="1">
      <c r="A23" s="643"/>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 thickBot="1">
      <c r="A24" s="2409"/>
      <c r="B24" s="2407" t="s">
        <v>2115</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3"/>
  <sheetViews>
    <sheetView workbookViewId="0">
      <selection activeCell="D23" sqref="D23"/>
    </sheetView>
  </sheetViews>
  <sheetFormatPr defaultColWidth="9" defaultRowHeight="14.4"/>
  <cols>
    <col min="1" max="1" width="23.33203125" style="1735" customWidth="1"/>
    <col min="2" max="9" width="15.77734375" style="1735" customWidth="1"/>
    <col min="10" max="16384" width="9" style="1735"/>
  </cols>
  <sheetData>
    <row r="1" spans="1:10" ht="16.2">
      <c r="A1" s="1740" t="s">
        <v>1360</v>
      </c>
      <c r="B1" s="1740">
        <f>SUM(B14:B23)</f>
        <v>19127.079999999962</v>
      </c>
      <c r="C1" s="1739"/>
      <c r="D1" s="1739"/>
      <c r="E1" s="1739"/>
      <c r="F1" s="1739"/>
      <c r="G1" s="1737"/>
    </row>
    <row r="2" spans="1:10" ht="16.2">
      <c r="A2" s="1740" t="s">
        <v>1348</v>
      </c>
      <c r="B2" s="1740">
        <f>SUM(C14:C23)</f>
        <v>14543</v>
      </c>
      <c r="C2" s="1739"/>
      <c r="D2" s="1739"/>
      <c r="E2" s="1739"/>
      <c r="F2" s="1739"/>
      <c r="G2" s="1737"/>
    </row>
    <row r="3" spans="1:10" ht="15.6">
      <c r="A3" s="1740" t="s">
        <v>1357</v>
      </c>
      <c r="B3" s="1741">
        <f>项目基本情况!D3</f>
        <v>43845</v>
      </c>
      <c r="C3" s="1739"/>
      <c r="D3" s="1739"/>
      <c r="E3" s="1739"/>
      <c r="F3" s="1739"/>
      <c r="G3" s="1737"/>
    </row>
    <row r="4" spans="1:10" ht="31.2">
      <c r="A4" s="1740" t="s">
        <v>1356</v>
      </c>
      <c r="B4" s="1740" t="s">
        <v>1355</v>
      </c>
      <c r="C4" s="1740" t="s">
        <v>1354</v>
      </c>
      <c r="D4" s="1740" t="s">
        <v>1353</v>
      </c>
      <c r="E4" s="1739"/>
      <c r="F4" s="1737"/>
      <c r="G4" s="1737"/>
    </row>
    <row r="5" spans="1:10" ht="15.6">
      <c r="A5" s="1740" t="s">
        <v>1352</v>
      </c>
      <c r="B5" s="1740">
        <f ca="1">SUM(D14:D23)</f>
        <v>128675</v>
      </c>
      <c r="C5" s="1740">
        <f ca="1">ROUND(B5*10000/$B$1,0)</f>
        <v>67274</v>
      </c>
      <c r="D5" s="1740">
        <f ca="1">ROUND(B5*10000/$B$2,0)</f>
        <v>88479</v>
      </c>
      <c r="E5" s="1739"/>
      <c r="F5" s="1737"/>
      <c r="G5" s="1737"/>
    </row>
    <row r="6" spans="1:10" ht="15.6">
      <c r="A6" s="1740" t="s">
        <v>1351</v>
      </c>
      <c r="B6" s="1740">
        <f ca="1">SUM(G14:G23)</f>
        <v>128675</v>
      </c>
      <c r="C6" s="1740">
        <f ca="1">ROUND(B6*10000/$B$1,0)</f>
        <v>67274</v>
      </c>
      <c r="D6" s="1740">
        <f ca="1">ROUND(B6*10000/$B$2,0)</f>
        <v>88479</v>
      </c>
      <c r="E6" s="1739"/>
      <c r="F6" s="1737"/>
      <c r="G6" s="1737"/>
    </row>
    <row r="7" spans="1:10" ht="15.6">
      <c r="A7" s="1740" t="s">
        <v>1359</v>
      </c>
      <c r="B7" s="1740">
        <f>SUM(H14:H23)</f>
        <v>0</v>
      </c>
      <c r="C7" s="1740">
        <f>ROUND(B7*10000/$B$1,0)</f>
        <v>0</v>
      </c>
      <c r="D7" s="1740">
        <f>ROUND(B7*10000/$B$2,0)</f>
        <v>0</v>
      </c>
      <c r="E7" s="1739"/>
      <c r="F7" s="1737"/>
      <c r="G7" s="1737"/>
    </row>
    <row r="8" spans="1:10" ht="15.6">
      <c r="A8" s="1740" t="s">
        <v>1280</v>
      </c>
      <c r="B8" s="1740">
        <f>SUM(I14:I23)</f>
        <v>0</v>
      </c>
      <c r="C8" s="1740">
        <f>ROUND(B8*10000/$B$1,0)</f>
        <v>0</v>
      </c>
      <c r="D8" s="1740">
        <f>ROUND(B8*10000/$B$2,0)</f>
        <v>0</v>
      </c>
      <c r="E8" s="1739"/>
      <c r="F8" s="1737"/>
      <c r="G8" s="1737"/>
    </row>
    <row r="9" spans="1:10" ht="15.6">
      <c r="A9" s="1740" t="s">
        <v>1350</v>
      </c>
      <c r="B9" s="1742"/>
      <c r="C9" s="1739"/>
      <c r="D9" s="1739"/>
      <c r="E9" s="1739"/>
      <c r="F9" s="1737"/>
      <c r="G9" s="1737"/>
    </row>
    <row r="10" spans="1:10" ht="15.6">
      <c r="A10" s="1740" t="s">
        <v>1349</v>
      </c>
      <c r="B10" s="1742"/>
      <c r="C10" s="1739"/>
      <c r="D10" s="1739"/>
      <c r="E10" s="1739"/>
      <c r="F10" s="1737"/>
      <c r="G10" s="1737"/>
    </row>
    <row r="11" spans="1:10" ht="15.6">
      <c r="A11" s="1740" t="s">
        <v>1365</v>
      </c>
      <c r="B11" s="1742"/>
      <c r="C11" s="1739"/>
      <c r="D11" s="1739"/>
      <c r="E11" s="1739"/>
      <c r="F11" s="1737"/>
      <c r="G11" s="1737"/>
    </row>
    <row r="12" spans="1:10" ht="15.6">
      <c r="A12" s="1739"/>
      <c r="B12" s="1739"/>
      <c r="C12" s="1739"/>
      <c r="D12" s="1739"/>
      <c r="E12" s="1739"/>
      <c r="F12" s="1737"/>
      <c r="G12" s="1737"/>
    </row>
    <row r="13" spans="1:10" ht="31.8">
      <c r="A13" s="1745" t="s">
        <v>1364</v>
      </c>
      <c r="B13" s="1738" t="s">
        <v>1361</v>
      </c>
      <c r="C13" s="1738" t="s">
        <v>1363</v>
      </c>
      <c r="D13" s="1738" t="s">
        <v>1362</v>
      </c>
      <c r="E13" s="1740" t="s">
        <v>1354</v>
      </c>
      <c r="F13" s="1740" t="s">
        <v>1353</v>
      </c>
      <c r="G13" s="1738" t="s">
        <v>1347</v>
      </c>
      <c r="H13" s="1738" t="s">
        <v>1358</v>
      </c>
      <c r="I13" s="1738" t="s">
        <v>1346</v>
      </c>
      <c r="J13" s="1737"/>
    </row>
    <row r="14" spans="1:10" ht="15.6">
      <c r="A14" s="1736" t="s">
        <v>1345</v>
      </c>
      <c r="B14" s="1738">
        <f>'典型户型修正 (商业)'!B22</f>
        <v>4764.72</v>
      </c>
      <c r="C14" s="1738">
        <f>结果表!C118</f>
        <v>14543</v>
      </c>
      <c r="D14" s="1738">
        <f ca="1">'典型户型修正 (商业)'!S22</f>
        <v>24941</v>
      </c>
      <c r="E14" s="1738">
        <f ca="1">ROUND(D14*10000/B14,0)</f>
        <v>52345</v>
      </c>
      <c r="F14" s="1738">
        <f ca="1">ROUND(D14*10000/C14,0)</f>
        <v>17150</v>
      </c>
      <c r="G14" s="1738">
        <f ca="1">D14</f>
        <v>24941</v>
      </c>
      <c r="H14" s="1738" t="str">
        <f>结果表!D124</f>
        <v>——</v>
      </c>
      <c r="I14" s="1738" t="str">
        <f>结果表!D126</f>
        <v>——</v>
      </c>
      <c r="J14" s="1737"/>
    </row>
    <row r="15" spans="1:10" ht="15.6">
      <c r="A15" s="1736" t="s">
        <v>1344</v>
      </c>
      <c r="B15" s="3021">
        <f>典型户型修正!B22</f>
        <v>14362.359999999961</v>
      </c>
      <c r="C15" s="3021"/>
      <c r="D15" s="3021">
        <f ca="1">典型户型修正!S22</f>
        <v>103734</v>
      </c>
      <c r="E15" s="3022">
        <f t="shared" ref="E15:E23" ca="1" si="0">ROUND(D15*10000/B15,0)</f>
        <v>72226</v>
      </c>
      <c r="F15" s="3022" t="e">
        <f t="shared" ref="F15:F23" ca="1" si="1">ROUND(D15*10000/C15,0)</f>
        <v>#DIV/0!</v>
      </c>
      <c r="G15" s="3021">
        <f ca="1">D15</f>
        <v>103734</v>
      </c>
      <c r="H15" s="3021"/>
      <c r="I15" s="3021"/>
      <c r="J15" s="1737"/>
    </row>
    <row r="16" spans="1:10" ht="15.6">
      <c r="A16" s="1736" t="s">
        <v>1343</v>
      </c>
      <c r="B16" s="1743"/>
      <c r="C16" s="1743"/>
      <c r="D16" s="1743"/>
      <c r="E16" s="1738" t="e">
        <f t="shared" si="0"/>
        <v>#DIV/0!</v>
      </c>
      <c r="F16" s="1738" t="e">
        <f t="shared" si="1"/>
        <v>#DIV/0!</v>
      </c>
      <c r="G16" s="1744"/>
      <c r="H16" s="1744"/>
      <c r="I16" s="1743"/>
    </row>
    <row r="17" spans="1:9" ht="15.6">
      <c r="A17" s="1736" t="s">
        <v>1342</v>
      </c>
      <c r="B17" s="1743"/>
      <c r="C17" s="1743"/>
      <c r="D17" s="1743"/>
      <c r="E17" s="1738" t="e">
        <f t="shared" si="0"/>
        <v>#DIV/0!</v>
      </c>
      <c r="F17" s="1738" t="e">
        <f t="shared" si="1"/>
        <v>#DIV/0!</v>
      </c>
      <c r="G17" s="1744"/>
      <c r="H17" s="1744"/>
      <c r="I17" s="1743"/>
    </row>
    <row r="18" spans="1:9" ht="15.6">
      <c r="A18" s="1736" t="s">
        <v>1341</v>
      </c>
      <c r="B18" s="1743"/>
      <c r="C18" s="1743"/>
      <c r="D18" s="1743"/>
      <c r="E18" s="1738" t="e">
        <f t="shared" si="0"/>
        <v>#DIV/0!</v>
      </c>
      <c r="F18" s="1738" t="e">
        <f t="shared" si="1"/>
        <v>#DIV/0!</v>
      </c>
      <c r="G18" s="1743"/>
      <c r="H18" s="1743"/>
      <c r="I18" s="1743"/>
    </row>
    <row r="19" spans="1:9" ht="15.6">
      <c r="A19" s="1736" t="s">
        <v>1340</v>
      </c>
      <c r="B19" s="1743"/>
      <c r="C19" s="1743"/>
      <c r="D19" s="1743"/>
      <c r="E19" s="1738" t="e">
        <f t="shared" si="0"/>
        <v>#DIV/0!</v>
      </c>
      <c r="F19" s="1738" t="e">
        <f t="shared" si="1"/>
        <v>#DIV/0!</v>
      </c>
      <c r="G19" s="1743"/>
      <c r="H19" s="1743"/>
      <c r="I19" s="1743"/>
    </row>
    <row r="20" spans="1:9" ht="15.6">
      <c r="A20" s="1736" t="s">
        <v>1339</v>
      </c>
      <c r="B20" s="1743"/>
      <c r="C20" s="1743"/>
      <c r="D20" s="1743"/>
      <c r="E20" s="1738" t="e">
        <f t="shared" si="0"/>
        <v>#DIV/0!</v>
      </c>
      <c r="F20" s="1738" t="e">
        <f t="shared" si="1"/>
        <v>#DIV/0!</v>
      </c>
      <c r="G20" s="1743"/>
      <c r="H20" s="1743"/>
      <c r="I20" s="1743"/>
    </row>
    <row r="21" spans="1:9" ht="15.6">
      <c r="A21" s="1736" t="s">
        <v>1338</v>
      </c>
      <c r="B21" s="1743"/>
      <c r="C21" s="1743"/>
      <c r="D21" s="1743"/>
      <c r="E21" s="1738" t="e">
        <f t="shared" si="0"/>
        <v>#DIV/0!</v>
      </c>
      <c r="F21" s="1738" t="e">
        <f t="shared" si="1"/>
        <v>#DIV/0!</v>
      </c>
      <c r="G21" s="1743"/>
      <c r="H21" s="1743"/>
      <c r="I21" s="1743"/>
    </row>
    <row r="22" spans="1:9" ht="15.6">
      <c r="A22" s="1736" t="s">
        <v>1337</v>
      </c>
      <c r="B22" s="1743"/>
      <c r="C22" s="1743"/>
      <c r="D22" s="1743"/>
      <c r="E22" s="1738" t="e">
        <f t="shared" si="0"/>
        <v>#DIV/0!</v>
      </c>
      <c r="F22" s="1738" t="e">
        <f t="shared" si="1"/>
        <v>#DIV/0!</v>
      </c>
      <c r="G22" s="1743"/>
      <c r="H22" s="1743"/>
      <c r="I22" s="1743"/>
    </row>
    <row r="23" spans="1:9" ht="15.6">
      <c r="A23" s="1736" t="s">
        <v>1336</v>
      </c>
      <c r="B23" s="1743"/>
      <c r="C23" s="1743"/>
      <c r="D23" s="1743"/>
      <c r="E23" s="1740" t="e">
        <f t="shared" si="0"/>
        <v>#DIV/0!</v>
      </c>
      <c r="F23" s="1740" t="e">
        <f t="shared" si="1"/>
        <v>#DIV/0!</v>
      </c>
      <c r="G23" s="1743"/>
      <c r="H23" s="1743"/>
      <c r="I23" s="1743"/>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30" t="str">
        <f>项目基本情况!B1</f>
        <v>房地产抵押价值预评估</v>
      </c>
      <c r="C37" s="3030"/>
      <c r="D37" s="3030"/>
      <c r="E37" s="3030"/>
      <c r="F37" s="3030"/>
      <c r="G37" s="3030"/>
      <c r="H37" s="3030"/>
      <c r="I37" s="3030"/>
    </row>
    <row r="38" spans="1:9">
      <c r="A38" s="1013"/>
      <c r="B38" s="1013"/>
    </row>
    <row r="39" spans="1:9">
      <c r="A39" s="1011" t="s">
        <v>818</v>
      </c>
      <c r="B39" s="1011" t="s">
        <v>820</v>
      </c>
    </row>
    <row r="40" spans="1:9">
      <c r="A40" s="1011"/>
      <c r="B40" s="1938">
        <f>项目基本情况!B5</f>
        <v>0</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项目基本情况!K4</f>
        <v>（注册号：0)、（注册号：0)</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640625" defaultRowHeight="21.75" customHeight="1"/>
  <cols>
    <col min="1" max="2" width="12.6640625" style="2421"/>
    <col min="3" max="4" width="12.6640625" style="2421" customWidth="1"/>
    <col min="5" max="9" width="12.6640625" style="2421"/>
    <col min="10" max="11" width="12.6640625" style="792" customWidth="1"/>
    <col min="12" max="12" width="12.6640625" style="792"/>
    <col min="13" max="13" width="14.109375" style="792" bestFit="1" customWidth="1"/>
    <col min="14" max="26" width="12.6640625" style="792"/>
    <col min="27" max="35" width="12.6640625" style="2420"/>
    <col min="36" max="16384" width="12.6640625" style="2421"/>
  </cols>
  <sheetData>
    <row r="1" spans="1:12" ht="21.75" customHeight="1" thickBot="1">
      <c r="A1" s="2222" t="s">
        <v>2116</v>
      </c>
      <c r="B1" s="2415"/>
      <c r="C1" s="2416"/>
      <c r="D1" s="2415"/>
      <c r="E1" s="2415"/>
      <c r="F1" s="2417" t="s">
        <v>2117</v>
      </c>
      <c r="G1" s="2067" t="s">
        <v>3116</v>
      </c>
      <c r="H1" s="2418" t="str">
        <f>IF(G1="现房","——","估价对象范围")</f>
        <v>——</v>
      </c>
      <c r="I1" s="2419"/>
    </row>
    <row r="2" spans="1:12" ht="21.75" customHeight="1" thickBot="1">
      <c r="A2" s="3160" t="str">
        <f>项目基本情况!S2</f>
        <v>房地产</v>
      </c>
      <c r="B2" s="3161"/>
      <c r="C2" s="3161"/>
      <c r="D2" s="3161"/>
      <c r="E2" s="3161"/>
      <c r="F2" s="3161"/>
      <c r="G2" s="3161"/>
      <c r="H2" s="3161"/>
      <c r="I2" s="3162"/>
    </row>
    <row r="3" spans="1:12" ht="13.2">
      <c r="A3" s="3164" t="s">
        <v>2118</v>
      </c>
      <c r="B3" s="3165"/>
      <c r="C3" s="3165"/>
      <c r="D3" s="3165"/>
      <c r="E3" s="3165"/>
      <c r="F3" s="3165"/>
      <c r="G3" s="3165"/>
      <c r="H3" s="3165"/>
      <c r="I3" s="3165"/>
    </row>
    <row r="4" spans="1:12" ht="14.4">
      <c r="A4" s="2422" t="s">
        <v>2119</v>
      </c>
      <c r="B4" s="2423" t="s">
        <v>2120</v>
      </c>
      <c r="C4" s="2424" t="s">
        <v>3088</v>
      </c>
      <c r="D4" s="2424" t="s">
        <v>3163</v>
      </c>
      <c r="E4" s="3157" t="s">
        <v>2121</v>
      </c>
      <c r="F4" s="3158"/>
      <c r="G4" s="3158"/>
      <c r="H4" s="3158"/>
      <c r="I4" s="3166"/>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40" t="s">
        <v>2122</v>
      </c>
      <c r="B5" s="3074">
        <v>25</v>
      </c>
      <c r="C5" s="3143"/>
      <c r="D5" s="3163"/>
      <c r="E5" s="139" t="s">
        <v>2123</v>
      </c>
      <c r="F5" s="2426"/>
      <c r="G5" s="2426"/>
      <c r="H5" s="2426"/>
      <c r="I5" s="1828"/>
    </row>
    <row r="6" spans="1:12" ht="13.2">
      <c r="A6" s="3140"/>
      <c r="B6" s="3074"/>
      <c r="C6" s="3144"/>
      <c r="D6" s="3163"/>
      <c r="E6" s="139" t="s">
        <v>2124</v>
      </c>
      <c r="F6" s="2426"/>
      <c r="G6" s="2426"/>
      <c r="H6" s="2426"/>
      <c r="I6" s="1828"/>
    </row>
    <row r="7" spans="1:12" ht="13.2">
      <c r="A7" s="3140"/>
      <c r="B7" s="3074"/>
      <c r="C7" s="3145"/>
      <c r="D7" s="3163"/>
      <c r="E7" s="139" t="s">
        <v>2125</v>
      </c>
      <c r="F7" s="2426"/>
      <c r="G7" s="2426"/>
      <c r="H7" s="2426"/>
      <c r="I7" s="1828"/>
    </row>
    <row r="8" spans="1:12" ht="13.2">
      <c r="A8" s="3140" t="s">
        <v>2126</v>
      </c>
      <c r="B8" s="3074">
        <v>15</v>
      </c>
      <c r="C8" s="3143"/>
      <c r="D8" s="3163"/>
      <c r="E8" s="139" t="s">
        <v>2127</v>
      </c>
      <c r="F8" s="2426"/>
      <c r="G8" s="2426"/>
      <c r="H8" s="2426"/>
      <c r="I8" s="1828"/>
    </row>
    <row r="9" spans="1:12" ht="13.2">
      <c r="A9" s="3140"/>
      <c r="B9" s="3074"/>
      <c r="C9" s="3145"/>
      <c r="D9" s="3163"/>
      <c r="E9" s="139" t="s">
        <v>2128</v>
      </c>
      <c r="F9" s="2426"/>
      <c r="G9" s="2426"/>
      <c r="H9" s="2426"/>
      <c r="I9" s="1828"/>
    </row>
    <row r="10" spans="1:12" ht="13.2">
      <c r="A10" s="3140" t="s">
        <v>2129</v>
      </c>
      <c r="B10" s="3074">
        <v>15</v>
      </c>
      <c r="C10" s="3143"/>
      <c r="D10" s="3163"/>
      <c r="E10" s="139" t="s">
        <v>2130</v>
      </c>
      <c r="F10" s="2426"/>
      <c r="G10" s="2426"/>
      <c r="H10" s="2426"/>
      <c r="I10" s="1828"/>
    </row>
    <row r="11" spans="1:12" ht="13.2">
      <c r="A11" s="3140"/>
      <c r="B11" s="3074"/>
      <c r="C11" s="3145"/>
      <c r="D11" s="3163"/>
      <c r="E11" s="139" t="s">
        <v>2131</v>
      </c>
      <c r="F11" s="2426"/>
      <c r="G11" s="2426"/>
      <c r="H11" s="2426"/>
      <c r="I11" s="1828"/>
    </row>
    <row r="12" spans="1:12" ht="13.2">
      <c r="A12" s="3140" t="s">
        <v>2132</v>
      </c>
      <c r="B12" s="3074">
        <v>15</v>
      </c>
      <c r="C12" s="3143"/>
      <c r="D12" s="3163"/>
      <c r="E12" s="139" t="s">
        <v>2133</v>
      </c>
      <c r="F12" s="2426"/>
      <c r="G12" s="2426"/>
      <c r="H12" s="2426"/>
      <c r="I12" s="1828"/>
    </row>
    <row r="13" spans="1:12" ht="13.2">
      <c r="A13" s="3140"/>
      <c r="B13" s="3074"/>
      <c r="C13" s="3145"/>
      <c r="D13" s="3163"/>
      <c r="E13" s="139" t="s">
        <v>2134</v>
      </c>
      <c r="F13" s="2426"/>
      <c r="G13" s="2426"/>
      <c r="H13" s="2426"/>
      <c r="I13" s="1828"/>
    </row>
    <row r="14" spans="1:12" ht="13.2">
      <c r="A14" s="3140" t="s">
        <v>2135</v>
      </c>
      <c r="B14" s="3074">
        <v>30</v>
      </c>
      <c r="C14" s="3143">
        <v>5</v>
      </c>
      <c r="D14" s="3163">
        <v>5</v>
      </c>
      <c r="E14" s="139" t="s">
        <v>2136</v>
      </c>
      <c r="F14" s="2426"/>
      <c r="G14" s="2426"/>
      <c r="H14" s="2426"/>
      <c r="I14" s="1828"/>
    </row>
    <row r="15" spans="1:12" ht="13.2">
      <c r="A15" s="3140"/>
      <c r="B15" s="3074"/>
      <c r="C15" s="3144"/>
      <c r="D15" s="3163"/>
      <c r="E15" s="139" t="s">
        <v>2137</v>
      </c>
      <c r="F15" s="2426"/>
      <c r="G15" s="2426"/>
      <c r="H15" s="2426"/>
      <c r="I15" s="1828"/>
    </row>
    <row r="16" spans="1:12" ht="13.2">
      <c r="A16" s="3140"/>
      <c r="B16" s="3074"/>
      <c r="C16" s="3145"/>
      <c r="D16" s="3163"/>
      <c r="E16" s="139" t="s">
        <v>2138</v>
      </c>
      <c r="F16" s="2426"/>
      <c r="G16" s="2426"/>
      <c r="H16" s="2426"/>
      <c r="I16" s="1828"/>
    </row>
    <row r="17" spans="1:35" ht="14.4">
      <c r="A17" s="2427" t="s">
        <v>2139</v>
      </c>
      <c r="B17" s="64"/>
      <c r="C17" s="140">
        <f>SUM(C5:C16)</f>
        <v>5</v>
      </c>
      <c r="D17" s="140">
        <f>SUM(D5:D16)</f>
        <v>5</v>
      </c>
      <c r="E17" s="137"/>
      <c r="F17" s="137"/>
      <c r="G17" s="137"/>
      <c r="H17" s="137"/>
      <c r="I17" s="137"/>
      <c r="K17" s="2425"/>
      <c r="L17" s="2428" t="s">
        <v>2140</v>
      </c>
      <c r="M17" s="2428" t="s">
        <v>2141</v>
      </c>
    </row>
    <row r="18" spans="1:35" ht="15" thickBot="1">
      <c r="A18" s="2429" t="s">
        <v>2142</v>
      </c>
      <c r="B18" s="2430"/>
      <c r="C18" s="141">
        <f>ROUND(C17/SUM(C17:D17),2)</f>
        <v>0.5</v>
      </c>
      <c r="D18" s="141">
        <f>1-C18</f>
        <v>0.5</v>
      </c>
      <c r="E18" s="137"/>
      <c r="F18" s="137"/>
      <c r="G18" s="137"/>
      <c r="H18" s="137"/>
      <c r="I18" s="137"/>
      <c r="K18" s="2425" t="s">
        <v>2143</v>
      </c>
      <c r="L18" s="2425">
        <f>IF(C1="",'数据-汇总表'!E3,SUMIF(项目类型,C1,'数据-汇总表'!E17:E26)+SUMIF(项目类型,C1,'数据-汇总表'!I17:I26))</f>
        <v>499.07</v>
      </c>
      <c r="M18" s="2425">
        <f>IF(C1="",'数据-汇总表'!E3,SUMIF(项目类型,C1,'数据-汇总表'!E17:E26))</f>
        <v>499.07</v>
      </c>
    </row>
    <row r="19" spans="1:35" ht="14.4">
      <c r="A19" s="2431" t="s">
        <v>2144</v>
      </c>
      <c r="B19" s="2432" t="s">
        <v>2145</v>
      </c>
      <c r="C19" s="142">
        <f ca="1">SUMIF(INDIRECT("'"&amp;C4&amp;"'"&amp;"!A:A"),结果表!B19,INDIRECT("'"&amp;C4&amp;"'"&amp;"!B:B"))</f>
        <v>2309</v>
      </c>
      <c r="D19" s="143">
        <f ca="1">SUMIF(INDIRECT("'"&amp;D4&amp;"'"&amp;"!A:A"),结果表!B19,INDIRECT("'"&amp;D4&amp;"'"&amp;"!B:B"))</f>
        <v>2356</v>
      </c>
      <c r="E19" s="2431" t="s">
        <v>2146</v>
      </c>
      <c r="F19" s="2432" t="s">
        <v>2145</v>
      </c>
      <c r="G19" s="144">
        <f ca="1">ROUND(C19*$C$18+D19*$D$18,0)</f>
        <v>2333</v>
      </c>
      <c r="H19" s="2433" t="s">
        <v>2147</v>
      </c>
      <c r="I19" s="137"/>
      <c r="K19" s="2425" t="s">
        <v>2148</v>
      </c>
      <c r="L19" s="2425">
        <f>IF(C1="",'数据-汇总表'!D3,SUMIF(项目类型,C1,'数据-汇总表'!D17:D26)+SUMIF(项目类型,C1,'数据-汇总表'!H17:H27))</f>
        <v>14543</v>
      </c>
      <c r="M19" s="2425">
        <f>IF(C1="",'数据-汇总表'!D3,SUMIF(项目类型,C1,'数据-汇总表'!D17:D26))</f>
        <v>14543</v>
      </c>
    </row>
    <row r="20" spans="1:35" ht="14.4">
      <c r="A20" s="2434"/>
      <c r="B20" s="1244" t="s">
        <v>2149</v>
      </c>
      <c r="C20" s="145">
        <f ca="1">SUMIF(INDIRECT("'"&amp;C4&amp;"'"&amp;"!A:A"),结果表!B20,INDIRECT("'"&amp;C4&amp;"'"&amp;"!B:B"))</f>
        <v>52051</v>
      </c>
      <c r="D20" s="146">
        <f ca="1">SUMIF(INDIRECT("'"&amp;D4&amp;"'"&amp;"!A:A"),结果表!B20,INDIRECT("'"&amp;D4&amp;"'"&amp;"!B:B"))</f>
        <v>53102</v>
      </c>
      <c r="E20" s="2434"/>
      <c r="F20" s="1244" t="s">
        <v>2149</v>
      </c>
      <c r="G20" s="147">
        <f ca="1">ROUND(C20*$C$18+D20*$D$18,0)</f>
        <v>52577</v>
      </c>
      <c r="H20" s="977" t="s">
        <v>2150</v>
      </c>
      <c r="I20" s="137"/>
    </row>
    <row r="21" spans="1:35" ht="15" customHeight="1" thickBot="1">
      <c r="A21" s="997"/>
      <c r="B21" s="2435" t="s">
        <v>2151</v>
      </c>
      <c r="C21" s="786">
        <f ca="1">ROUND(C19*10000/L19,0)</f>
        <v>1588</v>
      </c>
      <c r="D21" s="787">
        <f ca="1">ROUND(D19*10000/L19,0)</f>
        <v>1620</v>
      </c>
      <c r="E21" s="997"/>
      <c r="F21" s="2435" t="s">
        <v>2151</v>
      </c>
      <c r="G21" s="148">
        <f ca="1">ROUND(G19*10000/L19,0)</f>
        <v>1604</v>
      </c>
      <c r="H21" s="2436" t="s">
        <v>2150</v>
      </c>
      <c r="I21" s="137"/>
    </row>
    <row r="22" spans="1:35" ht="15" thickBot="1">
      <c r="A22" s="2278" t="s">
        <v>2152</v>
      </c>
      <c r="B22" s="2437"/>
      <c r="C22" s="2438"/>
      <c r="D22" s="788">
        <f ca="1">IF(C19&lt;D19,D19/C19-1,C19/D19-1)</f>
        <v>2.035513209181472E-2</v>
      </c>
      <c r="E22" s="137"/>
      <c r="F22" s="137"/>
      <c r="G22" s="137"/>
      <c r="H22" s="137"/>
      <c r="I22" s="137"/>
    </row>
    <row r="23" spans="1:35" ht="13.8" thickBot="1">
      <c r="A23" s="2415"/>
      <c r="B23" s="2415"/>
      <c r="C23" s="2415"/>
      <c r="D23" s="2415"/>
      <c r="E23" s="137"/>
      <c r="F23" s="137"/>
      <c r="G23" s="137"/>
      <c r="H23" s="137"/>
      <c r="I23" s="137"/>
    </row>
    <row r="24" spans="1:35" ht="14.4">
      <c r="A24" s="3134" t="s">
        <v>2153</v>
      </c>
      <c r="B24" s="2432" t="s">
        <v>2145</v>
      </c>
      <c r="C24" s="144">
        <f>IF(B30=0,0,D30)</f>
        <v>0</v>
      </c>
      <c r="D24" s="2439"/>
      <c r="E24" s="137"/>
      <c r="F24" s="137"/>
      <c r="G24" s="137"/>
      <c r="H24" s="137"/>
      <c r="I24" s="137"/>
    </row>
    <row r="25" spans="1:35" ht="14.4">
      <c r="A25" s="3135"/>
      <c r="B25" s="1244"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3033</v>
      </c>
      <c r="F30" s="137"/>
      <c r="G30" s="137"/>
      <c r="H30" s="137"/>
      <c r="I30" s="137"/>
    </row>
    <row r="31" spans="1:35" s="2443" customFormat="1" ht="14.4"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 thickBot="1">
      <c r="A32" s="2444" t="s">
        <v>2159</v>
      </c>
      <c r="B32" s="2445"/>
      <c r="C32" s="152">
        <f ca="1">IF(D32="总价",G19-C24,G20-C25)</f>
        <v>2333</v>
      </c>
      <c r="D32" s="2446" t="s">
        <v>2160</v>
      </c>
      <c r="E32" s="137"/>
      <c r="F32" s="137"/>
      <c r="G32" s="137"/>
      <c r="H32" s="137"/>
      <c r="I32" s="137"/>
    </row>
    <row r="33" spans="1:15" ht="14.4">
      <c r="A33" s="954" t="s">
        <v>2161</v>
      </c>
      <c r="B33" s="2447"/>
      <c r="C33" s="2448"/>
      <c r="D33" s="2449"/>
      <c r="E33" s="2450" t="s">
        <v>2162</v>
      </c>
      <c r="F33" s="2451" t="str">
        <f>IF(D32="楼面单价","取值（单价）","取值（总价）")</f>
        <v>取值（总价）</v>
      </c>
      <c r="G33" s="137"/>
      <c r="H33" s="137"/>
      <c r="I33" s="137"/>
    </row>
    <row r="34" spans="1:15" ht="14.4">
      <c r="A34" s="2452"/>
      <c r="B34" s="2453" t="s">
        <v>2163</v>
      </c>
      <c r="C34" s="156" t="e">
        <f ca="1">IF(C33="自定义",F34,C32-C35)</f>
        <v>#REF!</v>
      </c>
      <c r="D34" s="1052" t="e">
        <f ca="1">IF(C33="自定义",ROUND(C34/C32,3),IF(C33="收益比率",SUMIF(INDIRECT("'"&amp;D33&amp;"'"&amp;"!b:b"),"土地收益比率",INDIRECT("'"&amp;D33&amp;"'"&amp;"!c:c")),SUMIF(INDIRECT("'"&amp;D33&amp;"'"&amp;"!b:b"),"土地成本比率",INDIRECT("'"&amp;D33&amp;"'"&amp;"!c:c"))))</f>
        <v>#REF!</v>
      </c>
      <c r="E34" s="2454" t="s">
        <v>2164</v>
      </c>
      <c r="F34" s="1733"/>
      <c r="G34" s="137"/>
      <c r="H34" s="137"/>
      <c r="I34" s="137"/>
    </row>
    <row r="35" spans="1:15" ht="15" thickBot="1">
      <c r="A35" s="2455"/>
      <c r="B35" s="2456"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52" t="s">
        <v>2167</v>
      </c>
      <c r="B36" s="2458" t="s">
        <v>2168</v>
      </c>
      <c r="C36" s="153"/>
      <c r="D36" s="2459"/>
      <c r="E36" s="2460"/>
      <c r="F36" s="2461"/>
      <c r="G36" s="137"/>
      <c r="H36" s="137"/>
      <c r="I36" s="137"/>
    </row>
    <row r="37" spans="1:15" ht="15" thickBot="1">
      <c r="A37" s="3153"/>
      <c r="B37" s="2264" t="s">
        <v>2169</v>
      </c>
      <c r="C37" s="155"/>
      <c r="D37" s="1389"/>
      <c r="E37" s="1389"/>
      <c r="F37" s="2461"/>
      <c r="G37" s="137"/>
      <c r="H37" s="137"/>
      <c r="I37" s="137"/>
    </row>
    <row r="38" spans="1:15" ht="15" thickBot="1">
      <c r="A38" s="3154"/>
      <c r="B38" s="2462" t="s">
        <v>2170</v>
      </c>
      <c r="C38" s="724"/>
      <c r="D38" s="2463" t="s">
        <v>2171</v>
      </c>
      <c r="E38" s="1389"/>
      <c r="F38" s="2461"/>
      <c r="G38" s="137"/>
      <c r="H38" s="137"/>
      <c r="I38" s="137"/>
    </row>
    <row r="39" spans="1:15" ht="14.4">
      <c r="A39" s="2434" t="s">
        <v>2172</v>
      </c>
      <c r="B39" s="2464" t="s">
        <v>2173</v>
      </c>
      <c r="C39" s="2465" t="s">
        <v>2174</v>
      </c>
      <c r="D39" s="2465" t="s">
        <v>2175</v>
      </c>
      <c r="E39" s="2466" t="s">
        <v>2176</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1" t="s">
        <v>2181</v>
      </c>
      <c r="B45" s="3132"/>
      <c r="C45" s="3133"/>
      <c r="D45" s="163">
        <f ca="1">ROUND(H101*F45,0)</f>
        <v>2333</v>
      </c>
      <c r="E45" s="164" t="s">
        <v>2182</v>
      </c>
      <c r="F45" s="165">
        <v>1</v>
      </c>
      <c r="G45" s="166" t="s">
        <v>2183</v>
      </c>
      <c r="H45" s="137"/>
      <c r="I45" s="137"/>
      <c r="J45" s="3191" t="s">
        <v>2184</v>
      </c>
      <c r="K45" s="3191"/>
      <c r="L45" s="3191"/>
      <c r="M45" s="3191"/>
      <c r="N45" s="3191"/>
      <c r="O45" s="3191"/>
    </row>
    <row r="46" spans="1:15" ht="14.25" customHeight="1">
      <c r="A46" s="3128" t="s">
        <v>2185</v>
      </c>
      <c r="B46" s="3129"/>
      <c r="C46" s="3129"/>
      <c r="D46" s="3129"/>
      <c r="E46" s="3129"/>
      <c r="F46" s="3129"/>
      <c r="G46" s="3130"/>
      <c r="H46" s="2477"/>
      <c r="I46" s="167"/>
      <c r="J46" s="1806">
        <v>1</v>
      </c>
      <c r="K46" s="3191" t="s">
        <v>2186</v>
      </c>
      <c r="L46" s="3191"/>
      <c r="M46" s="3211"/>
      <c r="N46" s="3211"/>
      <c r="O46" s="3211"/>
    </row>
    <row r="47" spans="1:15" ht="12" customHeight="1">
      <c r="A47" s="168" t="s">
        <v>2187</v>
      </c>
      <c r="B47" s="169"/>
      <c r="C47" s="170"/>
      <c r="D47" s="171" t="s">
        <v>2188</v>
      </c>
      <c r="E47" s="24" t="s">
        <v>2189</v>
      </c>
      <c r="F47" s="172" t="s">
        <v>2190</v>
      </c>
      <c r="G47" s="173" t="s">
        <v>2191</v>
      </c>
      <c r="H47" s="2477"/>
      <c r="I47" s="167"/>
      <c r="J47" s="1806">
        <v>2</v>
      </c>
      <c r="K47" s="3191" t="s">
        <v>2192</v>
      </c>
      <c r="L47" s="3191"/>
      <c r="M47" s="3212">
        <f>'数据-取费表'!B2</f>
        <v>43845</v>
      </c>
      <c r="N47" s="3212"/>
      <c r="O47" s="3212"/>
    </row>
    <row r="48" spans="1:15" ht="26.4">
      <c r="A48" s="3159" t="s">
        <v>2193</v>
      </c>
      <c r="B48" s="3142"/>
      <c r="C48" s="3142"/>
      <c r="D48" s="139">
        <f>IF(H48="情况1",0,IF(H48="情况2",D52,IF(H48="情况3",D53,IF(H48="情况4",D54))))</f>
        <v>0</v>
      </c>
      <c r="E48" s="1795" t="str">
        <f>IF(H48="情况4","(销售额-原购置价)×税（费）率","销售额×税（费）率")</f>
        <v>销售额×税（费）率</v>
      </c>
      <c r="F48" s="174" t="str">
        <f>IF(H48="情况1","免征",'数据-取费表'!B41)</f>
        <v>免征</v>
      </c>
      <c r="G48" s="2478" t="s">
        <v>2194</v>
      </c>
      <c r="H48" s="2479" t="s">
        <v>2195</v>
      </c>
      <c r="I48" s="2477"/>
      <c r="J48" s="1806">
        <v>3</v>
      </c>
      <c r="K48" s="3191" t="s">
        <v>2196</v>
      </c>
      <c r="L48" s="3191"/>
      <c r="M48" s="3213">
        <f ca="1">H101</f>
        <v>2333</v>
      </c>
      <c r="N48" s="3213"/>
      <c r="O48" s="3213"/>
    </row>
    <row r="49" spans="1:35" ht="25.5" customHeight="1">
      <c r="A49" s="175" t="s">
        <v>2197</v>
      </c>
      <c r="B49" s="3127" t="s">
        <v>2198</v>
      </c>
      <c r="C49" s="3127"/>
      <c r="D49" s="176">
        <v>0</v>
      </c>
      <c r="E49" s="23" t="s">
        <v>2199</v>
      </c>
      <c r="F49" s="28" t="s">
        <v>34</v>
      </c>
      <c r="G49" s="3197"/>
      <c r="H49" s="137"/>
      <c r="I49" s="2480"/>
      <c r="J49" s="1806">
        <v>4</v>
      </c>
      <c r="K49" s="3191" t="str">
        <f>IF(项目基本情况!E8="房地产抵押价值","房地产抵押价值","抵押担保权已注销时的房地产抵押价值")</f>
        <v>房地产抵押价值</v>
      </c>
      <c r="L49" s="3191"/>
      <c r="M49" s="3213">
        <f ca="1">IF(项目基本情况!E8="房地产抵押价值",H107,H109)</f>
        <v>2333</v>
      </c>
      <c r="N49" s="3213"/>
      <c r="O49" s="3213"/>
    </row>
    <row r="50" spans="1:35" ht="25.5" customHeight="1">
      <c r="A50" s="177"/>
      <c r="B50" s="3127" t="s">
        <v>2200</v>
      </c>
      <c r="C50" s="3127"/>
      <c r="D50" s="178"/>
      <c r="E50" s="31"/>
      <c r="F50" s="179"/>
      <c r="G50" s="3198"/>
      <c r="H50" s="137"/>
      <c r="I50" s="2480"/>
      <c r="J50" s="3191" t="s">
        <v>2201</v>
      </c>
      <c r="K50" s="3191"/>
      <c r="L50" s="3191"/>
      <c r="M50" s="3191"/>
      <c r="N50" s="3191"/>
      <c r="O50" s="3191"/>
    </row>
    <row r="51" spans="1:35" ht="12" customHeight="1">
      <c r="A51" s="180"/>
      <c r="B51" s="3127" t="s">
        <v>2202</v>
      </c>
      <c r="C51" s="3127"/>
      <c r="D51" s="181"/>
      <c r="E51" s="30"/>
      <c r="F51" s="179"/>
      <c r="G51" s="3199"/>
      <c r="H51" s="137"/>
      <c r="I51" s="2480"/>
      <c r="J51" s="2481" t="s">
        <v>2203</v>
      </c>
      <c r="K51" s="3191" t="s">
        <v>2204</v>
      </c>
      <c r="L51" s="3191"/>
      <c r="M51" s="2481" t="s">
        <v>2205</v>
      </c>
      <c r="N51" s="2481" t="s">
        <v>2206</v>
      </c>
      <c r="O51" s="2481" t="s">
        <v>2207</v>
      </c>
    </row>
    <row r="52" spans="1:35" ht="24" customHeight="1">
      <c r="A52" s="182" t="s">
        <v>2208</v>
      </c>
      <c r="B52" s="3127" t="s">
        <v>2209</v>
      </c>
      <c r="C52" s="3127"/>
      <c r="D52" s="181">
        <f ca="1">ROUND(D45*'数据-取费表'!B41/(1+'数据-取费表'!C42),0)</f>
        <v>124</v>
      </c>
      <c r="E52" s="11" t="s">
        <v>2210</v>
      </c>
      <c r="F52" s="183">
        <f>'数据-取费表'!B41</f>
        <v>5.6000000000000001E-2</v>
      </c>
      <c r="G52" s="2482"/>
      <c r="H52" s="137"/>
      <c r="I52" s="2480"/>
      <c r="J52" s="1806">
        <v>1</v>
      </c>
      <c r="K52" s="3192" t="s">
        <v>2211</v>
      </c>
      <c r="L52" s="3192"/>
      <c r="M52" s="1748">
        <f>D48</f>
        <v>0</v>
      </c>
      <c r="N52" s="1806" t="str">
        <f>E48</f>
        <v>销售额×税（费）率</v>
      </c>
      <c r="O52" s="1749" t="str">
        <f>F48</f>
        <v>免征</v>
      </c>
    </row>
    <row r="53" spans="1:35" ht="12" customHeight="1">
      <c r="A53" s="182" t="s">
        <v>2212</v>
      </c>
      <c r="B53" s="3150" t="s">
        <v>2213</v>
      </c>
      <c r="C53" s="3151"/>
      <c r="D53" s="181">
        <f ca="1">ROUND(D45*'数据-取费表'!B41/(1+'数据-取费表'!C42),0)</f>
        <v>124</v>
      </c>
      <c r="E53" s="11" t="s">
        <v>2210</v>
      </c>
      <c r="F53" s="183">
        <f>'数据-取费表'!B41</f>
        <v>5.6000000000000001E-2</v>
      </c>
      <c r="G53" s="2482"/>
      <c r="H53" s="137"/>
      <c r="I53" s="2480"/>
      <c r="J53" s="1806">
        <v>2</v>
      </c>
      <c r="K53" s="3192" t="s">
        <v>2214</v>
      </c>
      <c r="L53" s="3192"/>
      <c r="M53" s="1748">
        <f t="shared" ref="M53:O54" ca="1" si="0">D55</f>
        <v>1</v>
      </c>
      <c r="N53" s="1806" t="str">
        <f t="shared" si="0"/>
        <v>销售额×税（费）率</v>
      </c>
      <c r="O53" s="1749">
        <f t="shared" si="0"/>
        <v>5.0000000000000001E-4</v>
      </c>
    </row>
    <row r="54" spans="1:35" ht="12" customHeight="1">
      <c r="A54" s="182" t="s">
        <v>2215</v>
      </c>
      <c r="B54" s="3150" t="s">
        <v>2216</v>
      </c>
      <c r="C54" s="3151"/>
      <c r="D54" s="181">
        <f ca="1">C68</f>
        <v>124</v>
      </c>
      <c r="E54" s="30" t="s">
        <v>2217</v>
      </c>
      <c r="F54" s="183">
        <f>'数据-取费表'!B41</f>
        <v>5.6000000000000001E-2</v>
      </c>
      <c r="G54" s="2482"/>
      <c r="H54" s="2483"/>
      <c r="I54" s="2480"/>
      <c r="J54" s="1806">
        <v>3</v>
      </c>
      <c r="K54" s="3192" t="s">
        <v>2218</v>
      </c>
      <c r="L54" s="3192"/>
      <c r="M54" s="1748">
        <f t="shared" ca="1" si="0"/>
        <v>1321</v>
      </c>
      <c r="N54" s="1806" t="str">
        <f t="shared" si="0"/>
        <v>增值额×税（费）率</v>
      </c>
      <c r="O54" s="1750" t="str">
        <f t="shared" si="0"/>
        <v>——</v>
      </c>
    </row>
    <row r="55" spans="1:35" ht="24" customHeight="1">
      <c r="A55" s="3141" t="s">
        <v>2219</v>
      </c>
      <c r="B55" s="3142"/>
      <c r="C55" s="3142"/>
      <c r="D55" s="184">
        <f ca="1">IF(H55="个人住宅",0,ROUND(D45*I55,0))</f>
        <v>1</v>
      </c>
      <c r="E55" s="11" t="s">
        <v>2220</v>
      </c>
      <c r="F55" s="183">
        <f>IF(H55="正常",I55,"免征")</f>
        <v>5.0000000000000001E-4</v>
      </c>
      <c r="G55" s="2482"/>
      <c r="H55" s="2479" t="s">
        <v>2221</v>
      </c>
      <c r="I55" s="185">
        <f>'数据-取费表'!B49</f>
        <v>5.0000000000000001E-4</v>
      </c>
      <c r="J55" s="1806" t="str">
        <f>IF(H59="非个人房产","",4)</f>
        <v/>
      </c>
      <c r="K55" s="3192" t="str">
        <f>IF(H59="非个人房产","——","个人所得税")</f>
        <v>——</v>
      </c>
      <c r="L55" s="3192"/>
      <c r="M55" s="1751" t="str">
        <f>D59</f>
        <v>——</v>
      </c>
      <c r="N55" s="1804" t="str">
        <f>E59</f>
        <v>——</v>
      </c>
      <c r="O55" s="1752" t="str">
        <f>F59</f>
        <v>——</v>
      </c>
    </row>
    <row r="56" spans="1:35" ht="25.2">
      <c r="A56" s="3141" t="s">
        <v>2222</v>
      </c>
      <c r="B56" s="3142"/>
      <c r="C56" s="3142"/>
      <c r="D56" s="184">
        <f ca="1">IF(H56="个人住宅",D57,D58)</f>
        <v>1321</v>
      </c>
      <c r="E56" s="11" t="s">
        <v>2223</v>
      </c>
      <c r="F56" s="183" t="str">
        <f>IF(H56="正常",F58,"免征")</f>
        <v>——</v>
      </c>
      <c r="G56" s="2484" t="s">
        <v>2224</v>
      </c>
      <c r="H56" s="2485" t="s">
        <v>2221</v>
      </c>
      <c r="I56" s="2486"/>
      <c r="J56" s="1806" t="str">
        <f>IF(项目基本情况!K6="上海银行",IF(J55="",4,J55+1),"")</f>
        <v/>
      </c>
      <c r="K56" s="3215" t="str">
        <f>IF(项目基本情况!K6="上海银行","其他处置费用","")</f>
        <v/>
      </c>
      <c r="L56" s="3216"/>
      <c r="M56" s="1748" t="str">
        <f>IF(项目基本情况!K6="上海银行",M69,"")</f>
        <v/>
      </c>
      <c r="N56" s="3218" t="str">
        <f>IF(项目基本情况!K6="上海银行","包含处置中涉及的律师、诉讼、拍卖、评估等费用","")</f>
        <v/>
      </c>
      <c r="O56" s="3219"/>
    </row>
    <row r="57" spans="1:35" ht="13.2">
      <c r="A57" s="182" t="s">
        <v>2197</v>
      </c>
      <c r="B57" s="3157" t="s">
        <v>2225</v>
      </c>
      <c r="C57" s="3166"/>
      <c r="D57" s="186">
        <v>0</v>
      </c>
      <c r="E57" s="23" t="s">
        <v>2199</v>
      </c>
      <c r="F57" s="154"/>
      <c r="G57" s="2482"/>
      <c r="H57" s="2486"/>
      <c r="I57" s="2486"/>
      <c r="J57" s="3192">
        <f>IF(AND(J55="",J56=""),4,IF(项目基本情况!K6="上海银行",结果表!J56+1,结果表!J55+1))</f>
        <v>4</v>
      </c>
      <c r="K57" s="3192" t="s">
        <v>2226</v>
      </c>
      <c r="L57" s="2487" t="s">
        <v>2227</v>
      </c>
      <c r="M57" s="1753"/>
      <c r="N57" s="1754">
        <f ca="1">SUMIF(M52:M56,"&lt;9e307")</f>
        <v>1322</v>
      </c>
      <c r="O57" s="2488"/>
      <c r="P57" s="1747">
        <f ca="1">N57/M49</f>
        <v>0.56665237891127307</v>
      </c>
    </row>
    <row r="58" spans="1:35" ht="25.2">
      <c r="A58" s="182" t="s">
        <v>2208</v>
      </c>
      <c r="B58" s="3157" t="s">
        <v>2228</v>
      </c>
      <c r="C58" s="3158"/>
      <c r="D58" s="184">
        <f ca="1">IF(H58="转让取得",C81,C97)</f>
        <v>1321</v>
      </c>
      <c r="E58" s="11" t="s">
        <v>2223</v>
      </c>
      <c r="F58" s="24" t="s">
        <v>34</v>
      </c>
      <c r="G58" s="2482"/>
      <c r="H58" s="2485" t="s">
        <v>2229</v>
      </c>
      <c r="I58" s="2486"/>
      <c r="J58" s="3192"/>
      <c r="K58" s="3192"/>
      <c r="L58" s="2487" t="s">
        <v>2230</v>
      </c>
      <c r="M58" s="1755"/>
      <c r="N58" s="2489" t="str">
        <f ca="1">NUMBERSTRING(INT(N57*10000),2)&amp;"元整"</f>
        <v>壹仟叁佰贰拾贰万元整</v>
      </c>
      <c r="O58" s="2490"/>
    </row>
    <row r="59" spans="1:35" ht="24.6" thickBot="1">
      <c r="A59" s="3195" t="s">
        <v>2231</v>
      </c>
      <c r="B59" s="3196"/>
      <c r="C59" s="3196"/>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93">
        <f>J57+1</f>
        <v>5</v>
      </c>
      <c r="K59" s="3192" t="s">
        <v>2233</v>
      </c>
      <c r="L59" s="1806" t="s">
        <v>2227</v>
      </c>
      <c r="M59" s="1756"/>
      <c r="N59" s="1757">
        <f ca="1">M49-N57</f>
        <v>1011</v>
      </c>
      <c r="O59" s="2492"/>
    </row>
    <row r="60" spans="1:35" ht="12" customHeight="1">
      <c r="A60" s="2493"/>
      <c r="B60" s="2415"/>
      <c r="C60" s="2415"/>
      <c r="D60" s="2415"/>
      <c r="E60" s="2163"/>
      <c r="F60" s="2486"/>
      <c r="G60" s="2486"/>
      <c r="H60" s="2494"/>
      <c r="I60" s="137"/>
      <c r="J60" s="3194"/>
      <c r="K60" s="3192"/>
      <c r="L60" s="2487" t="s">
        <v>2230</v>
      </c>
      <c r="M60" s="1755"/>
      <c r="N60" s="2489" t="str">
        <f ca="1">NUMBERSTRING(INT(N59*10000),2)&amp;"元整"</f>
        <v>壹仟零壹拾壹万元整</v>
      </c>
      <c r="O60" s="2490"/>
    </row>
    <row r="61" spans="1:35" ht="13.8" thickBot="1">
      <c r="A61" s="3139" t="s">
        <v>2234</v>
      </c>
      <c r="B61" s="3139"/>
      <c r="C61" s="3139"/>
      <c r="D61" s="3139"/>
      <c r="E61" s="3139"/>
      <c r="F61" s="2486"/>
      <c r="G61" s="2486"/>
      <c r="H61" s="2494"/>
      <c r="I61" s="137"/>
      <c r="J61" s="1806">
        <f>J59+1</f>
        <v>6</v>
      </c>
      <c r="K61" s="3192" t="s">
        <v>2235</v>
      </c>
      <c r="L61" s="3192"/>
      <c r="M61" s="1758"/>
      <c r="N61" s="1759">
        <f ca="1">ROUND(N59*10000/'数据-汇总表'!E3,0)</f>
        <v>20258</v>
      </c>
      <c r="O61" s="2495"/>
    </row>
    <row r="62" spans="1:35" ht="13.2">
      <c r="A62" s="3155" t="s">
        <v>2236</v>
      </c>
      <c r="B62" s="3156"/>
      <c r="C62" s="1798"/>
      <c r="D62" s="1798" t="s">
        <v>2237</v>
      </c>
      <c r="E62" s="191" t="s">
        <v>2238</v>
      </c>
      <c r="F62" s="2486"/>
      <c r="G62" s="2486"/>
      <c r="H62" s="2494"/>
      <c r="I62" s="137"/>
    </row>
    <row r="63" spans="1:35" ht="13.2">
      <c r="A63" s="202" t="s">
        <v>775</v>
      </c>
      <c r="B63" s="192" t="s">
        <v>2239</v>
      </c>
      <c r="C63" s="193">
        <f ca="1">ROUND((C64+C65)/(1+'数据-取费表'!C42),0)</f>
        <v>2222</v>
      </c>
      <c r="D63" s="194"/>
      <c r="E63" s="195"/>
      <c r="F63" s="2486"/>
      <c r="G63" s="2486"/>
      <c r="H63" s="2494"/>
      <c r="I63" s="137"/>
      <c r="J63" s="3217" t="s">
        <v>2240</v>
      </c>
      <c r="K63" s="2496" t="s">
        <v>2241</v>
      </c>
      <c r="L63" s="1746">
        <f ca="1">IF(M49&gt;10000,M49*0.5%,IF(AND(M49&gt;1000,M49&lt;=10000),M49*1%,IF(AND(M49&gt;100,M49&lt;=1000),M49*3%,IF(AND(M49&gt;10,M49&lt;=100),M49*5%,M49*8%))))</f>
        <v>23.330000000000002</v>
      </c>
      <c r="M63" s="24">
        <f ca="1">ROUND(L63,1)</f>
        <v>23.3</v>
      </c>
      <c r="Z63" s="2420"/>
      <c r="AI63" s="2421"/>
    </row>
    <row r="64" spans="1:35" ht="14.25" customHeight="1">
      <c r="A64" s="196" t="s">
        <v>770</v>
      </c>
      <c r="B64" s="197" t="s">
        <v>2242</v>
      </c>
      <c r="C64" s="198">
        <f ca="1">D45</f>
        <v>2333</v>
      </c>
      <c r="D64" s="199" t="s">
        <v>32</v>
      </c>
      <c r="E64" s="200"/>
      <c r="F64" s="2486"/>
      <c r="G64" s="2486"/>
      <c r="H64" s="2494"/>
      <c r="I64" s="137"/>
      <c r="J64" s="3217"/>
      <c r="K64" s="2496" t="s">
        <v>2243</v>
      </c>
      <c r="L64" s="1746">
        <f ca="1">IF(M49&gt;2000,M49*0.5%,IF(AND(M49&gt;1000,M49&lt;=2000),M49*0.6%,IF(AND(M49&gt;500,M49&lt;=1000),M49*0.7%,IF(AND(M49&gt;200,M49&lt;=500),M49*0.8%,IF(AND(M49&gt;100,M49&lt;=200),M49*0.9%,IF(AND(M49&gt;50,M49&lt;=100),M49*1%,IF(AND(M49&gt;20,M49&lt;=50),M49*1.5%,IF(AND(M49&gt;10,M49&lt;=20),M49*2%,IF(AND(M49&gt;1,M49&lt;=10),M49*2.5%)))))))))</f>
        <v>11.665000000000001</v>
      </c>
      <c r="M64" s="24">
        <f t="shared" ref="M64:M65" ca="1" si="1">ROUND(L64,1)</f>
        <v>11.7</v>
      </c>
      <c r="N64" s="137" t="s">
        <v>2244</v>
      </c>
      <c r="Z64" s="2420"/>
      <c r="AI64" s="2421"/>
    </row>
    <row r="65" spans="1:35" ht="14.25" customHeight="1">
      <c r="A65" s="196" t="s">
        <v>771</v>
      </c>
      <c r="B65" s="197" t="s">
        <v>2245</v>
      </c>
      <c r="C65" s="201"/>
      <c r="D65" s="199"/>
      <c r="E65" s="200"/>
      <c r="F65" s="2486"/>
      <c r="G65" s="2486"/>
      <c r="H65" s="2494"/>
      <c r="I65" s="137"/>
      <c r="J65" s="3217"/>
      <c r="K65" s="2496" t="s">
        <v>2246</v>
      </c>
      <c r="L65" s="1746">
        <f ca="1">IF(M49&gt;1000,M49*0.1%,IF(AND(M49&gt;500,M49&lt;=1000),M49*0.5%,IF(AND(M49&gt;50,M49&lt;=500),M49*1%,IF(AND(M49&gt;1,M49&lt;=50),M49*1.5%))))</f>
        <v>2.3330000000000002</v>
      </c>
      <c r="M65" s="24">
        <f t="shared" ca="1" si="1"/>
        <v>2.2999999999999998</v>
      </c>
      <c r="N65" s="137" t="s">
        <v>2244</v>
      </c>
      <c r="Z65" s="2420"/>
      <c r="AI65" s="2421"/>
    </row>
    <row r="66" spans="1:35" ht="14.25" customHeight="1">
      <c r="A66" s="202" t="s">
        <v>772</v>
      </c>
      <c r="B66" s="203" t="s">
        <v>2247</v>
      </c>
      <c r="C66" s="204"/>
      <c r="D66" s="205" t="s">
        <v>32</v>
      </c>
      <c r="E66" s="1770" t="s">
        <v>1366</v>
      </c>
      <c r="F66" s="2486"/>
      <c r="G66" s="2486"/>
      <c r="H66" s="2494"/>
      <c r="I66" s="137"/>
      <c r="J66" s="3217"/>
      <c r="K66" s="2496" t="s">
        <v>2248</v>
      </c>
      <c r="L66" s="1746">
        <f ca="1">M49*0.5%</f>
        <v>11.665000000000001</v>
      </c>
      <c r="M66" s="24">
        <f ca="1">IF(L66&gt;0.5,0.5,ROUND(L66,0))</f>
        <v>0.5</v>
      </c>
      <c r="N66" s="137" t="s">
        <v>2249</v>
      </c>
      <c r="Z66" s="2420"/>
      <c r="AI66" s="2421"/>
    </row>
    <row r="67" spans="1:35" ht="14.25" customHeight="1">
      <c r="A67" s="202" t="s">
        <v>773</v>
      </c>
      <c r="B67" s="203" t="s">
        <v>2250</v>
      </c>
      <c r="C67" s="206">
        <f ca="1">C63-C66</f>
        <v>2222</v>
      </c>
      <c r="D67" s="199" t="s">
        <v>32</v>
      </c>
      <c r="E67" s="200"/>
      <c r="F67" s="2486"/>
      <c r="G67" s="2486"/>
      <c r="H67" s="2494"/>
      <c r="I67" s="137"/>
      <c r="J67" s="3217"/>
      <c r="K67" s="2496" t="s">
        <v>2251</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774</v>
      </c>
      <c r="B68" s="208" t="s">
        <v>2252</v>
      </c>
      <c r="C68" s="209">
        <f ca="1">IF(C67&lt;=0,0,ROUND(C67*D68,0))</f>
        <v>124</v>
      </c>
      <c r="D68" s="210">
        <f>'数据-取费表'!B41</f>
        <v>5.6000000000000001E-2</v>
      </c>
      <c r="E68" s="211"/>
      <c r="F68" s="2486"/>
      <c r="G68" s="2486"/>
      <c r="H68" s="2494"/>
      <c r="I68" s="137"/>
      <c r="J68" s="3217"/>
      <c r="K68" s="2496" t="s">
        <v>2253</v>
      </c>
      <c r="L68" s="1746">
        <f ca="1">IF(M49&gt;10000,M49*0.5%,IF(AND(M49&gt;5000,M49&lt;=10000),M49*1%,IF(AND(M49&gt;1000,M49&lt;=5000),M49*2%,IF(AND(M49&gt;200,M49&lt;=1000),M49*3%,M49*5%))))</f>
        <v>46.660000000000004</v>
      </c>
      <c r="M68" s="24">
        <f ca="1">ROUND(L68,1)</f>
        <v>46.7</v>
      </c>
      <c r="Z68" s="2420"/>
      <c r="AI68" s="2421"/>
    </row>
    <row r="69" spans="1:35" s="2443" customFormat="1" ht="16.5" customHeight="1">
      <c r="A69" s="2497"/>
      <c r="B69" s="2498"/>
      <c r="C69" s="2499"/>
      <c r="D69" s="2500"/>
      <c r="E69" s="2501"/>
      <c r="F69" s="2163"/>
      <c r="G69" s="2163"/>
      <c r="H69" s="2162"/>
      <c r="I69" s="2415"/>
      <c r="J69" s="3217"/>
      <c r="K69" s="2496" t="s">
        <v>2254</v>
      </c>
      <c r="L69" s="2502"/>
      <c r="M69" s="24">
        <f ca="1">ROUND(SUM(M63:M68),0)</f>
        <v>87</v>
      </c>
      <c r="N69" s="1747">
        <f ca="1">M69/M49</f>
        <v>3.7291041577368199E-2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4.4" thickBot="1">
      <c r="A70" s="3176" t="s">
        <v>2255</v>
      </c>
      <c r="B70" s="3177"/>
      <c r="C70" s="3177"/>
      <c r="D70" s="3177"/>
      <c r="E70" s="3177"/>
      <c r="F70" s="3177"/>
      <c r="G70" s="3177"/>
      <c r="H70" s="317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55" t="s">
        <v>2236</v>
      </c>
      <c r="B71" s="3156"/>
      <c r="C71" s="1798"/>
      <c r="D71" s="1798"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2222</v>
      </c>
      <c r="D72" s="199" t="s">
        <v>32</v>
      </c>
      <c r="E72" s="1797"/>
      <c r="F72" s="1791"/>
      <c r="G72" s="1791"/>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13</v>
      </c>
      <c r="D73" s="199" t="s">
        <v>32</v>
      </c>
      <c r="E73" s="1797"/>
      <c r="F73" s="1791"/>
      <c r="G73" s="1791"/>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7"/>
      <c r="F74" s="1791"/>
      <c r="G74" s="1791"/>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0" t="s">
        <v>2264</v>
      </c>
      <c r="F76" s="3127"/>
      <c r="G76" s="3127"/>
      <c r="H76" s="317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2"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13</v>
      </c>
      <c r="D78" s="225">
        <f>'数据-取费表'!B43</f>
        <v>6.000000000000001E-3</v>
      </c>
      <c r="E78" s="3136" t="s">
        <v>2269</v>
      </c>
      <c r="F78" s="3137"/>
      <c r="G78" s="3137"/>
      <c r="H78" s="314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2270</v>
      </c>
      <c r="C79" s="206">
        <f ca="1">C72-C73</f>
        <v>2209</v>
      </c>
      <c r="D79" s="199" t="s">
        <v>32</v>
      </c>
      <c r="E79" s="1797"/>
      <c r="F79" s="1791"/>
      <c r="G79" s="1791"/>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169.92307692307693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1321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76" t="s">
        <v>2273</v>
      </c>
      <c r="B83" s="3177"/>
      <c r="C83" s="3177"/>
      <c r="D83" s="3177"/>
      <c r="E83" s="3177"/>
      <c r="F83" s="3177"/>
      <c r="G83" s="3177"/>
      <c r="H83" s="317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55" t="s">
        <v>2236</v>
      </c>
      <c r="B84" s="3156"/>
      <c r="C84" s="1798"/>
      <c r="D84" s="1798"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2222</v>
      </c>
      <c r="D85" s="199" t="s">
        <v>32</v>
      </c>
      <c r="E85" s="1797"/>
      <c r="F85" s="1791"/>
      <c r="G85" s="1791"/>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13</v>
      </c>
      <c r="D86" s="234"/>
      <c r="E86" s="1797"/>
      <c r="F86" s="1791"/>
      <c r="G86" s="1791"/>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0</v>
      </c>
      <c r="D87" s="225"/>
      <c r="E87" s="1793"/>
      <c r="F87" s="1794"/>
      <c r="G87" s="1794"/>
      <c r="H87" s="1796"/>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c r="D88" s="225"/>
      <c r="E88" s="236" t="s">
        <v>2276</v>
      </c>
      <c r="F88" s="1794"/>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0</v>
      </c>
      <c r="D89" s="225">
        <f>'数据-取费表'!B48+'数据-取费表'!B49</f>
        <v>3.0499999999999999E-2</v>
      </c>
      <c r="E89" s="236" t="s">
        <v>2278</v>
      </c>
      <c r="F89" s="1794"/>
      <c r="G89" s="1794"/>
      <c r="H89" s="1796"/>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1794"/>
      <c r="G90" s="1794"/>
      <c r="H90" s="1796"/>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36" t="s">
        <v>2282</v>
      </c>
      <c r="F91" s="3137"/>
      <c r="G91" s="3137"/>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36" t="s">
        <v>2286</v>
      </c>
      <c r="F92" s="3137"/>
      <c r="G92" s="3137"/>
      <c r="H92" s="314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13</v>
      </c>
      <c r="D93" s="225">
        <f>'数据-取费表'!B43</f>
        <v>6.000000000000001E-3</v>
      </c>
      <c r="E93" s="3136" t="s">
        <v>2269</v>
      </c>
      <c r="F93" s="3137"/>
      <c r="G93" s="3137"/>
      <c r="H93" s="314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147" t="s">
        <v>2290</v>
      </c>
      <c r="F94" s="3148"/>
      <c r="G94" s="3148"/>
      <c r="H94" s="314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2270</v>
      </c>
      <c r="C95" s="206">
        <f ca="1">ROUND(C85-C86,0)</f>
        <v>2209</v>
      </c>
      <c r="D95" s="199" t="s">
        <v>32</v>
      </c>
      <c r="E95" s="1797"/>
      <c r="F95" s="1791"/>
      <c r="G95" s="1791"/>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169.92307692307693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1321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21" t="s">
        <v>2292</v>
      </c>
      <c r="B100" s="3122"/>
      <c r="C100" s="3122"/>
      <c r="D100" s="3138"/>
      <c r="E100" s="3122" t="s">
        <v>2293</v>
      </c>
      <c r="F100" s="3122"/>
      <c r="G100" s="3122"/>
      <c r="H100" s="3138"/>
      <c r="I100" s="137"/>
    </row>
    <row r="101" spans="1:35" ht="18.75" customHeight="1">
      <c r="A101" s="3200" t="s">
        <v>2294</v>
      </c>
      <c r="B101" s="3201"/>
      <c r="C101" s="733" t="str">
        <f>C4</f>
        <v>比较法-商业</v>
      </c>
      <c r="D101" s="734" t="str">
        <f>D4</f>
        <v>收益法 (元)</v>
      </c>
      <c r="E101" s="3214" t="s">
        <v>2295</v>
      </c>
      <c r="F101" s="3168"/>
      <c r="G101" s="2517" t="s">
        <v>2296</v>
      </c>
      <c r="H101" s="1042">
        <f ca="1">H118</f>
        <v>2333</v>
      </c>
      <c r="I101" s="137"/>
    </row>
    <row r="102" spans="1:35" ht="18.75" customHeight="1">
      <c r="A102" s="3170" t="s">
        <v>2297</v>
      </c>
      <c r="B102" s="2517" t="s">
        <v>2296</v>
      </c>
      <c r="C102" s="733">
        <f ca="1">C19</f>
        <v>2309</v>
      </c>
      <c r="D102" s="734">
        <f ca="1">D19</f>
        <v>2356</v>
      </c>
      <c r="E102" s="3214"/>
      <c r="F102" s="3168"/>
      <c r="G102" s="2517" t="s">
        <v>2298</v>
      </c>
      <c r="H102" s="370">
        <f ca="1">I118</f>
        <v>46747</v>
      </c>
      <c r="I102" s="137"/>
    </row>
    <row r="103" spans="1:35" ht="42.75" customHeight="1">
      <c r="A103" s="3170"/>
      <c r="B103" s="2517" t="s">
        <v>2298</v>
      </c>
      <c r="C103" s="735">
        <f ca="1">C20</f>
        <v>52051</v>
      </c>
      <c r="D103" s="736">
        <f ca="1">D20</f>
        <v>53102</v>
      </c>
      <c r="E103" s="3209" t="s">
        <v>2299</v>
      </c>
      <c r="F103" s="3210"/>
      <c r="G103" s="2518" t="s">
        <v>2300</v>
      </c>
      <c r="H103" s="1042">
        <f>IF(D36="正常操作",H104+H105+H106,H105+H106)</f>
        <v>0</v>
      </c>
      <c r="I103" s="137"/>
    </row>
    <row r="104" spans="1:35" ht="18.75" customHeight="1">
      <c r="A104" s="3170" t="s">
        <v>2301</v>
      </c>
      <c r="B104" s="2519" t="s">
        <v>2296</v>
      </c>
      <c r="C104" s="737">
        <f ca="1">H118</f>
        <v>2333</v>
      </c>
      <c r="D104" s="738"/>
      <c r="E104" s="2264" t="s">
        <v>2302</v>
      </c>
      <c r="F104" s="2255"/>
      <c r="G104" s="2518" t="s">
        <v>2300</v>
      </c>
      <c r="H104" s="1043">
        <f>IF(D36="同一抵押权人同一抵押物续贷",C36&amp;"（未扣减，详见特别提示）",C36)</f>
        <v>0</v>
      </c>
      <c r="I104" s="137"/>
    </row>
    <row r="105" spans="1:35" ht="18.75" customHeight="1" thickBot="1">
      <c r="A105" s="3171"/>
      <c r="B105" s="2520" t="s">
        <v>2298</v>
      </c>
      <c r="C105" s="739">
        <f ca="1">I118</f>
        <v>46747</v>
      </c>
      <c r="D105" s="740"/>
      <c r="E105" s="2264" t="s">
        <v>2303</v>
      </c>
      <c r="F105" s="2255"/>
      <c r="G105" s="2518" t="s">
        <v>2300</v>
      </c>
      <c r="H105" s="1043">
        <f>C37</f>
        <v>0</v>
      </c>
      <c r="I105" s="137"/>
    </row>
    <row r="106" spans="1:35" ht="18.75" customHeight="1">
      <c r="A106" s="2415" t="s">
        <v>2304</v>
      </c>
      <c r="B106" s="2415"/>
      <c r="C106" s="2415"/>
      <c r="D106" s="2415"/>
      <c r="E106" s="2521" t="s">
        <v>2305</v>
      </c>
      <c r="F106" s="2255"/>
      <c r="G106" s="2518" t="s">
        <v>2300</v>
      </c>
      <c r="H106" s="1043">
        <f>C38</f>
        <v>0</v>
      </c>
      <c r="I106" s="137"/>
    </row>
    <row r="107" spans="1:35" ht="18.75" customHeight="1">
      <c r="A107" s="137"/>
      <c r="B107" s="137"/>
      <c r="C107" s="137"/>
      <c r="D107" s="137"/>
      <c r="E107" s="3167" t="str">
        <f>IF(项目基本情况!E8="已注销","——","3.房地产抵押价值")</f>
        <v>3.房地产抵押价值</v>
      </c>
      <c r="F107" s="3168"/>
      <c r="G107" s="2517" t="s">
        <v>2296</v>
      </c>
      <c r="H107" s="1042">
        <f ca="1">IF(E107="——","——",H101-H103)</f>
        <v>2333</v>
      </c>
      <c r="I107" s="137"/>
    </row>
    <row r="108" spans="1:35" ht="18.75" customHeight="1">
      <c r="A108" s="137"/>
      <c r="B108" s="137"/>
      <c r="C108" s="137"/>
      <c r="D108" s="137"/>
      <c r="E108" s="3167"/>
      <c r="F108" s="3168"/>
      <c r="G108" s="2517" t="s">
        <v>2298</v>
      </c>
      <c r="H108" s="370">
        <f ca="1">ROUND(H107*10000/'数据-汇总表'!E3,0)</f>
        <v>46747</v>
      </c>
      <c r="I108" s="137"/>
    </row>
    <row r="109" spans="1:35" ht="18.75" customHeight="1">
      <c r="A109" s="137"/>
      <c r="B109" s="137"/>
      <c r="C109" s="137"/>
      <c r="D109" s="137"/>
      <c r="E109" s="3167" t="str">
        <f>IF(项目基本情况!E8="已注销及未注销","4.抵押担保权已注销时的房地产抵押价值",IF(项目基本情况!E8="已注销","3.抵押担保权已注销时的房地产抵押价值","——"))</f>
        <v>——</v>
      </c>
      <c r="F109" s="3168"/>
      <c r="G109" s="2517" t="s">
        <v>2296</v>
      </c>
      <c r="H109" s="347" t="str">
        <f>IF(E109="——","——",H101-H105-H106)</f>
        <v>——</v>
      </c>
      <c r="I109" s="137"/>
    </row>
    <row r="110" spans="1:35" ht="18.75" customHeight="1">
      <c r="A110" s="137"/>
      <c r="B110" s="137"/>
      <c r="C110" s="137"/>
      <c r="D110" s="137"/>
      <c r="E110" s="3167"/>
      <c r="F110" s="3168"/>
      <c r="G110" s="2517" t="s">
        <v>2298</v>
      </c>
      <c r="H110" s="370" t="str">
        <f>IF(H109="——","——",ROUND(H109*10000/'数据-汇总表'!E3,0))</f>
        <v>——</v>
      </c>
      <c r="I110" s="137"/>
    </row>
    <row r="111" spans="1:35" ht="18.75" customHeight="1">
      <c r="A111" s="137"/>
      <c r="B111" s="137"/>
      <c r="C111" s="137"/>
      <c r="D111" s="137"/>
      <c r="E111" s="3202" t="str">
        <f>IF(项目基本情况!E9="抵押净值",IF(OR(项目基本情况!E8="已注销",项目基本情况!E8="房地产抵押价值"),"4.抵押净值","5.抵押净值"),"——")</f>
        <v>——</v>
      </c>
      <c r="F111" s="3203"/>
      <c r="G111" s="2517" t="s">
        <v>2296</v>
      </c>
      <c r="H111" s="1042" t="str">
        <f>IF(E111="——","——",N59)</f>
        <v>——</v>
      </c>
      <c r="I111" s="137"/>
    </row>
    <row r="112" spans="1:35" ht="18.75" customHeight="1" thickBot="1">
      <c r="A112" s="137"/>
      <c r="B112" s="137"/>
      <c r="C112" s="137"/>
      <c r="D112" s="137"/>
      <c r="E112" s="3204"/>
      <c r="F112" s="3205"/>
      <c r="G112" s="2522" t="s">
        <v>2298</v>
      </c>
      <c r="H112" s="787" t="str">
        <f>IF(E111="——","——",N61)</f>
        <v>——</v>
      </c>
      <c r="I112" s="137"/>
    </row>
    <row r="113" spans="1:11" ht="18.75" customHeight="1">
      <c r="A113" s="137"/>
      <c r="B113" s="137"/>
      <c r="C113" s="137"/>
      <c r="D113" s="137"/>
      <c r="E113" s="3172" t="s">
        <v>2304</v>
      </c>
      <c r="F113" s="3172"/>
      <c r="G113" s="3172"/>
      <c r="H113" s="3172"/>
      <c r="I113" s="137"/>
    </row>
    <row r="114" spans="1:11" ht="3.75" customHeight="1">
      <c r="A114" s="2415"/>
      <c r="B114" s="2415"/>
      <c r="C114" s="2415"/>
      <c r="D114" s="2415"/>
      <c r="E114" s="2493"/>
      <c r="F114" s="2493"/>
      <c r="G114" s="2493"/>
      <c r="H114" s="2493"/>
      <c r="I114" s="2415"/>
    </row>
    <row r="115" spans="1:11" ht="18.75" customHeight="1">
      <c r="A115" s="3185" t="s">
        <v>2306</v>
      </c>
      <c r="B115" s="3186"/>
      <c r="C115" s="3186"/>
      <c r="D115" s="3186"/>
      <c r="E115" s="3186"/>
      <c r="F115" s="3186"/>
      <c r="G115" s="3186"/>
      <c r="H115" s="3186"/>
      <c r="I115" s="3187"/>
    </row>
    <row r="116" spans="1:11" ht="27" customHeight="1">
      <c r="A116" s="3074" t="s">
        <v>2307</v>
      </c>
      <c r="B116" s="3173" t="s">
        <v>2308</v>
      </c>
      <c r="C116" s="3173" t="s">
        <v>2309</v>
      </c>
      <c r="D116" s="3189" t="s">
        <v>2310</v>
      </c>
      <c r="E116" s="3190"/>
      <c r="F116" s="3181" t="s">
        <v>2311</v>
      </c>
      <c r="G116" s="3181"/>
      <c r="H116" s="3074" t="s">
        <v>2312</v>
      </c>
      <c r="I116" s="3074"/>
    </row>
    <row r="117" spans="1:11" ht="18.75" customHeight="1">
      <c r="A117" s="3074"/>
      <c r="B117" s="3174"/>
      <c r="C117" s="3174"/>
      <c r="D117" s="1792" t="s">
        <v>2313</v>
      </c>
      <c r="E117" s="1792" t="s">
        <v>2314</v>
      </c>
      <c r="F117" s="1792" t="s">
        <v>2313</v>
      </c>
      <c r="G117" s="1792" t="s">
        <v>2315</v>
      </c>
      <c r="H117" s="1792" t="s">
        <v>2313</v>
      </c>
      <c r="I117" s="1792" t="s">
        <v>2315</v>
      </c>
    </row>
    <row r="118" spans="1:11" ht="24.75" customHeight="1">
      <c r="A118" s="2523" t="str">
        <f>项目基本情况!S2</f>
        <v>房地产</v>
      </c>
      <c r="B118" s="1792">
        <f>M18</f>
        <v>499.07</v>
      </c>
      <c r="C118" s="1792">
        <f>M19</f>
        <v>14543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2333</v>
      </c>
      <c r="I118" s="1792">
        <f ca="1">ROUND(IF(D32="楼面单价",C32,H118*10000/B118),0)</f>
        <v>46747</v>
      </c>
    </row>
    <row r="119" spans="1:11" ht="18.75" customHeight="1">
      <c r="A119" s="3074" t="s">
        <v>2316</v>
      </c>
      <c r="B119" s="3074"/>
      <c r="C119" s="3074"/>
      <c r="D119" s="3178" t="e">
        <f ca="1">NUMBERSTRING(INT(D118*10000),2)&amp;"元整"</f>
        <v>#REF!</v>
      </c>
      <c r="E119" s="3180"/>
      <c r="F119" s="3178" t="e">
        <f ca="1">NUMBERSTRING(INT(F118*10000),2)&amp;"元整"</f>
        <v>#REF!</v>
      </c>
      <c r="G119" s="3180"/>
      <c r="H119" s="3178" t="str">
        <f ca="1">NUMBERSTRING(INT(H118*10000),2)&amp;"元整"</f>
        <v>贰仟叁佰叁拾叁万元整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20" t="str">
        <f>IF(D120=0,"故，本次评估不存在"&amp;A120,"故，本次评估"&amp;A120&amp;"为人民币"&amp;D120&amp;"万元整。")</f>
        <v>故，本次评估不存在估价师知悉的法定优先受偿款</v>
      </c>
    </row>
    <row r="121" spans="1:11" ht="18.75" customHeight="1">
      <c r="A121" s="3182" t="s">
        <v>2316</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2333</v>
      </c>
      <c r="E122" s="3207"/>
      <c r="F122" s="3207"/>
      <c r="G122" s="3207"/>
      <c r="H122" s="3207"/>
      <c r="I122" s="3208"/>
    </row>
    <row r="123" spans="1:11" ht="18.75" customHeight="1">
      <c r="A123" s="3074" t="s">
        <v>2316</v>
      </c>
      <c r="B123" s="3074"/>
      <c r="C123" s="3074"/>
      <c r="D123" s="3178" t="str">
        <f ca="1">NUMBERSTRING(INT(D122*10000),2)&amp;"元整"</f>
        <v>贰仟叁佰叁拾叁万元整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4" t="s">
        <v>2316</v>
      </c>
      <c r="B125" s="3074"/>
      <c r="C125" s="3074"/>
      <c r="D125" s="3178" t="e">
        <f>NUMBERSTRING(INT(D124*10000),2)&amp;"元整"</f>
        <v>#VALUE!</v>
      </c>
      <c r="E125" s="3179"/>
      <c r="F125" s="3179"/>
      <c r="G125" s="3179"/>
      <c r="H125" s="3179"/>
      <c r="I125" s="3180"/>
    </row>
    <row r="126" spans="1:11" ht="18.75" customHeight="1">
      <c r="A126" s="3169" t="str">
        <f>IF(项目基本情况!B9="房地产市场价值","",MID(E111,3,LEN(E111)-2))</f>
        <v/>
      </c>
      <c r="B126" s="3169"/>
      <c r="C126" s="3169"/>
      <c r="D126" s="3206" t="str">
        <f>H111</f>
        <v>——</v>
      </c>
      <c r="E126" s="3207"/>
      <c r="F126" s="3207"/>
      <c r="G126" s="3207"/>
      <c r="H126" s="3207"/>
      <c r="I126" s="3208"/>
    </row>
    <row r="127" spans="1:11" ht="18.75" customHeight="1">
      <c r="A127" s="3074" t="s">
        <v>2316</v>
      </c>
      <c r="B127" s="3074"/>
      <c r="C127" s="3074"/>
      <c r="D127" s="3178" t="e">
        <f>NUMBERSTRING(INT(D126*10000),2)&amp;"元整"</f>
        <v>#VALUE!</v>
      </c>
      <c r="E127" s="3179"/>
      <c r="F127" s="3179"/>
      <c r="G127" s="3179"/>
      <c r="H127" s="3179"/>
      <c r="I127" s="3180"/>
    </row>
    <row r="128" spans="1:11" ht="21.75" customHeight="1">
      <c r="A128" s="3188" t="s">
        <v>2317</v>
      </c>
      <c r="B128" s="3188"/>
      <c r="C128" s="3188"/>
      <c r="D128" s="3188"/>
      <c r="E128" s="3188"/>
      <c r="F128" s="3188"/>
      <c r="G128" s="3188"/>
      <c r="H128" s="3188"/>
      <c r="I128" s="3188"/>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8"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workbookViewId="0">
      <selection activeCell="F8" sqref="F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c r="C1" s="241"/>
      <c r="D1" s="241"/>
      <c r="E1" s="241"/>
      <c r="F1" s="241"/>
      <c r="G1" s="1376">
        <f>MATCH(B1,'数据-取费表'!A6:A16,0)+5</f>
        <v>8</v>
      </c>
    </row>
    <row r="2" spans="1:9" s="243" customFormat="1" ht="18" customHeight="1">
      <c r="A2" s="244" t="s">
        <v>2326</v>
      </c>
      <c r="B2" s="245">
        <f ca="1">IF(D2="——",C52,C52-E2)</f>
        <v>264</v>
      </c>
      <c r="C2" s="242" t="s">
        <v>2327</v>
      </c>
      <c r="D2" s="2546" t="s">
        <v>70</v>
      </c>
      <c r="E2" s="1437" t="e">
        <f ca="1">SUMIF(INDIRECT("'"&amp;G2&amp;"'"&amp;"!A:A"),"承租人权益价值",INDIRECT("'"&amp;G2&amp;"'"&amp;"!c:c"))</f>
        <v>#REF!</v>
      </c>
      <c r="F2" s="2547" t="s">
        <v>2327</v>
      </c>
      <c r="G2" s="2548"/>
    </row>
    <row r="3" spans="1:9" s="243" customFormat="1" ht="18" customHeight="1" thickBot="1">
      <c r="A3" s="246" t="s">
        <v>2328</v>
      </c>
      <c r="B3" s="247">
        <f ca="1">ROUND(B2*10000/(IF(B1="",'数据-汇总表'!E3,INDIRECT("'数据-取费表'!k"&amp;$G$1))),0)</f>
        <v>5290</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6" t="s">
        <v>2336</v>
      </c>
      <c r="B6" s="258" t="s">
        <v>2337</v>
      </c>
      <c r="C6" s="259"/>
      <c r="D6" s="260"/>
      <c r="E6" s="261"/>
      <c r="F6" s="261"/>
      <c r="G6" s="262"/>
    </row>
    <row r="7" spans="1:9" s="257" customFormat="1" ht="13.5" customHeight="1">
      <c r="A7" s="946" t="s">
        <v>2338</v>
      </c>
      <c r="B7" s="258" t="s">
        <v>2339</v>
      </c>
      <c r="C7" s="263">
        <f>ROUND(C6*F7,0)</f>
        <v>0</v>
      </c>
      <c r="D7" s="263"/>
      <c r="E7" s="261"/>
      <c r="F7" s="264">
        <f>IF(项目基本情况!B8="出让",0,'数据-取费表'!B48+'数据-取费表'!B49)</f>
        <v>3.0499999999999999E-2</v>
      </c>
      <c r="G7" s="262"/>
    </row>
    <row r="8" spans="1:9" s="266" customFormat="1">
      <c r="A8" s="946" t="s">
        <v>2340</v>
      </c>
      <c r="B8" s="258" t="s">
        <v>2341</v>
      </c>
      <c r="C8" s="263">
        <f>IF(G8="已包含在土地购买价格中","0",IF(B1="",'数据-取费表'!B29,IF(G9="全部缴纳",C9+C10,H9)))</f>
        <v>0</v>
      </c>
      <c r="D8" s="265"/>
      <c r="E8" s="263"/>
      <c r="F8" s="264"/>
      <c r="G8" s="2549"/>
    </row>
    <row r="9" spans="1:9" s="257" customFormat="1" ht="13.5" customHeight="1">
      <c r="A9" s="947" t="s">
        <v>800</v>
      </c>
      <c r="B9" s="267" t="s">
        <v>2342</v>
      </c>
      <c r="C9" s="268">
        <f ca="1">ROUND(D9*E9/10000,0)</f>
        <v>0</v>
      </c>
      <c r="D9" s="1029">
        <f ca="1">IF(B1="",'数据-汇总表'!E5,IF(INDIRECT("'数据-取费表'!c"&amp;$G$1)="住宅",INDIRECT("'数据-取费表'!k"&amp;$G$1),0))</f>
        <v>0</v>
      </c>
      <c r="E9" s="268">
        <f>'数据-取费表'!B27</f>
        <v>430</v>
      </c>
      <c r="F9" s="264"/>
      <c r="G9" s="2550"/>
      <c r="H9" s="1387"/>
      <c r="I9" s="2551" t="s">
        <v>2343</v>
      </c>
    </row>
    <row r="10" spans="1:9" s="257" customFormat="1" ht="13.5" customHeight="1">
      <c r="A10" s="947" t="s">
        <v>801</v>
      </c>
      <c r="B10" s="267" t="s">
        <v>2344</v>
      </c>
      <c r="C10" s="268">
        <f ca="1">ROUND(D10*E10/10000,0)</f>
        <v>21</v>
      </c>
      <c r="D10" s="1029">
        <f ca="1">IF(B1="",'数据-汇总表'!E6,IF(INDIRECT("'数据-取费表'!c"&amp;$G$1)="住宅",INDIRECT("'数据-取费表'!s"&amp;$G$1),INDIRECT("'数据-取费表'!k"&amp;$G$1)+INDIRECT("'数据-取费表'!s"&amp;$G$1)))</f>
        <v>499.07</v>
      </c>
      <c r="E10" s="268">
        <f>'数据-取费表'!B28</f>
        <v>430</v>
      </c>
      <c r="F10" s="264"/>
      <c r="G10" s="269"/>
    </row>
    <row r="11" spans="1:9" s="257" customFormat="1" ht="13.5" hidden="1" customHeight="1">
      <c r="A11" s="270" t="s">
        <v>7</v>
      </c>
      <c r="B11" s="258" t="s">
        <v>2345</v>
      </c>
      <c r="C11" s="254"/>
      <c r="D11" s="1031"/>
      <c r="E11" s="261"/>
      <c r="F11" s="261"/>
      <c r="G11" s="262"/>
    </row>
    <row r="12" spans="1:9" s="257" customFormat="1" ht="13.5" hidden="1" customHeight="1">
      <c r="A12" s="270" t="s">
        <v>8</v>
      </c>
      <c r="B12" s="258" t="s">
        <v>2346</v>
      </c>
      <c r="C12" s="254">
        <v>0</v>
      </c>
      <c r="D12" s="1031"/>
      <c r="E12" s="271"/>
      <c r="F12" s="264">
        <v>3.0499999999999999E-2</v>
      </c>
      <c r="G12" s="262"/>
    </row>
    <row r="13" spans="1:9" s="257" customFormat="1" ht="13.5" hidden="1" customHeight="1">
      <c r="A13" s="270" t="s">
        <v>9</v>
      </c>
      <c r="B13" s="258" t="s">
        <v>2347</v>
      </c>
      <c r="C13" s="254"/>
      <c r="D13" s="1031"/>
      <c r="E13" s="261"/>
      <c r="F13" s="261"/>
      <c r="G13" s="262"/>
    </row>
    <row r="14" spans="1:9" s="257" customFormat="1" ht="13.5" hidden="1" customHeight="1">
      <c r="A14" s="270" t="s">
        <v>10</v>
      </c>
      <c r="B14" s="258" t="s">
        <v>2348</v>
      </c>
      <c r="C14" s="254"/>
      <c r="D14" s="1031"/>
      <c r="E14" s="261"/>
      <c r="F14" s="261"/>
      <c r="G14" s="262" t="s">
        <v>2349</v>
      </c>
    </row>
    <row r="15" spans="1:9" s="257" customFormat="1" ht="13.5" hidden="1" customHeight="1">
      <c r="A15" s="270" t="s">
        <v>11</v>
      </c>
      <c r="B15" s="258" t="s">
        <v>2350</v>
      </c>
      <c r="C15" s="263"/>
      <c r="D15" s="1031"/>
      <c r="E15" s="261"/>
      <c r="F15" s="261"/>
      <c r="G15" s="262" t="s">
        <v>2351</v>
      </c>
    </row>
    <row r="16" spans="1:9" s="257" customFormat="1" ht="13.5" hidden="1" customHeight="1">
      <c r="A16" s="270" t="s">
        <v>12</v>
      </c>
      <c r="B16" s="258" t="s">
        <v>2348</v>
      </c>
      <c r="C16" s="263"/>
      <c r="D16" s="1031"/>
      <c r="E16" s="261"/>
      <c r="F16" s="261"/>
      <c r="G16" s="262"/>
    </row>
    <row r="17" spans="1:7" s="257" customFormat="1" ht="13.5" hidden="1" customHeight="1">
      <c r="A17" s="270" t="s">
        <v>13</v>
      </c>
      <c r="B17" s="258" t="s">
        <v>2352</v>
      </c>
      <c r="C17" s="272"/>
      <c r="D17" s="1032"/>
      <c r="E17" s="272"/>
      <c r="F17" s="272"/>
      <c r="G17" s="262" t="s">
        <v>2351</v>
      </c>
    </row>
    <row r="18" spans="1:7" s="257" customFormat="1" ht="13.5" hidden="1" customHeight="1">
      <c r="A18" s="270" t="s">
        <v>14</v>
      </c>
      <c r="B18" s="258" t="s">
        <v>2353</v>
      </c>
      <c r="C18" s="263">
        <v>0</v>
      </c>
      <c r="D18" s="1031"/>
      <c r="E18" s="261"/>
      <c r="F18" s="264">
        <v>3.0499999999999999E-2</v>
      </c>
      <c r="G18" s="262" t="s">
        <v>2354</v>
      </c>
    </row>
    <row r="19" spans="1:7" s="266" customFormat="1" ht="13.5" customHeight="1">
      <c r="A19" s="298" t="s">
        <v>2355</v>
      </c>
      <c r="B19" s="253" t="s">
        <v>2356</v>
      </c>
      <c r="C19" s="254">
        <f ca="1">IF(G19="已包含在土地取得成本中","0",ROUND(D19*E19/10000,0))</f>
        <v>10</v>
      </c>
      <c r="D19" s="1033">
        <f ca="1">D9+D10</f>
        <v>499.07</v>
      </c>
      <c r="E19" s="254">
        <f>'数据-取费表'!B31</f>
        <v>200</v>
      </c>
      <c r="F19" s="274"/>
      <c r="G19" s="2549"/>
    </row>
    <row r="20" spans="1:7" s="257" customFormat="1" ht="13.5" customHeight="1">
      <c r="A20" s="298" t="s">
        <v>2357</v>
      </c>
      <c r="B20" s="253" t="s">
        <v>2358</v>
      </c>
      <c r="C20" s="275">
        <f ca="1">ROUND((C5+C19)*F20,0)</f>
        <v>0</v>
      </c>
      <c r="D20" s="275"/>
      <c r="E20" s="275"/>
      <c r="F20" s="276">
        <f>'数据-取费表'!B37</f>
        <v>0.03</v>
      </c>
      <c r="G20" s="277" t="s">
        <v>2359</v>
      </c>
    </row>
    <row r="21" spans="1:7" s="257" customFormat="1" ht="13.5" customHeight="1">
      <c r="A21" s="298" t="s">
        <v>2360</v>
      </c>
      <c r="B21" s="253" t="s">
        <v>2361</v>
      </c>
      <c r="C21" s="278">
        <f>F21</f>
        <v>0.03</v>
      </c>
      <c r="D21" s="279" t="s">
        <v>2362</v>
      </c>
      <c r="E21" s="275"/>
      <c r="F21" s="276">
        <f>'数据-取费表'!B38</f>
        <v>0.03</v>
      </c>
      <c r="G21" s="277" t="s">
        <v>2363</v>
      </c>
    </row>
    <row r="22" spans="1:7" s="257" customFormat="1" ht="13.5" customHeight="1">
      <c r="A22" s="298" t="s">
        <v>2364</v>
      </c>
      <c r="B22" s="253" t="s">
        <v>2365</v>
      </c>
      <c r="C22" s="1351">
        <f ca="1">ROUND(SUM(C23:C25),0)</f>
        <v>1</v>
      </c>
      <c r="D22" s="278">
        <f ca="1">C26</f>
        <v>1.4E-3</v>
      </c>
      <c r="E22" s="279" t="s">
        <v>2362</v>
      </c>
      <c r="F22" s="280">
        <f ca="1">'数据-取费表'!B40</f>
        <v>4.7500000000000001E-2</v>
      </c>
      <c r="G22" s="277" t="str">
        <f>IF('数据-取费表'!B22&lt;=1,"单利计息","复利计息")</f>
        <v>复利计息</v>
      </c>
    </row>
    <row r="23" spans="1:7" s="257" customFormat="1" ht="13.5" customHeight="1">
      <c r="A23" s="948" t="s">
        <v>2366</v>
      </c>
      <c r="B23" s="258" t="s">
        <v>2367</v>
      </c>
      <c r="C23" s="1352">
        <f ca="1">ROUND(IF('数据-取费表'!B22&lt;=1,C5*F22*'数据-取费表'!B23,C5*(POWER((1+F22),'数据-取费表'!B23)-1)),0)</f>
        <v>0</v>
      </c>
      <c r="D23" s="281"/>
      <c r="E23" s="281"/>
      <c r="F23" s="282"/>
      <c r="G23" s="283" t="s">
        <v>2368</v>
      </c>
    </row>
    <row r="24" spans="1:7" s="257" customFormat="1" ht="13.5" customHeight="1">
      <c r="A24" s="948" t="s">
        <v>2369</v>
      </c>
      <c r="B24" s="258" t="s">
        <v>2370</v>
      </c>
      <c r="C24" s="1352">
        <f ca="1">ROUND(IF('数据-取费表'!B22&lt;=1,C19*F22*('数据-取费表'!B19/2+'数据-取费表'!B21),C19*(POWER((1+F22),('数据-取费表'!B19/2+'数据-取费表'!B21))-1)),0)</f>
        <v>1</v>
      </c>
      <c r="D24" s="281"/>
      <c r="E24" s="281"/>
      <c r="F24" s="282"/>
      <c r="G24" s="283" t="s">
        <v>2371</v>
      </c>
    </row>
    <row r="25" spans="1:7" s="257" customFormat="1" ht="24">
      <c r="A25" s="948" t="s">
        <v>2372</v>
      </c>
      <c r="B25" s="258" t="s">
        <v>2373</v>
      </c>
      <c r="C25" s="1352">
        <f ca="1">ROUND(IF('数据-取费表'!B22&lt;=1,C20*F22*'数据-取费表'!B23/2,C20*(POWER((1+F22),'数据-取费表'!B23/2)-1)),0)</f>
        <v>0</v>
      </c>
      <c r="D25" s="281"/>
      <c r="E25" s="284"/>
      <c r="F25" s="282"/>
      <c r="G25" s="285" t="s">
        <v>2374</v>
      </c>
    </row>
    <row r="26" spans="1:7" s="257" customFormat="1">
      <c r="A26" s="948"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3</v>
      </c>
      <c r="D27" s="278">
        <f ca="1">C29</f>
        <v>8.6999999999999994E-3</v>
      </c>
      <c r="E27" s="279" t="s">
        <v>2378</v>
      </c>
      <c r="F27" s="289">
        <f ca="1">IF(B1="",'数据-取费表'!Q16,INDIRECT("'数据-取费表'!q"&amp;$G$1))</f>
        <v>0.28999999999999998</v>
      </c>
      <c r="G27" s="290" t="s">
        <v>2379</v>
      </c>
    </row>
    <row r="28" spans="1:7" s="257" customFormat="1" ht="13.5" customHeight="1">
      <c r="A28" s="948" t="s">
        <v>791</v>
      </c>
      <c r="B28" s="291" t="s">
        <v>2380</v>
      </c>
      <c r="C28" s="292">
        <f ca="1">ROUND((C5+C19+C20)*F27*'数据-取费表'!B21/'数据-取费表'!B20,0)</f>
        <v>3</v>
      </c>
      <c r="D28" s="278"/>
      <c r="E28" s="279"/>
      <c r="F28" s="289"/>
      <c r="G28" s="290"/>
    </row>
    <row r="29" spans="1:7" s="257" customFormat="1" ht="13.5" customHeight="1">
      <c r="A29" s="948" t="s">
        <v>792</v>
      </c>
      <c r="B29" s="291" t="s">
        <v>2381</v>
      </c>
      <c r="C29" s="281">
        <f ca="1">ROUND(C21*F27*'数据-取费表'!B21/'数据-取费表'!B20,4)</f>
        <v>8.6999999999999994E-3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15</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205</v>
      </c>
      <c r="D33" s="275"/>
      <c r="E33" s="255"/>
      <c r="F33" s="284"/>
      <c r="G33" s="277"/>
    </row>
    <row r="34" spans="1:7" s="301" customFormat="1" ht="13.5" customHeight="1">
      <c r="A34" s="948" t="s">
        <v>791</v>
      </c>
      <c r="B34" s="258" t="s">
        <v>2389</v>
      </c>
      <c r="C34" s="263">
        <f ca="1">IF(B1="",IF(F34=100%,'数据-取费表'!M16,'数据-取费表'!O16),IF(F34=100%,INDIRECT("'数据-取费表'!m"&amp;$G$1)+INDIRECT("'数据-取费表'!t"&amp;$G$1),INDIRECT("'数据-取费表'!o"&amp;$G$1)+INDIRECT("'数据-取费表'!aq"&amp;$G$1)))</f>
        <v>183</v>
      </c>
      <c r="D34" s="260"/>
      <c r="E34" s="263"/>
      <c r="F34" s="300">
        <f ca="1">IF('数据-取费表'!B24=0,1,IF(B1="",'数据-取费表'!N16,INDIRECT("'数据-取费表'!n"&amp;$G$1)))</f>
        <v>1</v>
      </c>
      <c r="G34" s="262" t="s">
        <v>2390</v>
      </c>
    </row>
    <row r="35" spans="1:7" ht="13.5" customHeight="1">
      <c r="A35" s="948" t="s">
        <v>796</v>
      </c>
      <c r="B35" s="258" t="s">
        <v>2391</v>
      </c>
      <c r="C35" s="263">
        <f ca="1">ROUND(C34*F35,0)</f>
        <v>9</v>
      </c>
      <c r="D35" s="263"/>
      <c r="E35" s="263"/>
      <c r="F35" s="302">
        <f>'数据-取费表'!B33</f>
        <v>0.05</v>
      </c>
      <c r="G35" s="262" t="s">
        <v>2392</v>
      </c>
    </row>
    <row r="36" spans="1:7" ht="24">
      <c r="A36" s="948"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8" t="s">
        <v>798</v>
      </c>
      <c r="B37" s="258" t="s">
        <v>2395</v>
      </c>
      <c r="C37" s="292">
        <f ca="1">ROUND(E37*D37*F34/10000,0)</f>
        <v>10</v>
      </c>
      <c r="D37" s="260">
        <f ca="1">D19</f>
        <v>499.07</v>
      </c>
      <c r="E37" s="292">
        <f>'数据-取费表'!B35</f>
        <v>200</v>
      </c>
      <c r="F37" s="302"/>
      <c r="G37" s="304" t="s">
        <v>2396</v>
      </c>
    </row>
    <row r="38" spans="1:7" ht="13.5" customHeight="1">
      <c r="A38" s="948"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6</v>
      </c>
      <c r="D39" s="275"/>
      <c r="E39" s="275"/>
      <c r="F39" s="276"/>
      <c r="G39" s="277" t="s">
        <v>2400</v>
      </c>
    </row>
    <row r="40" spans="1:7" s="257" customFormat="1" ht="13.5" customHeight="1">
      <c r="A40" s="298" t="s">
        <v>2401</v>
      </c>
      <c r="B40" s="253" t="s">
        <v>2402</v>
      </c>
      <c r="C40" s="1725">
        <f>F21</f>
        <v>0.03</v>
      </c>
      <c r="D40" s="279" t="s">
        <v>2403</v>
      </c>
      <c r="E40" s="275"/>
      <c r="F40" s="276"/>
      <c r="G40" s="277" t="s">
        <v>2404</v>
      </c>
    </row>
    <row r="41" spans="1:7" s="257" customFormat="1" ht="13.5" customHeight="1">
      <c r="A41" s="298" t="s">
        <v>2405</v>
      </c>
      <c r="B41" s="253" t="s">
        <v>2406</v>
      </c>
      <c r="C41" s="275">
        <f ca="1">ROUND(SUM(C42:C43),0)</f>
        <v>10</v>
      </c>
      <c r="D41" s="278">
        <f ca="1">C44</f>
        <v>1.4E-3</v>
      </c>
      <c r="E41" s="279" t="s">
        <v>2403</v>
      </c>
      <c r="F41" s="280"/>
      <c r="G41" s="277" t="str">
        <f>IF('数据-取费表'!B22&lt;=1,"单利计息","复利计息")</f>
        <v>复利计息</v>
      </c>
    </row>
    <row r="42" spans="1:7" ht="13.5" customHeight="1">
      <c r="A42" s="948" t="s">
        <v>791</v>
      </c>
      <c r="B42" s="258" t="s">
        <v>2407</v>
      </c>
      <c r="C42" s="281">
        <f ca="1">ROUND(IF('数据-取费表'!B22&lt;=1,C33*F22*'数据-取费表'!B21/2,C33*(POWER((1+F22),'数据-取费表'!B21/2)-1)),0)</f>
        <v>10</v>
      </c>
      <c r="D42" s="281"/>
      <c r="E42" s="281"/>
      <c r="F42" s="282"/>
      <c r="G42" s="3220" t="s">
        <v>2408</v>
      </c>
    </row>
    <row r="43" spans="1:7" ht="13.5" customHeight="1">
      <c r="A43" s="948" t="s">
        <v>792</v>
      </c>
      <c r="B43" s="258" t="s">
        <v>2409</v>
      </c>
      <c r="C43" s="281">
        <f ca="1">ROUND(IF('数据-取费表'!B22&lt;=1,C39*F22*'数据-取费表'!B21/2,C39*(POWER((1+F22),'数据-取费表'!B21/2)-1)),0)</f>
        <v>0</v>
      </c>
      <c r="D43" s="281"/>
      <c r="E43" s="281"/>
      <c r="F43" s="282"/>
      <c r="G43" s="3221"/>
    </row>
    <row r="44" spans="1:7" ht="13.5" customHeight="1">
      <c r="A44" s="948" t="s">
        <v>793</v>
      </c>
      <c r="B44" s="258" t="s">
        <v>2410</v>
      </c>
      <c r="C44" s="281">
        <f ca="1">ROUND(IF('数据-取费表'!B22&lt;=1,C40*F22*'数据-取费表'!B21/2,C40*(POWER((1+F22),'数据-取费表'!B21/2)-1)),4)</f>
        <v>1.4E-3</v>
      </c>
      <c r="D44" s="281"/>
      <c r="E44" s="281"/>
      <c r="F44" s="282"/>
      <c r="G44" s="3222"/>
    </row>
    <row r="45" spans="1:7" s="257" customFormat="1" ht="13.5" customHeight="1">
      <c r="A45" s="298" t="s">
        <v>2411</v>
      </c>
      <c r="B45" s="287" t="s">
        <v>2377</v>
      </c>
      <c r="C45" s="288">
        <f ca="1">C46</f>
        <v>61</v>
      </c>
      <c r="D45" s="278">
        <f ca="1">C47</f>
        <v>8.6999999999999994E-3</v>
      </c>
      <c r="E45" s="279" t="s">
        <v>2403</v>
      </c>
      <c r="F45" s="289"/>
      <c r="G45" s="290" t="s">
        <v>2412</v>
      </c>
    </row>
    <row r="46" spans="1:7" s="257" customFormat="1" ht="13.5" customHeight="1">
      <c r="A46" s="948" t="s">
        <v>791</v>
      </c>
      <c r="B46" s="291" t="s">
        <v>2413</v>
      </c>
      <c r="C46" s="292">
        <f ca="1">ROUND((C33+C39)*F27,0)</f>
        <v>61</v>
      </c>
      <c r="D46" s="306"/>
      <c r="E46" s="279"/>
      <c r="F46" s="289"/>
      <c r="G46" s="290"/>
    </row>
    <row r="47" spans="1:7" s="257" customFormat="1" ht="13.5" customHeight="1">
      <c r="A47" s="948" t="s">
        <v>792</v>
      </c>
      <c r="B47" s="291" t="s">
        <v>2414</v>
      </c>
      <c r="C47" s="281">
        <f ca="1">ROUND(C40*F27,4)</f>
        <v>8.6999999999999994E-3</v>
      </c>
      <c r="D47" s="306"/>
      <c r="E47" s="279"/>
      <c r="F47" s="289"/>
      <c r="G47" s="290"/>
    </row>
    <row r="48" spans="1:7" s="257" customFormat="1" ht="13.5" customHeight="1">
      <c r="A48" s="298" t="s">
        <v>2376</v>
      </c>
      <c r="B48" s="253" t="s">
        <v>2415</v>
      </c>
      <c r="C48" s="1725">
        <f>ROUND(F30/(1+'数据-取费表'!C42),4)</f>
        <v>5.33E-2</v>
      </c>
      <c r="D48" s="279" t="s">
        <v>2403</v>
      </c>
      <c r="E48" s="275"/>
      <c r="F48" s="280"/>
      <c r="G48" s="277" t="s">
        <v>2416</v>
      </c>
    </row>
    <row r="49" spans="1:7" ht="16.5" customHeight="1">
      <c r="A49" s="298" t="s">
        <v>2382</v>
      </c>
      <c r="B49" s="253" t="s">
        <v>2417</v>
      </c>
      <c r="C49" s="275">
        <f ca="1">ROUND((C33+C39+C41+C45)/(1-C40-D41-D45-C48),0)</f>
        <v>311</v>
      </c>
      <c r="D49" s="275"/>
      <c r="E49" s="275"/>
      <c r="F49" s="307"/>
      <c r="G49" s="277" t="s">
        <v>2418</v>
      </c>
    </row>
    <row r="50" spans="1:7" s="301" customFormat="1" ht="24">
      <c r="A50" s="298" t="s">
        <v>2419</v>
      </c>
      <c r="B50" s="253" t="s">
        <v>2420</v>
      </c>
      <c r="C50" s="275"/>
      <c r="D50" s="275"/>
      <c r="E50" s="275"/>
      <c r="F50" s="307">
        <f>IF('数据-取费表'!B24=0,'数据-取费表'!N16,1)</f>
        <v>0.8</v>
      </c>
      <c r="G50" s="290" t="s">
        <v>2421</v>
      </c>
    </row>
    <row r="51" spans="1:7" ht="16.5" customHeight="1">
      <c r="A51" s="298" t="s">
        <v>2422</v>
      </c>
      <c r="B51" s="253" t="s">
        <v>2423</v>
      </c>
      <c r="C51" s="275">
        <f ca="1">ROUND(C49*F50,0)</f>
        <v>249</v>
      </c>
      <c r="D51" s="275"/>
      <c r="E51" s="275"/>
      <c r="F51" s="307"/>
      <c r="G51" s="277" t="s">
        <v>2424</v>
      </c>
    </row>
    <row r="52" spans="1:7" s="251" customFormat="1" ht="16.8" thickBot="1">
      <c r="A52" s="308" t="s">
        <v>2425</v>
      </c>
      <c r="B52" s="309"/>
      <c r="C52" s="310">
        <f ca="1">C31+C51</f>
        <v>264</v>
      </c>
      <c r="D52" s="309"/>
      <c r="E52" s="309"/>
      <c r="F52" s="309"/>
      <c r="G52" s="311"/>
    </row>
    <row r="55" spans="1:7" ht="15">
      <c r="B55" s="313" t="s">
        <v>2426</v>
      </c>
      <c r="C55" s="314"/>
    </row>
    <row r="56" spans="1:7">
      <c r="B56" s="316" t="s">
        <v>1507</v>
      </c>
      <c r="C56" s="318">
        <f ca="1">1-C57</f>
        <v>5.7000000000000051E-2</v>
      </c>
    </row>
    <row r="57" spans="1:7">
      <c r="B57" s="316" t="s">
        <v>1508</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33"/>
      <c r="C1" s="2552" t="s">
        <v>2427</v>
      </c>
      <c r="D1" s="241"/>
      <c r="E1" s="241"/>
      <c r="F1" s="241"/>
      <c r="G1" s="1376">
        <f>MATCH(B1,'数据-取费表'!A6:A16,0)+5</f>
        <v>8</v>
      </c>
      <c r="H1" s="1279" t="str">
        <f>IF(ISERROR(FIND("住宅",B1)),"非住宅","住宅")</f>
        <v>非住宅</v>
      </c>
    </row>
    <row r="2" spans="1:8" s="243" customFormat="1" ht="18" customHeight="1">
      <c r="A2" s="244" t="s">
        <v>2326</v>
      </c>
      <c r="B2" s="245">
        <f ca="1">ROUND(IF(D2="——",C52/10000,C52/10000-E2),0)</f>
        <v>299</v>
      </c>
      <c r="C2" s="242" t="s">
        <v>2327</v>
      </c>
      <c r="D2" s="2546" t="s">
        <v>70</v>
      </c>
      <c r="E2" s="1437" t="e">
        <f ca="1">SUMIF(INDIRECT("'"&amp;G2&amp;"'"&amp;"!A:A"),"承租人权益价值",INDIRECT("'"&amp;G2&amp;"'"&amp;"!c:c"))</f>
        <v>#REF!</v>
      </c>
      <c r="F2" s="2547" t="s">
        <v>2327</v>
      </c>
      <c r="G2" s="2548"/>
    </row>
    <row r="3" spans="1:8" s="243" customFormat="1" ht="18" customHeight="1" thickBot="1">
      <c r="A3" s="246" t="s">
        <v>2328</v>
      </c>
      <c r="B3" s="247">
        <f ca="1">ROUND(B2*10000/(IF(B1="",'数据-汇总表'!E3,INDIRECT("'数据-取费表'!k"&amp;$G$1))),0)</f>
        <v>5991</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214600</v>
      </c>
      <c r="D5" s="254" t="s">
        <v>2333</v>
      </c>
      <c r="E5" s="255" t="s">
        <v>2334</v>
      </c>
      <c r="F5" s="255" t="s">
        <v>2335</v>
      </c>
      <c r="G5" s="256"/>
    </row>
    <row r="6" spans="1:8" s="257" customFormat="1" ht="13.5" customHeight="1">
      <c r="A6" s="946" t="s">
        <v>2336</v>
      </c>
      <c r="B6" s="258" t="s">
        <v>2337</v>
      </c>
      <c r="C6" s="259"/>
      <c r="D6" s="260"/>
      <c r="E6" s="261"/>
      <c r="F6" s="261"/>
      <c r="G6" s="262"/>
    </row>
    <row r="7" spans="1:8" s="257" customFormat="1" ht="13.5" customHeight="1">
      <c r="A7" s="946" t="s">
        <v>2338</v>
      </c>
      <c r="B7" s="258" t="s">
        <v>2339</v>
      </c>
      <c r="C7" s="263">
        <f>ROUND(C6*F7,0)</f>
        <v>0</v>
      </c>
      <c r="D7" s="263"/>
      <c r="E7" s="261"/>
      <c r="F7" s="264">
        <f>IF(项目基本情况!B8="出让",0,'数据-取费表'!B48+'数据-取费表'!B49)</f>
        <v>3.0499999999999999E-2</v>
      </c>
      <c r="G7" s="262"/>
    </row>
    <row r="8" spans="1:8" s="266" customFormat="1">
      <c r="A8" s="946" t="s">
        <v>2340</v>
      </c>
      <c r="B8" s="258" t="s">
        <v>2341</v>
      </c>
      <c r="C8" s="263">
        <f ca="1">IF(G8="已包含在土地购买价格中",0,C9+C10)</f>
        <v>214600</v>
      </c>
      <c r="D8" s="265"/>
      <c r="E8" s="263"/>
      <c r="F8" s="264"/>
      <c r="G8" s="2549"/>
    </row>
    <row r="9" spans="1:8" s="257" customFormat="1" ht="13.5" customHeight="1">
      <c r="A9" s="947" t="s">
        <v>800</v>
      </c>
      <c r="B9" s="267" t="s">
        <v>2342</v>
      </c>
      <c r="C9" s="268">
        <f ca="1">ROUND(D9*E9,0)</f>
        <v>0</v>
      </c>
      <c r="D9" s="1029">
        <f ca="1">IF(B1="",'数据-汇总表'!E5,IF(INDIRECT("'数据-取费表'!c"&amp;$G$1)="住宅",INDIRECT("'数据-取费表'!k"&amp;$G$1),0))</f>
        <v>0</v>
      </c>
      <c r="E9" s="268">
        <f>'数据-取费表'!B27</f>
        <v>430</v>
      </c>
      <c r="F9" s="264"/>
      <c r="G9" s="269"/>
    </row>
    <row r="10" spans="1:8" s="257" customFormat="1" ht="13.5" customHeight="1">
      <c r="A10" s="947" t="s">
        <v>801</v>
      </c>
      <c r="B10" s="267" t="s">
        <v>2344</v>
      </c>
      <c r="C10" s="268">
        <f ca="1">ROUND(D10*E10,0)</f>
        <v>214600</v>
      </c>
      <c r="D10" s="1029">
        <f ca="1">IF(B1="",'数据-汇总表'!E6,IF(INDIRECT("'数据-取费表'!c"&amp;$G$1)="住宅",INDIRECT("'数据-取费表'!s"&amp;$G$1),INDIRECT("'数据-取费表'!k"&amp;$G$1)+INDIRECT("'数据-取费表'!s"&amp;$G$1)))</f>
        <v>499.07</v>
      </c>
      <c r="E10" s="268">
        <f>'数据-取费表'!B28</f>
        <v>430</v>
      </c>
      <c r="F10" s="264"/>
      <c r="G10" s="269"/>
    </row>
    <row r="11" spans="1:8" s="257" customFormat="1" ht="13.5" hidden="1" customHeight="1">
      <c r="A11" s="270" t="s">
        <v>7</v>
      </c>
      <c r="B11" s="258" t="s">
        <v>2345</v>
      </c>
      <c r="C11" s="254"/>
      <c r="D11" s="1031"/>
      <c r="E11" s="261"/>
      <c r="F11" s="261"/>
      <c r="G11" s="262"/>
    </row>
    <row r="12" spans="1:8" s="257" customFormat="1" ht="13.5" hidden="1" customHeight="1">
      <c r="A12" s="270" t="s">
        <v>8</v>
      </c>
      <c r="B12" s="258" t="s">
        <v>2428</v>
      </c>
      <c r="C12" s="254">
        <v>0</v>
      </c>
      <c r="D12" s="1031"/>
      <c r="E12" s="271"/>
      <c r="F12" s="264">
        <v>3.0499999999999999E-2</v>
      </c>
      <c r="G12" s="262"/>
    </row>
    <row r="13" spans="1:8" s="257" customFormat="1" ht="13.5" hidden="1" customHeight="1">
      <c r="A13" s="270" t="s">
        <v>9</v>
      </c>
      <c r="B13" s="258" t="s">
        <v>2429</v>
      </c>
      <c r="C13" s="254"/>
      <c r="D13" s="1031"/>
      <c r="E13" s="261"/>
      <c r="F13" s="261"/>
      <c r="G13" s="262"/>
    </row>
    <row r="14" spans="1:8" s="257" customFormat="1" ht="13.5" hidden="1" customHeight="1">
      <c r="A14" s="270" t="s">
        <v>10</v>
      </c>
      <c r="B14" s="258" t="s">
        <v>2341</v>
      </c>
      <c r="C14" s="254"/>
      <c r="D14" s="1031"/>
      <c r="E14" s="261"/>
      <c r="F14" s="261"/>
      <c r="G14" s="262" t="s">
        <v>2430</v>
      </c>
    </row>
    <row r="15" spans="1:8" s="257" customFormat="1" ht="13.5" hidden="1" customHeight="1">
      <c r="A15" s="270" t="s">
        <v>11</v>
      </c>
      <c r="B15" s="258" t="s">
        <v>2431</v>
      </c>
      <c r="C15" s="263"/>
      <c r="D15" s="1031"/>
      <c r="E15" s="261"/>
      <c r="F15" s="261"/>
      <c r="G15" s="262" t="s">
        <v>2432</v>
      </c>
    </row>
    <row r="16" spans="1:8" s="257" customFormat="1" ht="13.5" hidden="1" customHeight="1">
      <c r="A16" s="270" t="s">
        <v>12</v>
      </c>
      <c r="B16" s="258" t="s">
        <v>2341</v>
      </c>
      <c r="C16" s="263"/>
      <c r="D16" s="1031"/>
      <c r="E16" s="261"/>
      <c r="F16" s="261"/>
      <c r="G16" s="262"/>
    </row>
    <row r="17" spans="1:7" s="257" customFormat="1" ht="13.5" hidden="1" customHeight="1">
      <c r="A17" s="270" t="s">
        <v>13</v>
      </c>
      <c r="B17" s="258" t="s">
        <v>2433</v>
      </c>
      <c r="C17" s="272"/>
      <c r="D17" s="1032"/>
      <c r="E17" s="272"/>
      <c r="F17" s="272"/>
      <c r="G17" s="262" t="s">
        <v>2432</v>
      </c>
    </row>
    <row r="18" spans="1:7" s="257" customFormat="1" ht="13.5" hidden="1" customHeight="1">
      <c r="A18" s="270" t="s">
        <v>14</v>
      </c>
      <c r="B18" s="258" t="s">
        <v>2434</v>
      </c>
      <c r="C18" s="263">
        <v>0</v>
      </c>
      <c r="D18" s="1031"/>
      <c r="E18" s="261"/>
      <c r="F18" s="264">
        <v>3.0499999999999999E-2</v>
      </c>
      <c r="G18" s="262" t="s">
        <v>2435</v>
      </c>
    </row>
    <row r="19" spans="1:7" s="266" customFormat="1" ht="13.5" customHeight="1">
      <c r="A19" s="298" t="s">
        <v>2436</v>
      </c>
      <c r="B19" s="253" t="s">
        <v>2437</v>
      </c>
      <c r="C19" s="254">
        <f ca="1">IF(G19="已包含在土地取得成本中","0",ROUND(D19*E19,0))</f>
        <v>99814</v>
      </c>
      <c r="D19" s="1033">
        <f ca="1">D9+D10</f>
        <v>499.07</v>
      </c>
      <c r="E19" s="254">
        <f>'数据-取费表'!B31</f>
        <v>200</v>
      </c>
      <c r="F19" s="274"/>
      <c r="G19" s="2549"/>
    </row>
    <row r="20" spans="1:7" s="257" customFormat="1" ht="13.5" customHeight="1">
      <c r="A20" s="298" t="s">
        <v>2438</v>
      </c>
      <c r="B20" s="253" t="s">
        <v>2439</v>
      </c>
      <c r="C20" s="275">
        <f ca="1">ROUND((C5+C19)*F20,0)</f>
        <v>9432</v>
      </c>
      <c r="D20" s="275"/>
      <c r="E20" s="275"/>
      <c r="F20" s="276">
        <f>'数据-取费表'!B37</f>
        <v>0.03</v>
      </c>
      <c r="G20" s="277" t="s">
        <v>2440</v>
      </c>
    </row>
    <row r="21" spans="1:7" s="257" customFormat="1" ht="13.5" customHeight="1">
      <c r="A21" s="298" t="s">
        <v>2441</v>
      </c>
      <c r="B21" s="253" t="s">
        <v>2442</v>
      </c>
      <c r="C21" s="278">
        <f>F21</f>
        <v>0.03</v>
      </c>
      <c r="D21" s="279" t="s">
        <v>2443</v>
      </c>
      <c r="E21" s="275"/>
      <c r="F21" s="276">
        <f>'数据-取费表'!B38</f>
        <v>0.03</v>
      </c>
      <c r="G21" s="277" t="s">
        <v>2444</v>
      </c>
    </row>
    <row r="22" spans="1:7" s="257" customFormat="1" ht="13.5" customHeight="1">
      <c r="A22" s="298" t="s">
        <v>2445</v>
      </c>
      <c r="B22" s="253" t="s">
        <v>2446</v>
      </c>
      <c r="C22" s="1377">
        <f ca="1">ROUND(SUM(C23:C25),0)</f>
        <v>31027</v>
      </c>
      <c r="D22" s="278">
        <f ca="1">C26</f>
        <v>1.4E-3</v>
      </c>
      <c r="E22" s="279" t="s">
        <v>2443</v>
      </c>
      <c r="F22" s="280">
        <f ca="1">'数据-取费表'!B40</f>
        <v>4.7500000000000001E-2</v>
      </c>
      <c r="G22" s="277" t="str">
        <f>IF('数据-取费表'!B22&lt;=1,"单利计息","复利计息")</f>
        <v>复利计息</v>
      </c>
    </row>
    <row r="23" spans="1:7" s="257" customFormat="1" ht="13.5" customHeight="1">
      <c r="A23" s="948" t="s">
        <v>2336</v>
      </c>
      <c r="B23" s="258" t="s">
        <v>2447</v>
      </c>
      <c r="C23" s="1378">
        <f ca="1">ROUND(IF('数据-取费表'!B22&lt;=1,C5*F22*'数据-取费表'!B22,C5*(POWER((1+F22),'数据-取费表'!B22)-1)),0)</f>
        <v>20871</v>
      </c>
      <c r="D23" s="281"/>
      <c r="E23" s="281"/>
      <c r="F23" s="282"/>
      <c r="G23" s="283" t="s">
        <v>2448</v>
      </c>
    </row>
    <row r="24" spans="1:7" s="257" customFormat="1" ht="13.5" customHeight="1">
      <c r="A24" s="948" t="s">
        <v>2338</v>
      </c>
      <c r="B24" s="258" t="s">
        <v>2449</v>
      </c>
      <c r="C24" s="1378">
        <f ca="1">ROUND(IF('数据-取费表'!B22&lt;=1,C19*F22*('数据-取费表'!B19/2+'数据-取费表'!B20),C19*(POWER((1+F22),('数据-取费表'!B19/2+'数据-取费表'!B20))-1)),0)</f>
        <v>9708</v>
      </c>
      <c r="D24" s="281"/>
      <c r="E24" s="281"/>
      <c r="F24" s="282"/>
      <c r="G24" s="283" t="s">
        <v>2450</v>
      </c>
    </row>
    <row r="25" spans="1:7" s="257" customFormat="1" ht="24">
      <c r="A25" s="948" t="s">
        <v>2340</v>
      </c>
      <c r="B25" s="258" t="s">
        <v>2451</v>
      </c>
      <c r="C25" s="1378">
        <f ca="1">ROUND(IF('数据-取费表'!B22&lt;=1,C20*F22*'数据-取费表'!B22/2,C20*(POWER((1+F22),'数据-取费表'!B22/2)-1)),0)</f>
        <v>448</v>
      </c>
      <c r="D25" s="281"/>
      <c r="E25" s="284"/>
      <c r="F25" s="282"/>
      <c r="G25" s="285" t="s">
        <v>2452</v>
      </c>
    </row>
    <row r="26" spans="1:7" s="257" customFormat="1">
      <c r="A26" s="948" t="s">
        <v>795</v>
      </c>
      <c r="B26" s="258" t="s">
        <v>2375</v>
      </c>
      <c r="C26" s="281">
        <f ca="1">ROUND(IF('数据-取费表'!B22&lt;=1,F21*F22*'数据-取费表'!B22/2,F21*(POWER((1+F22),'数据-取费表'!B22/2)-1)),4)</f>
        <v>1.4E-3</v>
      </c>
      <c r="D26" s="281"/>
      <c r="E26" s="284"/>
      <c r="F26" s="282"/>
      <c r="G26" s="286"/>
    </row>
    <row r="27" spans="1:7" s="257" customFormat="1" ht="26.4">
      <c r="A27" s="298" t="s">
        <v>2376</v>
      </c>
      <c r="B27" s="287" t="s">
        <v>2377</v>
      </c>
      <c r="C27" s="288">
        <f ca="1">C28</f>
        <v>93915</v>
      </c>
      <c r="D27" s="278">
        <f ca="1">C29</f>
        <v>8.6999999999999994E-3</v>
      </c>
      <c r="E27" s="279" t="s">
        <v>2378</v>
      </c>
      <c r="F27" s="289">
        <f ca="1">IF(B1="",'数据-取费表'!Q16,INDIRECT("'数据-取费表'!q"&amp;$G$1))</f>
        <v>0.28999999999999998</v>
      </c>
      <c r="G27" s="290" t="s">
        <v>2379</v>
      </c>
    </row>
    <row r="28" spans="1:7" s="257" customFormat="1" ht="13.5" customHeight="1">
      <c r="A28" s="948" t="s">
        <v>791</v>
      </c>
      <c r="B28" s="291" t="s">
        <v>2380</v>
      </c>
      <c r="C28" s="292">
        <f ca="1">ROUND((C5+C19+C20)*F27,0)</f>
        <v>93915</v>
      </c>
      <c r="D28" s="278"/>
      <c r="E28" s="279"/>
      <c r="F28" s="289"/>
      <c r="G28" s="290"/>
    </row>
    <row r="29" spans="1:7" s="257" customFormat="1" ht="13.5" customHeight="1">
      <c r="A29" s="948" t="s">
        <v>792</v>
      </c>
      <c r="B29" s="291" t="s">
        <v>2381</v>
      </c>
      <c r="C29" s="281">
        <f ca="1">ROUND(C21*F27,4)</f>
        <v>8.6999999999999994E-3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495023</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2048695</v>
      </c>
      <c r="D33" s="275"/>
      <c r="E33" s="255"/>
      <c r="F33" s="284"/>
      <c r="G33" s="277"/>
    </row>
    <row r="34" spans="1:7" s="301" customFormat="1" ht="13.5" customHeight="1">
      <c r="A34" s="948" t="s">
        <v>791</v>
      </c>
      <c r="B34" s="258" t="s">
        <v>2389</v>
      </c>
      <c r="C34" s="263">
        <f ca="1">ROUND(IF(B1="",SUMPRODUCT('数据-取费表'!K6:K14,'数据-取费表'!L6:L14),INDIRECT("'数据-取费表'!l"&amp;$G$1)*INDIRECT("'数据-取费表'!k"&amp;$G$1)+'数据-取费表'!L14*INDIRECT("'数据-取费表'!S"&amp;$G$1)),0)</f>
        <v>1829935</v>
      </c>
      <c r="D34" s="260"/>
      <c r="E34" s="263"/>
      <c r="F34" s="300"/>
      <c r="G34" s="262"/>
    </row>
    <row r="35" spans="1:7" ht="13.5" customHeight="1">
      <c r="A35" s="948" t="s">
        <v>796</v>
      </c>
      <c r="B35" s="258" t="s">
        <v>2391</v>
      </c>
      <c r="C35" s="263">
        <f ca="1">ROUND(C34*F35,0)</f>
        <v>91497</v>
      </c>
      <c r="D35" s="263"/>
      <c r="E35" s="263"/>
      <c r="F35" s="302">
        <f>'数据-取费表'!B33</f>
        <v>0.05</v>
      </c>
      <c r="G35" s="262" t="s">
        <v>2392</v>
      </c>
    </row>
    <row r="36" spans="1:7" ht="24">
      <c r="A36" s="948"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8" t="s">
        <v>798</v>
      </c>
      <c r="B37" s="258" t="s">
        <v>2395</v>
      </c>
      <c r="C37" s="292">
        <f ca="1">ROUND(E37*D37,0)</f>
        <v>99814</v>
      </c>
      <c r="D37" s="260">
        <f ca="1">D19</f>
        <v>499.07</v>
      </c>
      <c r="E37" s="292">
        <f>'数据-取费表'!B35</f>
        <v>200</v>
      </c>
      <c r="F37" s="302"/>
      <c r="G37" s="304"/>
    </row>
    <row r="38" spans="1:7" ht="13.5" customHeight="1">
      <c r="A38" s="948" t="s">
        <v>799</v>
      </c>
      <c r="B38" s="258" t="s">
        <v>2397</v>
      </c>
      <c r="C38" s="263">
        <f ca="1">ROUND(C34*F38,0)</f>
        <v>27449</v>
      </c>
      <c r="D38" s="263"/>
      <c r="E38" s="263"/>
      <c r="F38" s="302">
        <f>'数据-取费表'!B36</f>
        <v>1.4999999999999999E-2</v>
      </c>
      <c r="G38" s="262" t="s">
        <v>2392</v>
      </c>
    </row>
    <row r="39" spans="1:7" s="257" customFormat="1" ht="13.5" customHeight="1">
      <c r="A39" s="298" t="s">
        <v>2398</v>
      </c>
      <c r="B39" s="253" t="s">
        <v>2399</v>
      </c>
      <c r="C39" s="275">
        <f ca="1">ROUND(C33*F20,0)</f>
        <v>61461</v>
      </c>
      <c r="D39" s="275"/>
      <c r="E39" s="275"/>
      <c r="F39" s="276"/>
      <c r="G39" s="277" t="s">
        <v>2400</v>
      </c>
    </row>
    <row r="40" spans="1:7" s="257" customFormat="1" ht="13.5" customHeight="1">
      <c r="A40" s="298" t="s">
        <v>2401</v>
      </c>
      <c r="B40" s="253" t="s">
        <v>2402</v>
      </c>
      <c r="C40" s="1725">
        <f>F21</f>
        <v>0.03</v>
      </c>
      <c r="D40" s="279" t="s">
        <v>2403</v>
      </c>
      <c r="E40" s="275"/>
      <c r="F40" s="276"/>
      <c r="G40" s="277" t="s">
        <v>2404</v>
      </c>
    </row>
    <row r="41" spans="1:7" s="257" customFormat="1" ht="13.5" customHeight="1">
      <c r="A41" s="298" t="s">
        <v>2405</v>
      </c>
      <c r="B41" s="253" t="s">
        <v>2406</v>
      </c>
      <c r="C41" s="275">
        <f ca="1">ROUND(SUM(C42:C43),0)</f>
        <v>100232</v>
      </c>
      <c r="D41" s="278">
        <f ca="1">C44</f>
        <v>1.4E-3</v>
      </c>
      <c r="E41" s="279" t="s">
        <v>2403</v>
      </c>
      <c r="F41" s="280"/>
      <c r="G41" s="277" t="str">
        <f>IF('数据-取费表'!B22&lt;=1,"单利计息","复利计息")</f>
        <v>复利计息</v>
      </c>
    </row>
    <row r="42" spans="1:7" ht="13.5" customHeight="1">
      <c r="A42" s="948" t="s">
        <v>791</v>
      </c>
      <c r="B42" s="258" t="s">
        <v>2407</v>
      </c>
      <c r="C42" s="281">
        <f ca="1">ROUND(IF('数据-取费表'!B22&lt;=1,C33*F22*'数据-取费表'!B20/2,C33*(POWER((1+F22),'数据-取费表'!B20/2)-1)),0)</f>
        <v>97313</v>
      </c>
      <c r="D42" s="281"/>
      <c r="E42" s="281"/>
      <c r="F42" s="282"/>
      <c r="G42" s="3220" t="s">
        <v>2455</v>
      </c>
    </row>
    <row r="43" spans="1:7" ht="13.5" customHeight="1">
      <c r="A43" s="948" t="s">
        <v>792</v>
      </c>
      <c r="B43" s="258" t="s">
        <v>2409</v>
      </c>
      <c r="C43" s="281">
        <f ca="1">ROUND(IF('数据-取费表'!B22&lt;=1,C39*F22*'数据-取费表'!B20/2,C39*(POWER((1+F22),'数据-取费表'!B20/2)-1)),0)</f>
        <v>2919</v>
      </c>
      <c r="D43" s="281"/>
      <c r="E43" s="281"/>
      <c r="F43" s="282"/>
      <c r="G43" s="3221"/>
    </row>
    <row r="44" spans="1:7" ht="13.5" customHeight="1">
      <c r="A44" s="948" t="s">
        <v>793</v>
      </c>
      <c r="B44" s="258" t="s">
        <v>2410</v>
      </c>
      <c r="C44" s="281">
        <f ca="1">ROUND(IF('数据-取费表'!B22&lt;=1,C40*F22*'数据-取费表'!B20/2,C40*(POWER((1+F22),'数据-取费表'!B20/2)-1)),4)</f>
        <v>1.4E-3</v>
      </c>
      <c r="D44" s="281"/>
      <c r="E44" s="281"/>
      <c r="F44" s="282"/>
      <c r="G44" s="3222"/>
    </row>
    <row r="45" spans="1:7" s="257" customFormat="1" ht="13.5" customHeight="1">
      <c r="A45" s="298" t="s">
        <v>2411</v>
      </c>
      <c r="B45" s="287" t="s">
        <v>2377</v>
      </c>
      <c r="C45" s="288">
        <f ca="1">C46</f>
        <v>611945</v>
      </c>
      <c r="D45" s="278">
        <f ca="1">C47</f>
        <v>8.6999999999999994E-3</v>
      </c>
      <c r="E45" s="279" t="s">
        <v>2403</v>
      </c>
      <c r="F45" s="289"/>
      <c r="G45" s="290" t="s">
        <v>2412</v>
      </c>
    </row>
    <row r="46" spans="1:7" s="257" customFormat="1" ht="13.5" customHeight="1">
      <c r="A46" s="948" t="s">
        <v>791</v>
      </c>
      <c r="B46" s="291" t="s">
        <v>2413</v>
      </c>
      <c r="C46" s="292">
        <f ca="1">ROUND((C33+C39)*F27,0)</f>
        <v>611945</v>
      </c>
      <c r="D46" s="306"/>
      <c r="E46" s="279"/>
      <c r="F46" s="289"/>
      <c r="G46" s="290"/>
    </row>
    <row r="47" spans="1:7" s="257" customFormat="1" ht="13.5" customHeight="1">
      <c r="A47" s="948" t="s">
        <v>792</v>
      </c>
      <c r="B47" s="291" t="s">
        <v>2414</v>
      </c>
      <c r="C47" s="281">
        <f ca="1">ROUND(C40*F27,4)</f>
        <v>8.6999999999999994E-3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3113096</v>
      </c>
      <c r="D49" s="275"/>
      <c r="E49" s="275"/>
      <c r="F49" s="307"/>
      <c r="G49" s="277" t="s">
        <v>2418</v>
      </c>
    </row>
    <row r="50" spans="1:7" s="301" customFormat="1">
      <c r="A50" s="298" t="s">
        <v>2419</v>
      </c>
      <c r="B50" s="253" t="s">
        <v>2420</v>
      </c>
      <c r="C50" s="275"/>
      <c r="D50" s="275"/>
      <c r="E50" s="275"/>
      <c r="F50" s="307">
        <f>IF('数据-取费表'!B24=0,'数据-取费表'!N16,1)</f>
        <v>0.8</v>
      </c>
      <c r="G50" s="290"/>
    </row>
    <row r="51" spans="1:7" ht="16.5" customHeight="1">
      <c r="A51" s="298" t="s">
        <v>2422</v>
      </c>
      <c r="B51" s="253" t="s">
        <v>2457</v>
      </c>
      <c r="C51" s="275">
        <f ca="1">ROUND(C49*F50,0)</f>
        <v>2490477</v>
      </c>
      <c r="D51" s="275"/>
      <c r="E51" s="275"/>
      <c r="F51" s="307"/>
      <c r="G51" s="277" t="s">
        <v>2424</v>
      </c>
    </row>
    <row r="52" spans="1:7" s="251" customFormat="1" ht="16.8" thickBot="1">
      <c r="A52" s="308" t="s">
        <v>2425</v>
      </c>
      <c r="B52" s="309"/>
      <c r="C52" s="310">
        <f ca="1">C31+C51</f>
        <v>2985500</v>
      </c>
      <c r="D52" s="309"/>
      <c r="E52" s="309"/>
      <c r="F52" s="309"/>
      <c r="G52" s="311"/>
    </row>
    <row r="55" spans="1:7" ht="15">
      <c r="B55" s="313" t="s">
        <v>2426</v>
      </c>
      <c r="C55" s="314"/>
    </row>
    <row r="56" spans="1:7">
      <c r="B56" s="316" t="s">
        <v>1507</v>
      </c>
      <c r="C56" s="318">
        <f ca="1">1-C57</f>
        <v>0.16600000000000004</v>
      </c>
    </row>
    <row r="57" spans="1:7">
      <c r="B57" s="316" t="s">
        <v>1508</v>
      </c>
      <c r="C57" s="317">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9" sqref="L19"/>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8" t="s">
        <v>2647</v>
      </c>
      <c r="AC4" s="3237" t="s">
        <v>2648</v>
      </c>
    </row>
    <row r="5" spans="1:30">
      <c r="A5" s="403"/>
      <c r="B5" s="404"/>
      <c r="C5" s="3257" t="s">
        <v>2541</v>
      </c>
      <c r="D5" s="3258"/>
      <c r="E5" s="3264" t="s">
        <v>2542</v>
      </c>
      <c r="F5" s="3265"/>
      <c r="G5" s="3257" t="s">
        <v>2543</v>
      </c>
      <c r="H5" s="3258"/>
      <c r="I5" s="3257" t="s">
        <v>2544</v>
      </c>
      <c r="J5" s="3258"/>
      <c r="K5" s="609"/>
      <c r="L5" s="1127"/>
      <c r="M5" s="1128"/>
      <c r="N5" s="1128"/>
      <c r="O5" s="1128"/>
      <c r="P5" s="3245"/>
      <c r="Q5" s="3246"/>
      <c r="R5" s="3251"/>
      <c r="S5" s="3252"/>
      <c r="T5" s="3251"/>
      <c r="U5" s="3252"/>
      <c r="V5" s="3236"/>
      <c r="W5" s="3236"/>
      <c r="X5" s="1810"/>
      <c r="Y5" s="3251"/>
      <c r="Z5" s="3252"/>
      <c r="AA5" s="3238"/>
      <c r="AB5" s="3238"/>
      <c r="AC5" s="3238"/>
    </row>
    <row r="6" spans="1:30" ht="15" thickBot="1">
      <c r="A6" s="405"/>
      <c r="B6" s="406"/>
      <c r="C6" s="3255" t="s">
        <v>2545</v>
      </c>
      <c r="D6" s="3256"/>
      <c r="E6" s="3262" t="s">
        <v>2545</v>
      </c>
      <c r="F6" s="3263"/>
      <c r="G6" s="3255" t="s">
        <v>2545</v>
      </c>
      <c r="H6" s="3256"/>
      <c r="I6" s="3255" t="s">
        <v>2545</v>
      </c>
      <c r="J6" s="3256"/>
      <c r="K6" s="609" t="s">
        <v>2546</v>
      </c>
      <c r="L6" s="1127"/>
      <c r="M6" s="1128"/>
      <c r="N6" s="1128"/>
      <c r="O6" s="1128"/>
      <c r="P6" s="3247"/>
      <c r="Q6" s="3248"/>
      <c r="R6" s="3251"/>
      <c r="S6" s="3252"/>
      <c r="T6" s="3253"/>
      <c r="U6" s="3254"/>
      <c r="V6" s="3236"/>
      <c r="W6" s="3236"/>
      <c r="X6" s="1810"/>
      <c r="Y6" s="3253"/>
      <c r="Z6" s="3254"/>
      <c r="AA6" s="3239"/>
      <c r="AB6" s="3239"/>
      <c r="AC6" s="3239"/>
    </row>
    <row r="7" spans="1:30" s="117" customFormat="1" ht="15" thickBot="1">
      <c r="A7" s="407" t="s">
        <v>2547</v>
      </c>
      <c r="B7" s="408"/>
      <c r="C7" s="409">
        <f>'数据-取费表'!B2</f>
        <v>43845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9"/>
      <c r="M7" s="1130"/>
      <c r="N7" s="1130"/>
      <c r="O7" s="1130"/>
      <c r="P7" s="3259" t="s">
        <v>2548</v>
      </c>
      <c r="Q7" s="3261"/>
      <c r="R7" s="767" t="s">
        <v>17</v>
      </c>
      <c r="S7" s="768">
        <f t="shared" ref="S7:S15" si="0">F7</f>
        <v>0</v>
      </c>
      <c r="T7" s="767" t="s">
        <v>17</v>
      </c>
      <c r="U7" s="768">
        <f t="shared" ref="U7:U15" si="1">H7</f>
        <v>0</v>
      </c>
      <c r="V7" s="767" t="s">
        <v>17</v>
      </c>
      <c r="W7" s="768">
        <f t="shared" ref="W7:W15" si="2">J7</f>
        <v>0</v>
      </c>
      <c r="X7" s="769"/>
      <c r="Y7" s="3259" t="s">
        <v>2548</v>
      </c>
      <c r="Z7" s="3260"/>
      <c r="AA7" s="770" t="e">
        <f>D7/F7</f>
        <v>#DIV/0!</v>
      </c>
      <c r="AB7" s="770" t="e">
        <f>D7/H7</f>
        <v>#DIV/0!</v>
      </c>
      <c r="AC7" s="770" t="e">
        <f>D7/J7</f>
        <v>#DIV/0!</v>
      </c>
    </row>
    <row r="8" spans="1:30" s="117" customFormat="1" ht="1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59" t="s">
        <v>2551</v>
      </c>
      <c r="Q8" s="3260"/>
      <c r="R8" s="767" t="s">
        <v>17</v>
      </c>
      <c r="S8" s="768">
        <f t="shared" si="0"/>
        <v>0</v>
      </c>
      <c r="T8" s="767" t="s">
        <v>17</v>
      </c>
      <c r="U8" s="768">
        <f t="shared" si="1"/>
        <v>0</v>
      </c>
      <c r="V8" s="767" t="s">
        <v>17</v>
      </c>
      <c r="W8" s="768">
        <f t="shared" si="2"/>
        <v>0</v>
      </c>
      <c r="X8" s="769"/>
      <c r="Y8" s="3259" t="s">
        <v>2551</v>
      </c>
      <c r="Z8" s="3260"/>
      <c r="AA8" s="770" t="e">
        <f t="shared" ref="AA8:AA45" si="3">D8/F8</f>
        <v>#DIV/0!</v>
      </c>
      <c r="AB8" s="770" t="e">
        <f t="shared" ref="AB8:AB45" si="4">D8/H8</f>
        <v>#DIV/0!</v>
      </c>
      <c r="AC8" s="770" t="e">
        <f t="shared" ref="AC8:AC45" si="5">D8/J8</f>
        <v>#DIV/0!</v>
      </c>
    </row>
    <row r="9" spans="1:30" s="117" customFormat="1" ht="14.4">
      <c r="A9" s="414" t="s">
        <v>2552</v>
      </c>
      <c r="B9" s="71" t="s">
        <v>2553</v>
      </c>
      <c r="C9" s="2698"/>
      <c r="D9" s="134">
        <v>100</v>
      </c>
      <c r="E9" s="2698"/>
      <c r="F9" s="134">
        <f>SUMIF(75:75,E9,76:76)-SUMIF(75:75,C9,76:76)+100</f>
        <v>100</v>
      </c>
      <c r="G9" s="2698"/>
      <c r="H9" s="134">
        <f>SUMIF(75:75,G9,76:76)-SUMIF(75:75,C9,76:76)+100</f>
        <v>100</v>
      </c>
      <c r="I9" s="2698"/>
      <c r="J9" s="134">
        <f>SUMIF(75:75,I9,76:76)-SUMIF(75:75,C9,76:76)+100</f>
        <v>100</v>
      </c>
      <c r="K9" s="610"/>
      <c r="L9" s="1129"/>
      <c r="M9" s="1130"/>
      <c r="N9" s="1130"/>
      <c r="O9" s="1131"/>
      <c r="P9" s="3230"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770">
        <f t="shared" si="5"/>
        <v>1</v>
      </c>
    </row>
    <row r="10" spans="1:30" s="426" customFormat="1" ht="28.8">
      <c r="A10" s="420"/>
      <c r="B10" s="421" t="s">
        <v>2556</v>
      </c>
      <c r="C10" s="431"/>
      <c r="D10" s="135">
        <v>100</v>
      </c>
      <c r="E10" s="464"/>
      <c r="F10" s="135">
        <f>ROUND(100/'数据-取费表'!G16,0)</f>
        <v>100</v>
      </c>
      <c r="G10" s="462"/>
      <c r="H10" s="135">
        <f>ROUND(100/'数据-取费表'!G16,0)</f>
        <v>100</v>
      </c>
      <c r="I10" s="462"/>
      <c r="J10" s="135">
        <f>ROUND(100/'数据-取费表'!G16,0)</f>
        <v>100</v>
      </c>
      <c r="K10" s="670"/>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74"/>
      <c r="Z11" s="55" t="str">
        <f t="shared" si="7"/>
        <v>容积率</v>
      </c>
      <c r="AA11" s="770" t="e">
        <f t="shared" si="3"/>
        <v>#N/A</v>
      </c>
      <c r="AB11" s="770" t="e">
        <f t="shared" si="4"/>
        <v>#N/A</v>
      </c>
      <c r="AC11" s="770" t="e">
        <f t="shared" si="5"/>
        <v>#N/A</v>
      </c>
    </row>
    <row r="12" spans="1:30" s="117" customFormat="1" ht="15">
      <c r="A12" s="430"/>
      <c r="B12" s="2599" t="s">
        <v>2746</v>
      </c>
      <c r="C12" s="431"/>
      <c r="D12" s="432">
        <v>100</v>
      </c>
      <c r="E12" s="464"/>
      <c r="F12" s="135">
        <f>SUMIF(82:82,E12,83:83)-SUMIF(82:82,C12,83:83)+100</f>
        <v>100</v>
      </c>
      <c r="G12" s="462"/>
      <c r="H12" s="135">
        <f>SUMIF(82:82,G12,83:83)-SUMIF(82:82,C12,83:83)+100</f>
        <v>100</v>
      </c>
      <c r="I12" s="464"/>
      <c r="J12" s="135">
        <f>SUMIF(82:82,I12,83:83)-SUMIF(82:82,C12,83:83)+100</f>
        <v>100</v>
      </c>
      <c r="K12" s="670"/>
      <c r="L12" s="1129"/>
      <c r="M12" s="1130"/>
      <c r="N12" s="1130"/>
      <c r="O12" s="1131"/>
      <c r="P12" s="3230"/>
      <c r="Q12" s="1792" t="str">
        <f t="shared" si="6"/>
        <v>配建</v>
      </c>
      <c r="R12" s="767" t="s">
        <v>17</v>
      </c>
      <c r="S12" s="768">
        <f t="shared" si="0"/>
        <v>100</v>
      </c>
      <c r="T12" s="767" t="s">
        <v>17</v>
      </c>
      <c r="U12" s="768">
        <f t="shared" si="1"/>
        <v>100</v>
      </c>
      <c r="V12" s="767" t="s">
        <v>17</v>
      </c>
      <c r="W12" s="768">
        <f t="shared" si="2"/>
        <v>100</v>
      </c>
      <c r="X12" s="769"/>
      <c r="Y12" s="3074"/>
      <c r="Z12" s="55"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2"/>
      <c r="H13" s="434">
        <f>SUMIF(84:84,G13,85:85)-SUMIF(84:84,C13,85:85)+100</f>
        <v>100</v>
      </c>
      <c r="I13" s="672"/>
      <c r="J13" s="434">
        <f>SUMIF(84:84,I13,85:85)-SUMIF(84:84,C13,85:85)+100</f>
        <v>100</v>
      </c>
      <c r="K13" s="670"/>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74"/>
      <c r="Z13" s="55">
        <f t="shared" si="7"/>
        <v>111</v>
      </c>
      <c r="AA13" s="770">
        <f>D13/F13</f>
        <v>1</v>
      </c>
      <c r="AB13" s="770">
        <f>D13/H13</f>
        <v>1</v>
      </c>
      <c r="AC13" s="770">
        <f>D13/J13</f>
        <v>1</v>
      </c>
    </row>
    <row r="14" spans="1:30" ht="15.6" thickBot="1">
      <c r="A14" s="435"/>
      <c r="B14" s="2601">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74"/>
      <c r="Z14" s="55">
        <f t="shared" si="7"/>
        <v>111</v>
      </c>
      <c r="AA14" s="770">
        <f>D14/F14</f>
        <v>1</v>
      </c>
      <c r="AB14" s="770">
        <f>D14/H14</f>
        <v>1</v>
      </c>
      <c r="AC14" s="770">
        <f>D14/J14</f>
        <v>1</v>
      </c>
    </row>
    <row r="15" spans="1:30" ht="96.6">
      <c r="A15" s="439" t="s">
        <v>2558</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232" t="s">
        <v>2559</v>
      </c>
      <c r="Q15" s="1807" t="str">
        <f t="shared" si="6"/>
        <v>居住社区成熟度</v>
      </c>
      <c r="R15" s="771" t="s">
        <v>17</v>
      </c>
      <c r="S15" s="772">
        <f t="shared" si="0"/>
        <v>100</v>
      </c>
      <c r="T15" s="771" t="s">
        <v>17</v>
      </c>
      <c r="U15" s="772">
        <f t="shared" si="1"/>
        <v>100</v>
      </c>
      <c r="V15" s="771" t="s">
        <v>17</v>
      </c>
      <c r="W15" s="772">
        <f t="shared" si="2"/>
        <v>100</v>
      </c>
      <c r="X15" s="1810"/>
      <c r="Y15" s="3232" t="s">
        <v>2559</v>
      </c>
      <c r="Z15" s="1811" t="str">
        <f t="shared" si="7"/>
        <v>居住社区成熟度</v>
      </c>
      <c r="AA15" s="1808">
        <f t="shared" si="3"/>
        <v>1</v>
      </c>
      <c r="AB15" s="1808">
        <f t="shared" si="4"/>
        <v>1</v>
      </c>
      <c r="AC15" s="1808">
        <f t="shared" si="5"/>
        <v>1</v>
      </c>
    </row>
    <row r="16" spans="1:30" ht="15">
      <c r="A16" s="427"/>
      <c r="B16" s="445"/>
      <c r="C16" s="446"/>
      <c r="D16" s="447"/>
      <c r="E16" s="2604"/>
      <c r="F16" s="447"/>
      <c r="G16" s="2604"/>
      <c r="H16" s="449"/>
      <c r="I16" s="2603"/>
      <c r="J16" s="447"/>
      <c r="K16" s="670"/>
      <c r="L16" s="1137"/>
      <c r="M16" s="1128"/>
      <c r="N16" s="1128"/>
      <c r="O16" s="1136"/>
      <c r="P16" s="3233"/>
      <c r="Q16" s="1807"/>
      <c r="R16" s="771"/>
      <c r="S16" s="772"/>
      <c r="T16" s="771"/>
      <c r="U16" s="772"/>
      <c r="V16" s="771"/>
      <c r="W16" s="772"/>
      <c r="X16" s="1810"/>
      <c r="Y16" s="3233"/>
      <c r="Z16" s="1811"/>
      <c r="AA16" s="1808">
        <v>1</v>
      </c>
      <c r="AB16" s="1808">
        <v>1</v>
      </c>
      <c r="AC16" s="1808">
        <v>1</v>
      </c>
    </row>
    <row r="17" spans="1:29" ht="82.8">
      <c r="A17" s="427"/>
      <c r="B17" s="450" t="s">
        <v>2652</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233"/>
      <c r="Q17" s="1807" t="str">
        <f>B17</f>
        <v>商业繁华度</v>
      </c>
      <c r="R17" s="771" t="s">
        <v>17</v>
      </c>
      <c r="S17" s="772">
        <f>F17</f>
        <v>100</v>
      </c>
      <c r="T17" s="771" t="s">
        <v>17</v>
      </c>
      <c r="U17" s="772">
        <f>H17</f>
        <v>100</v>
      </c>
      <c r="V17" s="771" t="s">
        <v>17</v>
      </c>
      <c r="W17" s="772">
        <f>J17</f>
        <v>100</v>
      </c>
      <c r="X17" s="1810"/>
      <c r="Y17" s="3233"/>
      <c r="Z17" s="1811" t="str">
        <f>Q17</f>
        <v>商业繁华度</v>
      </c>
      <c r="AA17" s="1808">
        <f t="shared" si="3"/>
        <v>1</v>
      </c>
      <c r="AB17" s="1808">
        <f t="shared" si="4"/>
        <v>1</v>
      </c>
      <c r="AC17" s="1808">
        <f t="shared" si="5"/>
        <v>1</v>
      </c>
    </row>
    <row r="18" spans="1:29" ht="15">
      <c r="A18" s="427"/>
      <c r="B18" s="455"/>
      <c r="C18" s="2607"/>
      <c r="D18" s="449"/>
      <c r="E18" s="2609"/>
      <c r="F18" s="449"/>
      <c r="G18" s="2609"/>
      <c r="H18" s="447"/>
      <c r="I18" s="2608"/>
      <c r="J18" s="447"/>
      <c r="K18" s="670"/>
      <c r="L18" s="1137"/>
      <c r="M18" s="1128"/>
      <c r="N18" s="1128"/>
      <c r="O18" s="1136"/>
      <c r="P18" s="3233"/>
      <c r="Q18" s="1807"/>
      <c r="R18" s="771"/>
      <c r="S18" s="772"/>
      <c r="T18" s="771"/>
      <c r="U18" s="772"/>
      <c r="V18" s="771"/>
      <c r="W18" s="772"/>
      <c r="X18" s="1810"/>
      <c r="Y18" s="3233"/>
      <c r="Z18" s="1811"/>
      <c r="AA18" s="1808">
        <v>1</v>
      </c>
      <c r="AB18" s="1808">
        <v>1</v>
      </c>
      <c r="AC18" s="1808">
        <v>1</v>
      </c>
    </row>
    <row r="19" spans="1:29" ht="82.8">
      <c r="A19" s="427"/>
      <c r="B19" s="450" t="s">
        <v>2686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233"/>
      <c r="Q19" s="1807" t="str">
        <f>B19</f>
        <v>办公集聚程度</v>
      </c>
      <c r="R19" s="771" t="s">
        <v>17</v>
      </c>
      <c r="S19" s="772">
        <f>F19</f>
        <v>100</v>
      </c>
      <c r="T19" s="771" t="s">
        <v>17</v>
      </c>
      <c r="U19" s="772">
        <f>H19</f>
        <v>100</v>
      </c>
      <c r="V19" s="771" t="s">
        <v>17</v>
      </c>
      <c r="W19" s="772">
        <f>J19</f>
        <v>100</v>
      </c>
      <c r="X19" s="1810"/>
      <c r="Y19" s="3233"/>
      <c r="Z19" s="1811" t="str">
        <f>Q19</f>
        <v>办公集聚程度</v>
      </c>
      <c r="AA19" s="1808">
        <f t="shared" si="3"/>
        <v>1</v>
      </c>
      <c r="AB19" s="1808">
        <f t="shared" si="4"/>
        <v>1</v>
      </c>
      <c r="AC19" s="1808">
        <f t="shared" si="5"/>
        <v>1</v>
      </c>
    </row>
    <row r="20" spans="1:29" ht="15">
      <c r="A20" s="427"/>
      <c r="B20" s="455"/>
      <c r="C20" s="446"/>
      <c r="D20" s="447"/>
      <c r="E20" s="2604"/>
      <c r="F20" s="447"/>
      <c r="G20" s="2604"/>
      <c r="H20" s="447"/>
      <c r="I20" s="2603"/>
      <c r="J20" s="447"/>
      <c r="K20" s="670"/>
      <c r="L20" s="1137"/>
      <c r="M20" s="1128"/>
      <c r="N20" s="1128"/>
      <c r="O20" s="1136"/>
      <c r="P20" s="3233"/>
      <c r="Q20" s="1807"/>
      <c r="R20" s="771"/>
      <c r="S20" s="772"/>
      <c r="T20" s="771"/>
      <c r="U20" s="772"/>
      <c r="V20" s="771"/>
      <c r="W20" s="772"/>
      <c r="X20" s="1810"/>
      <c r="Y20" s="3233"/>
      <c r="Z20" s="1811"/>
      <c r="AA20" s="1808">
        <v>1</v>
      </c>
      <c r="AB20" s="1808">
        <v>1</v>
      </c>
      <c r="AC20" s="1808">
        <v>1</v>
      </c>
    </row>
    <row r="21" spans="1:29" ht="96.6">
      <c r="A21" s="427"/>
      <c r="B21" s="450" t="s">
        <v>2708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233"/>
      <c r="Q21" s="1807" t="str">
        <f>B21</f>
        <v>交通便捷度</v>
      </c>
      <c r="R21" s="771" t="s">
        <v>17</v>
      </c>
      <c r="S21" s="772">
        <f>F21</f>
        <v>100</v>
      </c>
      <c r="T21" s="771" t="s">
        <v>17</v>
      </c>
      <c r="U21" s="772">
        <f>H21</f>
        <v>100</v>
      </c>
      <c r="V21" s="771" t="s">
        <v>17</v>
      </c>
      <c r="W21" s="772">
        <f>J21</f>
        <v>100</v>
      </c>
      <c r="X21" s="1810"/>
      <c r="Y21" s="3233"/>
      <c r="Z21" s="1811" t="str">
        <f>Q21</f>
        <v>交通便捷度</v>
      </c>
      <c r="AA21" s="1808">
        <f t="shared" si="3"/>
        <v>1</v>
      </c>
      <c r="AB21" s="1808">
        <f t="shared" si="4"/>
        <v>1</v>
      </c>
      <c r="AC21" s="1808">
        <f t="shared" si="5"/>
        <v>1</v>
      </c>
    </row>
    <row r="22" spans="1:29" ht="15">
      <c r="A22" s="427"/>
      <c r="B22" s="1381"/>
      <c r="C22" s="446"/>
      <c r="D22" s="449"/>
      <c r="E22" s="2604"/>
      <c r="F22" s="447"/>
      <c r="G22" s="2604"/>
      <c r="H22" s="447"/>
      <c r="I22" s="2603"/>
      <c r="J22" s="447"/>
      <c r="K22" s="670"/>
      <c r="L22" s="1137"/>
      <c r="M22" s="1128"/>
      <c r="N22" s="1128"/>
      <c r="O22" s="1136"/>
      <c r="P22" s="3233"/>
      <c r="Q22" s="1807"/>
      <c r="R22" s="771"/>
      <c r="S22" s="772"/>
      <c r="T22" s="771"/>
      <c r="U22" s="772"/>
      <c r="V22" s="771"/>
      <c r="W22" s="772"/>
      <c r="X22" s="1810"/>
      <c r="Y22" s="3233"/>
      <c r="Z22" s="1811"/>
      <c r="AA22" s="1808">
        <v>1</v>
      </c>
      <c r="AB22" s="1808">
        <v>1</v>
      </c>
      <c r="AC22" s="1808">
        <v>1</v>
      </c>
    </row>
    <row r="23" spans="1:29" ht="28.8">
      <c r="A23" s="403"/>
      <c r="B23" s="450" t="s">
        <v>2747</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233"/>
      <c r="Q23" s="1807" t="str">
        <f t="shared" ref="Q23:Q37" si="8">B23</f>
        <v>区域土地利用方向</v>
      </c>
      <c r="R23" s="771" t="s">
        <v>17</v>
      </c>
      <c r="S23" s="772">
        <f>F23</f>
        <v>100</v>
      </c>
      <c r="T23" s="771" t="s">
        <v>17</v>
      </c>
      <c r="U23" s="772">
        <f>H23</f>
        <v>100</v>
      </c>
      <c r="V23" s="771" t="s">
        <v>17</v>
      </c>
      <c r="W23" s="772">
        <f>J23</f>
        <v>100</v>
      </c>
      <c r="X23" s="1810"/>
      <c r="Y23" s="3233"/>
      <c r="Z23" s="1811" t="str">
        <f>Q23</f>
        <v>区域土地利用方向</v>
      </c>
      <c r="AA23" s="1808">
        <f t="shared" si="3"/>
        <v>1</v>
      </c>
      <c r="AB23" s="1808">
        <f t="shared" si="4"/>
        <v>1</v>
      </c>
      <c r="AC23" s="1808">
        <f t="shared" si="5"/>
        <v>1</v>
      </c>
    </row>
    <row r="24" spans="1:29" ht="15">
      <c r="A24" s="403"/>
      <c r="B24" s="455"/>
      <c r="C24" s="615"/>
      <c r="D24" s="447"/>
      <c r="E24" s="2604"/>
      <c r="F24" s="447"/>
      <c r="G24" s="2603"/>
      <c r="H24" s="447"/>
      <c r="I24" s="2603"/>
      <c r="J24" s="447"/>
      <c r="K24" s="809"/>
      <c r="L24" s="1137"/>
      <c r="M24" s="1128"/>
      <c r="N24" s="1128"/>
      <c r="O24" s="1136"/>
      <c r="P24" s="3233"/>
      <c r="Q24" s="1807"/>
      <c r="R24" s="771"/>
      <c r="S24" s="772"/>
      <c r="T24" s="771"/>
      <c r="U24" s="772"/>
      <c r="V24" s="771"/>
      <c r="W24" s="772"/>
      <c r="X24" s="1810"/>
      <c r="Y24" s="3233"/>
      <c r="Z24" s="1811"/>
      <c r="AA24" s="1808"/>
      <c r="AB24" s="1808"/>
      <c r="AC24" s="1808"/>
    </row>
    <row r="25" spans="1:29" ht="55.2">
      <c r="A25" s="403"/>
      <c r="B25" s="1381" t="s">
        <v>2748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233"/>
      <c r="Q25" s="1807" t="str">
        <f t="shared" si="8"/>
        <v>自然及人文环境状况</v>
      </c>
      <c r="R25" s="771" t="s">
        <v>17</v>
      </c>
      <c r="S25" s="772">
        <f>F25</f>
        <v>100</v>
      </c>
      <c r="T25" s="771" t="s">
        <v>17</v>
      </c>
      <c r="U25" s="772">
        <f>H25</f>
        <v>100</v>
      </c>
      <c r="V25" s="771" t="s">
        <v>17</v>
      </c>
      <c r="W25" s="772">
        <f>J25</f>
        <v>100</v>
      </c>
      <c r="X25" s="1810"/>
      <c r="Y25" s="3233"/>
      <c r="Z25" s="1811" t="str">
        <f>Q25</f>
        <v>自然及人文环境状况</v>
      </c>
      <c r="AA25" s="1808">
        <f t="shared" si="3"/>
        <v>1</v>
      </c>
      <c r="AB25" s="1808">
        <f t="shared" si="4"/>
        <v>1</v>
      </c>
      <c r="AC25" s="1808">
        <f t="shared" si="5"/>
        <v>1</v>
      </c>
    </row>
    <row r="26" spans="1:29" ht="15">
      <c r="A26" s="403"/>
      <c r="B26" s="455"/>
      <c r="C26" s="446"/>
      <c r="D26" s="447"/>
      <c r="E26" s="2610"/>
      <c r="F26" s="447"/>
      <c r="G26" s="2610"/>
      <c r="H26" s="447"/>
      <c r="I26" s="446"/>
      <c r="J26" s="447"/>
      <c r="K26" s="670"/>
      <c r="L26" s="1137"/>
      <c r="M26" s="1128"/>
      <c r="N26" s="1128"/>
      <c r="O26" s="1136"/>
      <c r="P26" s="3233"/>
      <c r="Q26" s="1807"/>
      <c r="R26" s="771"/>
      <c r="S26" s="772"/>
      <c r="T26" s="771"/>
      <c r="U26" s="772"/>
      <c r="V26" s="771"/>
      <c r="W26" s="772"/>
      <c r="X26" s="1810"/>
      <c r="Y26" s="3233"/>
      <c r="Z26" s="1811"/>
      <c r="AA26" s="1808">
        <v>1</v>
      </c>
      <c r="AB26" s="1808">
        <v>1</v>
      </c>
      <c r="AC26" s="1808">
        <v>1</v>
      </c>
    </row>
    <row r="27" spans="1:29" s="117" customFormat="1" ht="41.4">
      <c r="A27" s="647"/>
      <c r="B27" s="1381" t="s">
        <v>2653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233"/>
      <c r="Q27" s="1792" t="str">
        <f t="shared" si="8"/>
        <v>公共配套设施</v>
      </c>
      <c r="R27" s="767" t="s">
        <v>17</v>
      </c>
      <c r="S27" s="768">
        <f>F27</f>
        <v>100</v>
      </c>
      <c r="T27" s="767" t="s">
        <v>17</v>
      </c>
      <c r="U27" s="768">
        <f>H27</f>
        <v>100</v>
      </c>
      <c r="V27" s="767" t="s">
        <v>17</v>
      </c>
      <c r="W27" s="768">
        <f>J27</f>
        <v>100</v>
      </c>
      <c r="X27" s="769"/>
      <c r="Y27" s="3233"/>
      <c r="Z27" s="55" t="str">
        <f>Q27</f>
        <v>公共配套设施</v>
      </c>
      <c r="AA27" s="1808">
        <f>D27/F27</f>
        <v>1</v>
      </c>
      <c r="AB27" s="1808">
        <f>D27/H27</f>
        <v>1</v>
      </c>
      <c r="AC27" s="1808">
        <f>D27/J27</f>
        <v>1</v>
      </c>
    </row>
    <row r="28" spans="1:29" s="117" customFormat="1" ht="15">
      <c r="A28" s="647"/>
      <c r="B28" s="455"/>
      <c r="C28" s="2699"/>
      <c r="D28" s="447"/>
      <c r="E28" s="2610"/>
      <c r="F28" s="447"/>
      <c r="G28" s="2610"/>
      <c r="H28" s="447"/>
      <c r="I28" s="446"/>
      <c r="J28" s="447"/>
      <c r="K28" s="670"/>
      <c r="L28" s="1129"/>
      <c r="M28" s="1130"/>
      <c r="N28" s="1130"/>
      <c r="O28" s="1131"/>
      <c r="P28" s="3233"/>
      <c r="Q28" s="1792"/>
      <c r="R28" s="767"/>
      <c r="S28" s="768"/>
      <c r="T28" s="767"/>
      <c r="U28" s="768"/>
      <c r="V28" s="767"/>
      <c r="W28" s="768"/>
      <c r="X28" s="769"/>
      <c r="Y28" s="3233"/>
      <c r="Z28" s="55"/>
      <c r="AA28" s="1808">
        <v>1</v>
      </c>
      <c r="AB28" s="1808">
        <v>1</v>
      </c>
      <c r="AC28" s="1808">
        <v>1</v>
      </c>
    </row>
    <row r="29" spans="1:29" s="117" customFormat="1" ht="41.4">
      <c r="A29" s="647"/>
      <c r="B29" s="1381" t="s">
        <v>2654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233"/>
      <c r="Q29" s="1792" t="str">
        <f t="shared" ref="Q29" si="9">B29</f>
        <v>基础设施水平</v>
      </c>
      <c r="R29" s="767" t="s">
        <v>17</v>
      </c>
      <c r="S29" s="768">
        <f>F29</f>
        <v>100</v>
      </c>
      <c r="T29" s="767" t="s">
        <v>17</v>
      </c>
      <c r="U29" s="768">
        <f>H29</f>
        <v>100</v>
      </c>
      <c r="V29" s="767" t="s">
        <v>17</v>
      </c>
      <c r="W29" s="768">
        <f>J29</f>
        <v>100</v>
      </c>
      <c r="X29" s="769"/>
      <c r="Y29" s="3233"/>
      <c r="Z29" s="55" t="str">
        <f>Q29</f>
        <v>基础设施水平</v>
      </c>
      <c r="AA29" s="1808">
        <f>D29/F29</f>
        <v>1</v>
      </c>
      <c r="AB29" s="1808">
        <f>D29/H29</f>
        <v>1</v>
      </c>
      <c r="AC29" s="1808">
        <f>D29/J29</f>
        <v>1</v>
      </c>
    </row>
    <row r="30" spans="1:29" s="117" customFormat="1" ht="15">
      <c r="A30" s="647"/>
      <c r="B30" s="455"/>
      <c r="C30" s="2699"/>
      <c r="D30" s="447"/>
      <c r="E30" s="2700"/>
      <c r="F30" s="447"/>
      <c r="G30" s="2700"/>
      <c r="H30" s="447"/>
      <c r="I30" s="2700"/>
      <c r="J30" s="447"/>
      <c r="K30" s="670"/>
      <c r="L30" s="1129"/>
      <c r="M30" s="1130"/>
      <c r="N30" s="1130"/>
      <c r="O30" s="1131"/>
      <c r="P30" s="3233"/>
      <c r="Q30" s="1792"/>
      <c r="R30" s="767"/>
      <c r="S30" s="768"/>
      <c r="T30" s="767"/>
      <c r="U30" s="768"/>
      <c r="V30" s="767"/>
      <c r="W30" s="768"/>
      <c r="X30" s="769"/>
      <c r="Y30" s="3233"/>
      <c r="Z30" s="55"/>
      <c r="AA30" s="1808">
        <v>1</v>
      </c>
      <c r="AB30" s="1808">
        <v>1</v>
      </c>
      <c r="AC30" s="1808">
        <v>1</v>
      </c>
    </row>
    <row r="31" spans="1:29" ht="15">
      <c r="A31" s="427"/>
      <c r="B31" s="455" t="s">
        <v>2655</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233"/>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33"/>
      <c r="Z31" s="1811" t="str">
        <f t="shared" ref="Z31:Z45" si="13">Q31</f>
        <v>临街状况</v>
      </c>
      <c r="AA31" s="1808">
        <f t="shared" si="3"/>
        <v>1</v>
      </c>
      <c r="AB31" s="1808">
        <f t="shared" si="4"/>
        <v>1</v>
      </c>
      <c r="AC31" s="1808">
        <f t="shared" si="5"/>
        <v>1</v>
      </c>
    </row>
    <row r="32" spans="1:29" ht="28.8">
      <c r="A32" s="427"/>
      <c r="B32" s="1381"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233"/>
      <c r="Q32" s="1807" t="str">
        <f t="shared" si="8"/>
        <v>毗邻道路的类型与等级</v>
      </c>
      <c r="R32" s="771" t="s">
        <v>17</v>
      </c>
      <c r="S32" s="772">
        <f t="shared" si="10"/>
        <v>100</v>
      </c>
      <c r="T32" s="771" t="s">
        <v>17</v>
      </c>
      <c r="U32" s="772">
        <f t="shared" si="11"/>
        <v>100</v>
      </c>
      <c r="V32" s="771" t="s">
        <v>17</v>
      </c>
      <c r="W32" s="772">
        <f t="shared" si="12"/>
        <v>100</v>
      </c>
      <c r="X32" s="1810"/>
      <c r="Y32" s="3233"/>
      <c r="Z32" s="1811" t="str">
        <f t="shared" si="13"/>
        <v>毗邻道路的类型与等级</v>
      </c>
      <c r="AA32" s="1808">
        <f t="shared" si="3"/>
        <v>1</v>
      </c>
      <c r="AB32" s="1808">
        <f t="shared" si="4"/>
        <v>1</v>
      </c>
      <c r="AC32" s="1808">
        <f t="shared" si="5"/>
        <v>1</v>
      </c>
    </row>
    <row r="33" spans="1:29" ht="15">
      <c r="A33" s="427"/>
      <c r="B33" s="455"/>
      <c r="C33" s="446"/>
      <c r="D33" s="447"/>
      <c r="E33" s="2610"/>
      <c r="F33" s="447"/>
      <c r="G33" s="2610"/>
      <c r="H33" s="447"/>
      <c r="I33" s="446"/>
      <c r="J33" s="447"/>
      <c r="K33" s="612"/>
      <c r="L33" s="1137"/>
      <c r="M33" s="1128"/>
      <c r="N33" s="1128"/>
      <c r="O33" s="1136"/>
      <c r="P33" s="3233"/>
      <c r="Q33" s="1807"/>
      <c r="R33" s="771"/>
      <c r="S33" s="772"/>
      <c r="T33" s="771"/>
      <c r="U33" s="772"/>
      <c r="V33" s="771"/>
      <c r="W33" s="772"/>
      <c r="X33" s="1810"/>
      <c r="Y33" s="3233"/>
      <c r="Z33" s="1811"/>
      <c r="AA33" s="1808">
        <v>1</v>
      </c>
      <c r="AB33" s="1808">
        <v>1</v>
      </c>
      <c r="AC33" s="1808">
        <v>1</v>
      </c>
    </row>
    <row r="34" spans="1:29" ht="15">
      <c r="A34" s="427"/>
      <c r="B34" s="421" t="s">
        <v>2749</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233"/>
      <c r="Q34" s="1807" t="str">
        <f t="shared" si="8"/>
        <v>土地级别</v>
      </c>
      <c r="R34" s="771" t="s">
        <v>17</v>
      </c>
      <c r="S34" s="772">
        <f t="shared" si="10"/>
        <v>100</v>
      </c>
      <c r="T34" s="771" t="s">
        <v>17</v>
      </c>
      <c r="U34" s="772">
        <f t="shared" si="11"/>
        <v>100</v>
      </c>
      <c r="V34" s="771" t="s">
        <v>17</v>
      </c>
      <c r="W34" s="772">
        <f t="shared" si="12"/>
        <v>100</v>
      </c>
      <c r="X34" s="1810"/>
      <c r="Y34" s="3233"/>
      <c r="Z34" s="1811" t="str">
        <f t="shared" si="13"/>
        <v>土地级别</v>
      </c>
      <c r="AA34" s="1808">
        <f t="shared" si="3"/>
        <v>1</v>
      </c>
      <c r="AB34" s="1808">
        <f t="shared" si="4"/>
        <v>1</v>
      </c>
      <c r="AC34" s="1808">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233"/>
      <c r="Q35" s="1807">
        <f t="shared" si="8"/>
        <v>111</v>
      </c>
      <c r="R35" s="771" t="s">
        <v>17</v>
      </c>
      <c r="S35" s="772">
        <f t="shared" si="10"/>
        <v>100</v>
      </c>
      <c r="T35" s="771" t="s">
        <v>17</v>
      </c>
      <c r="U35" s="772">
        <f t="shared" si="11"/>
        <v>100</v>
      </c>
      <c r="V35" s="771" t="s">
        <v>17</v>
      </c>
      <c r="W35" s="772">
        <f t="shared" si="12"/>
        <v>100</v>
      </c>
      <c r="X35" s="1810"/>
      <c r="Y35" s="3233"/>
      <c r="Z35" s="1811">
        <f t="shared" si="13"/>
        <v>111</v>
      </c>
      <c r="AA35" s="1808">
        <f t="shared" si="3"/>
        <v>1</v>
      </c>
      <c r="AB35" s="1808">
        <f t="shared" si="4"/>
        <v>1</v>
      </c>
      <c r="AC35" s="1808">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234" t="s">
        <v>2564</v>
      </c>
      <c r="Q36" s="1807">
        <f t="shared" si="8"/>
        <v>111</v>
      </c>
      <c r="R36" s="771" t="s">
        <v>17</v>
      </c>
      <c r="S36" s="772">
        <f t="shared" si="10"/>
        <v>100</v>
      </c>
      <c r="T36" s="771" t="s">
        <v>17</v>
      </c>
      <c r="U36" s="772">
        <f t="shared" si="11"/>
        <v>100</v>
      </c>
      <c r="V36" s="771" t="s">
        <v>17</v>
      </c>
      <c r="W36" s="772">
        <f t="shared" si="12"/>
        <v>100</v>
      </c>
      <c r="X36" s="1810"/>
      <c r="Y36" s="3235" t="s">
        <v>2564</v>
      </c>
      <c r="Z36" s="1811">
        <f t="shared" si="13"/>
        <v>111</v>
      </c>
      <c r="AA36" s="1808">
        <f t="shared" si="3"/>
        <v>1</v>
      </c>
      <c r="AB36" s="1808">
        <f t="shared" si="4"/>
        <v>1</v>
      </c>
      <c r="AC36" s="1808">
        <f t="shared" si="5"/>
        <v>1</v>
      </c>
    </row>
    <row r="37" spans="1:29" s="470" customFormat="1" ht="15.6"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235"/>
      <c r="Q37" s="1807">
        <f t="shared" si="8"/>
        <v>111</v>
      </c>
      <c r="R37" s="774" t="s">
        <v>17</v>
      </c>
      <c r="S37" s="775">
        <f t="shared" si="10"/>
        <v>100</v>
      </c>
      <c r="T37" s="774" t="s">
        <v>17</v>
      </c>
      <c r="U37" s="775">
        <f t="shared" si="11"/>
        <v>100</v>
      </c>
      <c r="V37" s="774" t="s">
        <v>17</v>
      </c>
      <c r="W37" s="775">
        <f t="shared" si="12"/>
        <v>100</v>
      </c>
      <c r="X37" s="776"/>
      <c r="Y37" s="3235"/>
      <c r="Z37" s="777">
        <f t="shared" si="13"/>
        <v>111</v>
      </c>
      <c r="AA37" s="1808">
        <f t="shared" si="3"/>
        <v>1</v>
      </c>
      <c r="AB37" s="1808">
        <f t="shared" si="4"/>
        <v>1</v>
      </c>
      <c r="AC37" s="1808">
        <f t="shared" si="5"/>
        <v>1</v>
      </c>
    </row>
    <row r="38" spans="1:29" ht="15.6">
      <c r="A38" s="471" t="s">
        <v>2562</v>
      </c>
      <c r="B38" s="455" t="s">
        <v>2750</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1" t="s">
        <v>17</v>
      </c>
      <c r="S38" s="772" t="e">
        <f t="shared" si="10"/>
        <v>#N/A</v>
      </c>
      <c r="T38" s="771" t="s">
        <v>17</v>
      </c>
      <c r="U38" s="772" t="e">
        <f t="shared" si="11"/>
        <v>#N/A</v>
      </c>
      <c r="V38" s="771" t="s">
        <v>17</v>
      </c>
      <c r="W38" s="772" t="e">
        <f t="shared" si="12"/>
        <v>#N/A</v>
      </c>
      <c r="X38" s="1810"/>
      <c r="Y38" s="3235"/>
      <c r="Z38" s="1811" t="str">
        <f t="shared" si="13"/>
        <v>宗地面积</v>
      </c>
      <c r="AA38" s="1808" t="e">
        <f t="shared" si="3"/>
        <v>#N/A</v>
      </c>
      <c r="AB38" s="1808" t="e">
        <f t="shared" si="4"/>
        <v>#N/A</v>
      </c>
      <c r="AC38" s="1808" t="e">
        <f t="shared" si="5"/>
        <v>#N/A</v>
      </c>
    </row>
    <row r="39" spans="1:29" ht="15">
      <c r="A39" s="471"/>
      <c r="B39" s="421" t="s">
        <v>2751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7"/>
      <c r="M39" s="1128"/>
      <c r="N39" s="1128"/>
      <c r="O39" s="1136"/>
      <c r="P39" s="3235"/>
      <c r="Q39" s="1807" t="str">
        <f t="shared" ref="Q39:Q45" si="14">B39</f>
        <v>宗地形状</v>
      </c>
      <c r="R39" s="771" t="s">
        <v>17</v>
      </c>
      <c r="S39" s="772">
        <f t="shared" si="10"/>
        <v>100</v>
      </c>
      <c r="T39" s="771" t="s">
        <v>17</v>
      </c>
      <c r="U39" s="772">
        <f t="shared" si="11"/>
        <v>100</v>
      </c>
      <c r="V39" s="771" t="s">
        <v>17</v>
      </c>
      <c r="W39" s="772">
        <f t="shared" si="12"/>
        <v>100</v>
      </c>
      <c r="X39" s="1810"/>
      <c r="Y39" s="3235"/>
      <c r="Z39" s="1811" t="str">
        <f t="shared" si="13"/>
        <v>宗地形状</v>
      </c>
      <c r="AA39" s="1808">
        <f t="shared" si="3"/>
        <v>1</v>
      </c>
      <c r="AB39" s="1808">
        <f t="shared" si="4"/>
        <v>1</v>
      </c>
      <c r="AC39" s="1808">
        <f t="shared" si="5"/>
        <v>1</v>
      </c>
    </row>
    <row r="40" spans="1:29" ht="15">
      <c r="A40" s="471"/>
      <c r="B40" s="421" t="s">
        <v>2752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7"/>
      <c r="M40" s="1128"/>
      <c r="N40" s="1128"/>
      <c r="O40" s="1136"/>
      <c r="P40" s="3235"/>
      <c r="Q40" s="1807" t="str">
        <f t="shared" si="14"/>
        <v>临街宽度及深度</v>
      </c>
      <c r="R40" s="771" t="s">
        <v>17</v>
      </c>
      <c r="S40" s="772">
        <f t="shared" si="10"/>
        <v>100</v>
      </c>
      <c r="T40" s="771" t="s">
        <v>17</v>
      </c>
      <c r="U40" s="772">
        <f t="shared" si="11"/>
        <v>100</v>
      </c>
      <c r="V40" s="771" t="s">
        <v>17</v>
      </c>
      <c r="W40" s="772">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2753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9"/>
      <c r="M41" s="1130"/>
      <c r="N41" s="1130"/>
      <c r="O41" s="1131"/>
      <c r="P41" s="3235"/>
      <c r="Q41" s="1807" t="str">
        <f t="shared" si="14"/>
        <v>宗地开发程度</v>
      </c>
      <c r="R41" s="767" t="s">
        <v>17</v>
      </c>
      <c r="S41" s="768">
        <f t="shared" si="10"/>
        <v>100</v>
      </c>
      <c r="T41" s="767" t="s">
        <v>17</v>
      </c>
      <c r="U41" s="768">
        <f t="shared" si="11"/>
        <v>100</v>
      </c>
      <c r="V41" s="767" t="s">
        <v>17</v>
      </c>
      <c r="W41" s="768">
        <f t="shared" si="12"/>
        <v>100</v>
      </c>
      <c r="X41" s="769"/>
      <c r="Y41" s="3235"/>
      <c r="Z41" s="55" t="str">
        <f t="shared" si="13"/>
        <v>宗地开发程度</v>
      </c>
      <c r="AA41" s="770">
        <f t="shared" si="3"/>
        <v>1</v>
      </c>
      <c r="AB41" s="770">
        <f t="shared" si="4"/>
        <v>1</v>
      </c>
      <c r="AC41" s="770">
        <f t="shared" si="5"/>
        <v>1</v>
      </c>
    </row>
    <row r="42" spans="1:29" ht="15">
      <c r="A42" s="471"/>
      <c r="B42" s="421" t="s">
        <v>2754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7"/>
      <c r="M42" s="1128"/>
      <c r="N42" s="1128"/>
      <c r="O42" s="1136"/>
      <c r="P42" s="3235" t="s">
        <v>2564</v>
      </c>
      <c r="Q42" s="1807" t="str">
        <f t="shared" si="14"/>
        <v>工程地质条件</v>
      </c>
      <c r="R42" s="771" t="s">
        <v>17</v>
      </c>
      <c r="S42" s="772">
        <f t="shared" si="10"/>
        <v>100</v>
      </c>
      <c r="T42" s="771" t="s">
        <v>17</v>
      </c>
      <c r="U42" s="772">
        <f t="shared" si="11"/>
        <v>100</v>
      </c>
      <c r="V42" s="771" t="s">
        <v>17</v>
      </c>
      <c r="W42" s="772">
        <f t="shared" si="12"/>
        <v>100</v>
      </c>
      <c r="X42" s="1810"/>
      <c r="Y42" s="3235" t="s">
        <v>2564</v>
      </c>
      <c r="Z42" s="1811" t="str">
        <f t="shared" si="13"/>
        <v>工程地质条件</v>
      </c>
      <c r="AA42" s="1808">
        <f t="shared" si="3"/>
        <v>1</v>
      </c>
      <c r="AB42" s="1808">
        <f t="shared" si="4"/>
        <v>1</v>
      </c>
      <c r="AC42" s="1808">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235"/>
      <c r="Q43" s="1807">
        <f t="shared" si="14"/>
        <v>111</v>
      </c>
      <c r="R43" s="771" t="s">
        <v>17</v>
      </c>
      <c r="S43" s="772">
        <f t="shared" si="10"/>
        <v>100</v>
      </c>
      <c r="T43" s="771" t="s">
        <v>17</v>
      </c>
      <c r="U43" s="772">
        <f t="shared" si="11"/>
        <v>100</v>
      </c>
      <c r="V43" s="771" t="s">
        <v>17</v>
      </c>
      <c r="W43" s="772">
        <f t="shared" si="12"/>
        <v>100</v>
      </c>
      <c r="X43" s="1810"/>
      <c r="Y43" s="3235"/>
      <c r="Z43" s="1811">
        <f t="shared" si="13"/>
        <v>111</v>
      </c>
      <c r="AA43" s="1808">
        <f t="shared" si="3"/>
        <v>1</v>
      </c>
      <c r="AB43" s="1808">
        <f t="shared" si="4"/>
        <v>1</v>
      </c>
      <c r="AC43" s="1808">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235"/>
      <c r="Q44" s="1807">
        <f t="shared" si="14"/>
        <v>111</v>
      </c>
      <c r="R44" s="771" t="s">
        <v>17</v>
      </c>
      <c r="S44" s="772">
        <f t="shared" si="10"/>
        <v>100</v>
      </c>
      <c r="T44" s="771" t="s">
        <v>17</v>
      </c>
      <c r="U44" s="772">
        <f t="shared" si="11"/>
        <v>100</v>
      </c>
      <c r="V44" s="771" t="s">
        <v>17</v>
      </c>
      <c r="W44" s="772">
        <f t="shared" si="12"/>
        <v>100</v>
      </c>
      <c r="X44" s="1810"/>
      <c r="Y44" s="3235"/>
      <c r="Z44" s="1811">
        <f t="shared" si="13"/>
        <v>111</v>
      </c>
      <c r="AA44" s="1808">
        <f t="shared" si="3"/>
        <v>1</v>
      </c>
      <c r="AB44" s="1808">
        <f t="shared" si="4"/>
        <v>1</v>
      </c>
      <c r="AC44" s="1808">
        <f t="shared" si="5"/>
        <v>1</v>
      </c>
    </row>
    <row r="45" spans="1:29" s="470" customFormat="1" ht="15.6" thickBot="1">
      <c r="A45" s="467"/>
      <c r="B45" s="1384">
        <v>111</v>
      </c>
      <c r="C45" s="2702"/>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235"/>
      <c r="Q45" s="1807">
        <f t="shared" si="14"/>
        <v>111</v>
      </c>
      <c r="R45" s="774" t="s">
        <v>17</v>
      </c>
      <c r="S45" s="775">
        <f t="shared" si="10"/>
        <v>100</v>
      </c>
      <c r="T45" s="774" t="s">
        <v>17</v>
      </c>
      <c r="U45" s="775">
        <f t="shared" si="11"/>
        <v>100</v>
      </c>
      <c r="V45" s="774" t="s">
        <v>17</v>
      </c>
      <c r="W45" s="775">
        <f t="shared" si="12"/>
        <v>100</v>
      </c>
      <c r="X45" s="776"/>
      <c r="Y45" s="3235"/>
      <c r="Z45" s="777">
        <f t="shared" si="13"/>
        <v>111</v>
      </c>
      <c r="AA45" s="1808">
        <f t="shared" si="3"/>
        <v>1</v>
      </c>
      <c r="AB45" s="1808">
        <f t="shared" si="4"/>
        <v>1</v>
      </c>
      <c r="AC45" s="1808">
        <f t="shared" si="5"/>
        <v>1</v>
      </c>
    </row>
    <row r="46" spans="1:29" ht="14.4">
      <c r="A46" s="478" t="s">
        <v>2719</v>
      </c>
      <c r="B46" s="2703" t="s">
        <v>2755</v>
      </c>
      <c r="C46" s="680" t="s">
        <v>1</v>
      </c>
      <c r="D46" s="480"/>
      <c r="E46" s="481"/>
      <c r="F46" s="482"/>
      <c r="G46" s="483"/>
      <c r="H46" s="484"/>
      <c r="I46" s="481"/>
      <c r="J46" s="484"/>
      <c r="K46" s="780"/>
      <c r="L46" s="1140"/>
      <c r="M46" s="1141"/>
      <c r="N46" s="1128"/>
      <c r="O46" s="1141"/>
      <c r="P46" s="3230" t="str">
        <f>A46</f>
        <v>成交单价</v>
      </c>
      <c r="Q46" s="3230"/>
      <c r="R46" s="3236">
        <f>E46</f>
        <v>0</v>
      </c>
      <c r="S46" s="3236"/>
      <c r="T46" s="3236">
        <f>G46</f>
        <v>0</v>
      </c>
      <c r="U46" s="3236"/>
      <c r="V46" s="3236">
        <f>I46</f>
        <v>0</v>
      </c>
      <c r="W46" s="3236"/>
      <c r="X46" s="756"/>
      <c r="Y46" s="778"/>
      <c r="Z46" s="756"/>
      <c r="AA46" s="756"/>
      <c r="AB46" s="756"/>
      <c r="AC46" s="756"/>
    </row>
    <row r="47" spans="1:29" ht="15" thickBot="1">
      <c r="A47" s="485" t="s">
        <v>2668</v>
      </c>
      <c r="B47" s="681"/>
      <c r="C47" s="489" t="e">
        <f>R48</f>
        <v>#DIV/0!</v>
      </c>
      <c r="D47" s="488"/>
      <c r="E47" s="489" t="e">
        <f>R47</f>
        <v>#DIV/0!</v>
      </c>
      <c r="F47" s="490"/>
      <c r="G47" s="487" t="e">
        <f>T47</f>
        <v>#DIV/0!</v>
      </c>
      <c r="H47" s="488"/>
      <c r="I47" s="489" t="e">
        <f>V47</f>
        <v>#DIV/0!</v>
      </c>
      <c r="J47" s="488"/>
      <c r="K47" s="781"/>
      <c r="L47" s="1140"/>
      <c r="M47" s="1141"/>
      <c r="N47" s="1141"/>
      <c r="O47" s="1141"/>
      <c r="P47" s="3230" t="str">
        <f>A47</f>
        <v>比较价值（元/平方米）</v>
      </c>
      <c r="Q47" s="3230"/>
      <c r="R47" s="3223" t="e">
        <f>ROUND(PRODUCT(R46,AA7:AA45),0)</f>
        <v>#DIV/0!</v>
      </c>
      <c r="S47" s="3223"/>
      <c r="T47" s="3223" t="e">
        <f>ROUND(PRODUCT(T46,AB7:AB45),0)</f>
        <v>#DIV/0!</v>
      </c>
      <c r="U47" s="3223"/>
      <c r="V47" s="3223" t="e">
        <f>ROUND(PRODUCT(V46,AC7:AC45),0)</f>
        <v>#DIV/0!</v>
      </c>
      <c r="W47" s="3223"/>
      <c r="X47" s="756"/>
      <c r="Y47" s="756"/>
      <c r="Z47" s="756"/>
      <c r="AA47" s="756"/>
      <c r="AB47" s="756"/>
      <c r="AC47" s="756"/>
    </row>
    <row r="48" spans="1:29" ht="15" thickBot="1">
      <c r="A48" s="491" t="s">
        <v>2756</v>
      </c>
      <c r="B48" s="492"/>
      <c r="C48" s="493" t="e">
        <f>R48</f>
        <v>#DIV/0!</v>
      </c>
      <c r="D48" s="493"/>
      <c r="E48" s="493"/>
      <c r="F48" s="493"/>
      <c r="G48" s="493"/>
      <c r="H48" s="493"/>
      <c r="I48" s="493"/>
      <c r="J48" s="493"/>
      <c r="K48" s="782"/>
      <c r="L48" s="1140"/>
      <c r="M48" s="1141"/>
      <c r="N48" s="1141"/>
      <c r="O48" s="1141"/>
      <c r="P48" s="3224" t="str">
        <f>A48</f>
        <v>估价对象XX用房的比较价值（楼面单价，元/平方米）</v>
      </c>
      <c r="Q48" s="3225"/>
      <c r="R48" s="3226" t="e">
        <f>ROUND(AVERAGE(R47:V47),0)</f>
        <v>#DIV/0!</v>
      </c>
      <c r="S48" s="3226"/>
      <c r="T48" s="3226"/>
      <c r="U48" s="3226"/>
      <c r="V48" s="3226"/>
      <c r="W48" s="322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2" t="s">
        <v>2757</v>
      </c>
      <c r="B55" s="683" t="s">
        <v>2758</v>
      </c>
      <c r="C55" s="2704" t="s">
        <v>2759</v>
      </c>
      <c r="D55" s="2705" t="s">
        <v>2760</v>
      </c>
      <c r="E55" s="684" t="s">
        <v>2761</v>
      </c>
      <c r="F55" s="1104" t="s">
        <v>2762</v>
      </c>
      <c r="G55" s="3227" t="s">
        <v>2763</v>
      </c>
      <c r="H55" s="3228"/>
      <c r="I55" s="143" t="s">
        <v>2764</v>
      </c>
      <c r="J55" s="2706">
        <f>项目基本情况!F35</f>
        <v>0</v>
      </c>
      <c r="K55" s="2707" t="s">
        <v>2765</v>
      </c>
      <c r="L55" s="1103"/>
      <c r="M55" s="1141"/>
      <c r="N55" s="1141"/>
      <c r="O55" s="1141"/>
    </row>
    <row r="56" spans="1:15" s="690" customFormat="1">
      <c r="A56" s="686" t="s">
        <v>2766</v>
      </c>
      <c r="B56" s="687" t="e">
        <f>C48</f>
        <v>#DIV/0!</v>
      </c>
      <c r="C56" s="688">
        <v>1</v>
      </c>
      <c r="D56" s="1160">
        <v>1</v>
      </c>
      <c r="E56" s="688">
        <f>'数据-汇总表'!E8+'数据-汇总表'!E9</f>
        <v>499.07</v>
      </c>
      <c r="F56" s="1100" t="e">
        <f t="shared" ref="F56:F65" si="15">ROUND(B56*E56/10000,0)</f>
        <v>#DIV/0!</v>
      </c>
      <c r="G56" s="3229"/>
      <c r="H56" s="3230"/>
      <c r="I56" s="1105">
        <v>1</v>
      </c>
      <c r="J56" s="1108">
        <v>1</v>
      </c>
      <c r="K56" s="1142"/>
      <c r="L56" s="938"/>
      <c r="M56" s="938"/>
      <c r="N56" s="938"/>
      <c r="O56" s="938"/>
    </row>
    <row r="57" spans="1:15" s="690" customFormat="1">
      <c r="A57" s="691" t="s">
        <v>2767</v>
      </c>
      <c r="B57" s="261" t="e">
        <f>ROUND($C$48*C57*D57,0)</f>
        <v>#DIV/0!</v>
      </c>
      <c r="C57" s="199">
        <f t="shared" ref="C57:C65" si="16">IF($C$55="北京市系数",I57,J57)</f>
        <v>0</v>
      </c>
      <c r="D57" s="1161">
        <v>0.25</v>
      </c>
      <c r="E57" s="692"/>
      <c r="F57" s="1100" t="e">
        <f t="shared" si="15"/>
        <v>#DIV/0!</v>
      </c>
      <c r="G57" s="3231" t="s">
        <v>2768</v>
      </c>
      <c r="H57" s="1101">
        <f>项目基本情况!B37</f>
        <v>0</v>
      </c>
      <c r="I57" s="1105">
        <f>SUMIF(修正!A45:A56,H57,修正!B45:B56)</f>
        <v>0</v>
      </c>
      <c r="J57" s="1109"/>
      <c r="K57" s="1141"/>
      <c r="L57" s="938"/>
      <c r="M57" s="938"/>
      <c r="N57" s="938"/>
      <c r="O57" s="938"/>
    </row>
    <row r="58" spans="1:15" s="690" customFormat="1">
      <c r="A58" s="691" t="s">
        <v>2769</v>
      </c>
      <c r="B58" s="261" t="e">
        <f t="shared" ref="B58:B65" si="17">ROUND($C$48*C58*D58,0)</f>
        <v>#DIV/0!</v>
      </c>
      <c r="C58" s="199">
        <f t="shared" si="16"/>
        <v>0</v>
      </c>
      <c r="D58" s="1161">
        <v>0.25</v>
      </c>
      <c r="E58" s="692"/>
      <c r="F58" s="1100" t="e">
        <f t="shared" si="15"/>
        <v>#DIV/0!</v>
      </c>
      <c r="G58" s="3231"/>
      <c r="H58" s="1101">
        <f>项目基本情况!B37</f>
        <v>0</v>
      </c>
      <c r="I58" s="1105">
        <f>SUMIF(修正!A45:A56,H58,修正!C45:C56)</f>
        <v>0</v>
      </c>
      <c r="J58" s="1109"/>
      <c r="K58" s="1142"/>
      <c r="L58" s="938"/>
      <c r="M58" s="938"/>
      <c r="N58" s="938"/>
      <c r="O58" s="938"/>
    </row>
    <row r="59" spans="1:15" s="690" customFormat="1">
      <c r="A59" s="691" t="s">
        <v>2770</v>
      </c>
      <c r="B59" s="261" t="e">
        <f t="shared" si="17"/>
        <v>#DIV/0!</v>
      </c>
      <c r="C59" s="199">
        <f t="shared" si="16"/>
        <v>0</v>
      </c>
      <c r="D59" s="1161">
        <v>0.25</v>
      </c>
      <c r="E59" s="692"/>
      <c r="F59" s="1100" t="e">
        <f t="shared" si="15"/>
        <v>#DIV/0!</v>
      </c>
      <c r="G59" s="3231"/>
      <c r="H59" s="1101">
        <f>项目基本情况!B37</f>
        <v>0</v>
      </c>
      <c r="I59" s="1105">
        <f>SUMIF(修正!A45:A56,H59,修正!D45:D56)</f>
        <v>0</v>
      </c>
      <c r="J59" s="1109"/>
      <c r="K59" s="1141"/>
      <c r="L59" s="938"/>
      <c r="M59" s="938"/>
      <c r="N59" s="938"/>
      <c r="O59" s="938"/>
    </row>
    <row r="60" spans="1:15" s="690" customFormat="1">
      <c r="A60" s="691" t="s">
        <v>2771</v>
      </c>
      <c r="B60" s="261" t="e">
        <f t="shared" si="17"/>
        <v>#DIV/0!</v>
      </c>
      <c r="C60" s="199">
        <f t="shared" si="16"/>
        <v>0</v>
      </c>
      <c r="D60" s="1161">
        <v>0.25</v>
      </c>
      <c r="E60" s="692"/>
      <c r="F60" s="1100" t="e">
        <f t="shared" si="15"/>
        <v>#DIV/0!</v>
      </c>
      <c r="G60" s="3231"/>
      <c r="H60" s="1101">
        <f>项目基本情况!B37</f>
        <v>0</v>
      </c>
      <c r="I60" s="1105">
        <f>SUMIF(修正!A45:A56,H60,修正!E45:E56)</f>
        <v>0</v>
      </c>
      <c r="J60" s="1109"/>
      <c r="K60" s="1142"/>
      <c r="L60" s="938"/>
      <c r="M60" s="938"/>
      <c r="N60" s="938"/>
      <c r="O60" s="938"/>
    </row>
    <row r="61" spans="1:15" s="690" customFormat="1">
      <c r="A61" s="691" t="s">
        <v>2772</v>
      </c>
      <c r="B61" s="261" t="e">
        <f t="shared" si="17"/>
        <v>#DIV/0!</v>
      </c>
      <c r="C61" s="199">
        <f t="shared" si="16"/>
        <v>0</v>
      </c>
      <c r="D61" s="1161">
        <v>0.25</v>
      </c>
      <c r="E61" s="260">
        <f>'数据-汇总表'!E11</f>
        <v>0</v>
      </c>
      <c r="F61" s="1100" t="e">
        <f t="shared" si="15"/>
        <v>#DIV/0!</v>
      </c>
      <c r="G61" s="2708" t="s">
        <v>2773</v>
      </c>
      <c r="H61" s="1101">
        <f>项目基本情况!C37</f>
        <v>0</v>
      </c>
      <c r="I61" s="1105">
        <f>SUMIF(修正!A45:A56,H61,修正!F45:F56)</f>
        <v>0</v>
      </c>
      <c r="J61" s="1109"/>
      <c r="K61" s="1141"/>
      <c r="L61" s="938"/>
      <c r="M61" s="938"/>
      <c r="N61" s="938"/>
      <c r="O61" s="938"/>
    </row>
    <row r="62" spans="1:15" s="690" customFormat="1">
      <c r="A62" s="691" t="s">
        <v>2774</v>
      </c>
      <c r="B62" s="261" t="e">
        <f t="shared" si="17"/>
        <v>#DIV/0!</v>
      </c>
      <c r="C62" s="199">
        <f t="shared" si="16"/>
        <v>0</v>
      </c>
      <c r="D62" s="1161">
        <v>0.25</v>
      </c>
      <c r="E62" s="260">
        <f>'数据-汇总表'!E12</f>
        <v>0</v>
      </c>
      <c r="F62" s="1100" t="e">
        <f t="shared" si="15"/>
        <v>#DIV/0!</v>
      </c>
      <c r="G62" s="1106" t="s">
        <v>2775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2776</v>
      </c>
      <c r="B63" s="261" t="e">
        <f t="shared" si="17"/>
        <v>#DIV/0!</v>
      </c>
      <c r="C63" s="199">
        <f t="shared" si="16"/>
        <v>0</v>
      </c>
      <c r="D63" s="1161">
        <v>0.25</v>
      </c>
      <c r="E63" s="260">
        <f>'数据-汇总表'!E13</f>
        <v>0</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2778</v>
      </c>
      <c r="B64" s="261" t="e">
        <f t="shared" si="17"/>
        <v>#DIV/0!</v>
      </c>
      <c r="C64" s="199">
        <f t="shared" si="16"/>
        <v>0</v>
      </c>
      <c r="D64" s="1161">
        <v>0.25</v>
      </c>
      <c r="E64" s="260">
        <f>'数据-汇总表'!E14</f>
        <v>0</v>
      </c>
      <c r="F64" s="1100" t="e">
        <f t="shared" si="15"/>
        <v>#DIV/0!</v>
      </c>
      <c r="G64" s="2708" t="s">
        <v>2768</v>
      </c>
      <c r="H64" s="1101">
        <f>项目基本情况!B37</f>
        <v>0</v>
      </c>
      <c r="I64" s="1105">
        <f>SUMIF(修正!A45:A56,H64,修正!H45:H56)</f>
        <v>0</v>
      </c>
      <c r="J64" s="1109"/>
      <c r="K64" s="1142"/>
      <c r="L64" s="938"/>
      <c r="M64" s="938"/>
      <c r="N64" s="938"/>
      <c r="O64" s="938"/>
    </row>
    <row r="65" spans="1:17" s="690" customFormat="1" ht="14.4" thickBot="1">
      <c r="A65" s="691" t="s">
        <v>2779</v>
      </c>
      <c r="B65" s="261" t="e">
        <f t="shared" si="17"/>
        <v>#DIV/0!</v>
      </c>
      <c r="C65" s="199">
        <f t="shared" si="16"/>
        <v>0</v>
      </c>
      <c r="D65" s="1161">
        <v>0.25</v>
      </c>
      <c r="E65" s="260">
        <f>'数据-汇总表'!E15</f>
        <v>0</v>
      </c>
      <c r="F65" s="1100" t="e">
        <f t="shared" si="15"/>
        <v>#DIV/0!</v>
      </c>
      <c r="G65" s="2709" t="s">
        <v>2773</v>
      </c>
      <c r="H65" s="1111">
        <f>项目基本情况!C37</f>
        <v>0</v>
      </c>
      <c r="I65" s="1107">
        <f>SUMIF(修正!A45:A56,H65,修正!H45:H56)</f>
        <v>0</v>
      </c>
      <c r="J65" s="1110"/>
      <c r="K65" s="1141"/>
      <c r="L65" s="938"/>
      <c r="M65" s="938"/>
      <c r="N65" s="938"/>
      <c r="O65" s="938"/>
    </row>
    <row r="66" spans="1:17" s="690" customFormat="1" thickBot="1">
      <c r="A66" s="693" t="s">
        <v>2780</v>
      </c>
      <c r="B66" s="694" t="s">
        <v>28</v>
      </c>
      <c r="C66" s="694" t="s">
        <v>29</v>
      </c>
      <c r="D66" s="694" t="s">
        <v>1025</v>
      </c>
      <c r="E66" s="694">
        <f>IF(B46="楼面地价",SUM(E56:E65),'数据-汇总表'!D3)</f>
        <v>499.07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2020-1-1</v>
      </c>
      <c r="D68" s="758">
        <f>EDATE(C68,-3)</f>
        <v>43739</v>
      </c>
      <c r="E68" s="758">
        <f>EDATE(D68,-3)</f>
        <v>43647</v>
      </c>
      <c r="F68" s="758">
        <f t="shared" ref="F68:O68" si="18">EDATE(E68,-3)</f>
        <v>43556</v>
      </c>
      <c r="G68" s="758">
        <f t="shared" si="18"/>
        <v>43466</v>
      </c>
      <c r="H68" s="758">
        <f t="shared" si="18"/>
        <v>43374</v>
      </c>
      <c r="I68" s="758">
        <f t="shared" si="18"/>
        <v>43282</v>
      </c>
      <c r="J68" s="758">
        <f t="shared" si="18"/>
        <v>43191</v>
      </c>
      <c r="K68" s="758">
        <f t="shared" si="18"/>
        <v>43101</v>
      </c>
      <c r="L68" s="758">
        <f t="shared" si="18"/>
        <v>43009</v>
      </c>
      <c r="M68" s="758">
        <f t="shared" si="18"/>
        <v>42917</v>
      </c>
      <c r="N68" s="758">
        <f t="shared" si="18"/>
        <v>42826</v>
      </c>
      <c r="O68" s="758">
        <f t="shared" si="18"/>
        <v>42736</v>
      </c>
    </row>
    <row r="69" spans="1:17" ht="22.2" thickBot="1">
      <c r="A69" s="760" t="s">
        <v>2673</v>
      </c>
      <c r="B69" s="756"/>
      <c r="C69" s="761"/>
      <c r="D69" s="761"/>
      <c r="E69" s="761"/>
      <c r="F69" s="762"/>
      <c r="G69" s="762"/>
      <c r="H69" s="761"/>
      <c r="I69" s="761"/>
      <c r="J69" s="1156"/>
      <c r="K69" s="1157"/>
      <c r="L69" s="1158"/>
      <c r="M69" s="1156"/>
      <c r="N69" s="1156"/>
      <c r="O69" s="1156"/>
      <c r="P69" s="502"/>
      <c r="Q69" s="503"/>
    </row>
    <row r="70" spans="1:17" s="507" customFormat="1" ht="14.4">
      <c r="A70" s="2710" t="s">
        <v>2781</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6"/>
    </row>
    <row r="71" spans="1:17" s="117" customFormat="1" ht="30" customHeight="1">
      <c r="A71" s="2711"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4"/>
      <c r="N71" s="594"/>
      <c r="O71" s="1565"/>
      <c r="P71" s="503"/>
    </row>
    <row r="72" spans="1:17" s="117" customFormat="1" ht="15" thickBot="1">
      <c r="A72" s="514" t="s">
        <v>2584</v>
      </c>
      <c r="B72" s="515"/>
      <c r="C72" s="516"/>
      <c r="D72" s="517"/>
      <c r="E72" s="517"/>
      <c r="F72" s="517"/>
      <c r="G72" s="517"/>
      <c r="H72" s="517"/>
      <c r="I72" s="517"/>
      <c r="J72" s="517"/>
      <c r="K72" s="517"/>
      <c r="L72" s="517"/>
      <c r="M72" s="518"/>
      <c r="N72" s="517"/>
      <c r="O72" s="1159"/>
      <c r="P72" s="503"/>
      <c r="Q72" s="503"/>
    </row>
    <row r="73" spans="1:17" s="117" customFormat="1" ht="14.4">
      <c r="A73" s="520" t="s">
        <v>2549</v>
      </c>
      <c r="B73" s="509"/>
      <c r="C73" s="521" t="s">
        <v>2651</v>
      </c>
      <c r="D73" s="522"/>
      <c r="E73" s="522"/>
      <c r="F73" s="522"/>
      <c r="G73" s="522"/>
      <c r="H73" s="522"/>
      <c r="I73" s="522"/>
      <c r="J73" s="522"/>
      <c r="K73" s="522"/>
      <c r="L73" s="523"/>
      <c r="M73" s="524"/>
      <c r="N73" s="1148"/>
      <c r="O73" s="1148"/>
      <c r="P73" s="525"/>
      <c r="Q73" s="503"/>
    </row>
    <row r="74" spans="1:17" s="117" customFormat="1" ht="14.4" thickBot="1">
      <c r="A74" s="520"/>
      <c r="B74" s="509"/>
      <c r="C74" s="637">
        <v>100</v>
      </c>
      <c r="D74" s="511"/>
      <c r="E74" s="511"/>
      <c r="F74" s="511"/>
      <c r="G74" s="511"/>
      <c r="H74" s="511"/>
      <c r="I74" s="511"/>
      <c r="J74" s="511"/>
      <c r="K74" s="511"/>
      <c r="L74" s="511"/>
      <c r="M74" s="513"/>
      <c r="N74" s="1148"/>
      <c r="O74" s="1148"/>
      <c r="P74" s="503"/>
      <c r="Q74" s="503"/>
    </row>
    <row r="75" spans="1:17" ht="14.4">
      <c r="A75" s="526" t="s">
        <v>2587</v>
      </c>
      <c r="B75" s="527" t="s">
        <v>2553</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2556</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29.4" thickTop="1">
      <c r="A96" s="578"/>
      <c r="B96" s="537" t="s">
        <v>2784</v>
      </c>
      <c r="C96" s="577" t="s">
        <v>2596</v>
      </c>
      <c r="D96" s="577" t="s">
        <v>2597</v>
      </c>
      <c r="E96" s="577" t="s">
        <v>2598</v>
      </c>
      <c r="F96" s="577" t="s">
        <v>2599</v>
      </c>
      <c r="G96" s="577" t="s">
        <v>2600</v>
      </c>
      <c r="H96" s="577"/>
      <c r="I96" s="577"/>
      <c r="J96" s="577"/>
      <c r="K96" s="577"/>
      <c r="L96" s="696"/>
      <c r="M96" s="620"/>
      <c r="N96" s="1148"/>
      <c r="O96" s="1148"/>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9.4" thickTop="1">
      <c r="A98" s="578"/>
      <c r="B98" s="537" t="s">
        <v>2785</v>
      </c>
      <c r="C98" s="572" t="s">
        <v>2596</v>
      </c>
      <c r="D98" s="572" t="s">
        <v>2597</v>
      </c>
      <c r="E98" s="572" t="s">
        <v>2598</v>
      </c>
      <c r="F98" s="572" t="s">
        <v>2599</v>
      </c>
      <c r="G98" s="572" t="s">
        <v>2600</v>
      </c>
      <c r="H98" s="577"/>
      <c r="I98" s="577"/>
      <c r="J98" s="577"/>
      <c r="K98" s="577"/>
      <c r="L98" s="577"/>
      <c r="M98" s="620"/>
      <c r="N98" s="1148"/>
      <c r="O98" s="1148"/>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2654</v>
      </c>
      <c r="C102" s="658" t="s">
        <v>2674</v>
      </c>
      <c r="D102" s="658" t="s">
        <v>2675</v>
      </c>
      <c r="E102" s="658" t="s">
        <v>2676</v>
      </c>
      <c r="F102" s="658" t="s">
        <v>2677</v>
      </c>
      <c r="G102" s="658" t="s">
        <v>2678</v>
      </c>
      <c r="H102" s="599"/>
      <c r="I102" s="599"/>
      <c r="J102" s="599"/>
      <c r="K102" s="599"/>
      <c r="L102" s="599"/>
      <c r="M102" s="1382"/>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2690</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2749</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3"/>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5"/>
      <c r="E115" s="675"/>
      <c r="F115" s="675"/>
      <c r="G115" s="675"/>
      <c r="H115" s="675"/>
      <c r="I115" s="675"/>
      <c r="J115" s="675"/>
      <c r="K115" s="675"/>
      <c r="L115" s="675"/>
      <c r="M115" s="697"/>
      <c r="N115" s="1150"/>
      <c r="O115" s="1150"/>
      <c r="P115" s="557"/>
      <c r="Q115" s="558"/>
    </row>
    <row r="116" spans="1:17" ht="14.4">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2791</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2792</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2793</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2794</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L34" sqref="L3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2458</v>
      </c>
      <c r="B1" s="1578"/>
      <c r="C1" s="1579"/>
      <c r="D1" s="1577"/>
      <c r="E1" s="319"/>
      <c r="F1" s="319"/>
      <c r="G1" s="1578"/>
      <c r="H1" s="319"/>
      <c r="I1" s="319"/>
      <c r="J1" s="319"/>
      <c r="K1" s="319">
        <f>MATCH(C1,'数据-取费表'!A6:A16,0)+5</f>
        <v>8</v>
      </c>
    </row>
    <row r="2" spans="1:33" ht="18" customHeight="1">
      <c r="A2" s="244" t="s">
        <v>2326</v>
      </c>
      <c r="B2" s="247">
        <f ca="1">C32</f>
        <v>-27</v>
      </c>
      <c r="C2" s="319" t="s">
        <v>2459</v>
      </c>
      <c r="D2" s="319"/>
      <c r="E2" s="319"/>
      <c r="F2" s="319"/>
      <c r="G2" s="319"/>
      <c r="H2" s="319"/>
      <c r="I2" s="319"/>
      <c r="J2" s="319"/>
      <c r="K2" s="319"/>
    </row>
    <row r="3" spans="1:33" ht="18" customHeight="1" thickBot="1">
      <c r="A3" s="246" t="s">
        <v>2328</v>
      </c>
      <c r="B3" s="247">
        <f ca="1">ROUND(B2*10000/IF(C1="",'数据-汇总表'!E3,INDIRECT("'数据-取费表'!K"&amp;$K$1)),0)</f>
        <v>-541</v>
      </c>
      <c r="C3" s="319" t="s">
        <v>2460</v>
      </c>
      <c r="D3" s="319"/>
      <c r="E3" s="319"/>
      <c r="F3" s="319"/>
      <c r="G3" s="319"/>
      <c r="H3" s="319"/>
      <c r="I3" s="319"/>
      <c r="J3" s="319"/>
      <c r="K3" s="319"/>
    </row>
    <row r="4" spans="1:33" s="953" customFormat="1" ht="16.5" customHeight="1">
      <c r="A4" s="950" t="s">
        <v>2461</v>
      </c>
      <c r="B4" s="951"/>
      <c r="C4" s="993">
        <f>SUM(C8:K8)</f>
        <v>0</v>
      </c>
      <c r="D4" s="951"/>
      <c r="E4" s="951"/>
      <c r="F4" s="951"/>
      <c r="G4" s="951"/>
      <c r="H4" s="951"/>
      <c r="I4" s="951"/>
      <c r="J4" s="951"/>
      <c r="K4" s="952"/>
    </row>
    <row r="5" spans="1:33" s="957" customFormat="1" ht="25.2">
      <c r="A5" s="954" t="s">
        <v>2462</v>
      </c>
      <c r="B5" s="955" t="s">
        <v>2463</v>
      </c>
      <c r="C5" s="2553" t="s">
        <v>2464</v>
      </c>
      <c r="D5" s="2553" t="s">
        <v>2465</v>
      </c>
      <c r="E5" s="2553" t="s">
        <v>2466</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2470</v>
      </c>
      <c r="B8" s="176"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1330</v>
      </c>
      <c r="B12" s="969" t="s">
        <v>2480</v>
      </c>
      <c r="C12" s="24">
        <f ca="1">ROUND(C11*F12,0)</f>
        <v>0</v>
      </c>
      <c r="D12" s="970"/>
      <c r="E12" s="374"/>
      <c r="F12" s="973">
        <f>'数据-取费表'!B33</f>
        <v>0.05</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4"/>
      <c r="F13" s="973">
        <f>'数据-取费表'!B34</f>
        <v>0</v>
      </c>
      <c r="G13" s="8" t="s">
        <v>2483</v>
      </c>
      <c r="H13" s="965"/>
      <c r="I13" s="965"/>
      <c r="J13" s="965"/>
      <c r="K13" s="966"/>
    </row>
    <row r="14" spans="1:33" s="974" customFormat="1" ht="13.5" customHeight="1">
      <c r="A14" s="968" t="s">
        <v>1332</v>
      </c>
      <c r="B14" s="969" t="s">
        <v>2484</v>
      </c>
      <c r="C14" s="24">
        <f ca="1">ROUND(D14*E14*F11/10000,0)</f>
        <v>0</v>
      </c>
      <c r="D14" s="1030">
        <f ca="1">IF(C1="",'数据-汇总表'!E3,INDIRECT("'数据-取费表'!K"&amp;$K$1)+INDIRECT("'数据-取费表'!S"&amp;$K$1))</f>
        <v>499.07</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0</v>
      </c>
      <c r="D15" s="975"/>
      <c r="E15" s="980"/>
      <c r="F15" s="981">
        <f>'数据-取费表'!B36</f>
        <v>1.4999999999999999E-2</v>
      </c>
      <c r="G15" s="139"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499.07</v>
      </c>
      <c r="E17" s="24">
        <f>'数据-取费表'!B32</f>
        <v>0</v>
      </c>
      <c r="F17" s="975"/>
      <c r="G17" s="139"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21</v>
      </c>
      <c r="D18" s="1030"/>
      <c r="E18" s="24"/>
      <c r="F18" s="973"/>
      <c r="G18" s="2555"/>
      <c r="H18" s="1574"/>
      <c r="I18" s="2556"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430</v>
      </c>
      <c r="F19" s="973"/>
      <c r="G19" s="15"/>
      <c r="H19" s="1576"/>
      <c r="I19" s="978"/>
      <c r="J19" s="978"/>
      <c r="K19" s="979"/>
    </row>
    <row r="20" spans="1:33" s="972" customFormat="1" ht="13.5" customHeight="1">
      <c r="A20" s="968" t="s">
        <v>806</v>
      </c>
      <c r="B20" s="969" t="s">
        <v>2494</v>
      </c>
      <c r="C20" s="24">
        <f ca="1">ROUND(D20*E20/10000,0)</f>
        <v>21</v>
      </c>
      <c r="D20" s="1030">
        <f ca="1">IF(C1="",'数据-汇总表'!E6,IF(INDIRECT("'数据-取费表'!c"&amp;$K$1)="住宅",INDIRECT("'数据-取费表'!s"&amp;$K$1),INDIRECT("'数据-取费表'!k"&amp;$K$1)+INDIRECT("'数据-取费表'!s"&amp;$K$1)))</f>
        <v>499.07</v>
      </c>
      <c r="E20" s="24">
        <f>'数据-取费表'!B28</f>
        <v>430</v>
      </c>
      <c r="F20" s="973"/>
      <c r="G20" s="15"/>
      <c r="H20" s="978"/>
      <c r="I20" s="978"/>
      <c r="J20" s="978"/>
      <c r="K20" s="979"/>
    </row>
    <row r="21" spans="1:33" s="972" customFormat="1" ht="13.5" customHeight="1">
      <c r="A21" s="958" t="s">
        <v>802</v>
      </c>
      <c r="B21" s="982" t="s">
        <v>2495</v>
      </c>
      <c r="C21" s="983">
        <f ca="1">C16+C17+C18</f>
        <v>21</v>
      </c>
      <c r="D21" s="984"/>
      <c r="E21" s="324"/>
      <c r="F21" s="324"/>
      <c r="G21" s="139" t="s">
        <v>2496</v>
      </c>
      <c r="H21" s="976"/>
      <c r="I21" s="976"/>
      <c r="J21" s="976"/>
      <c r="K21" s="977"/>
    </row>
    <row r="22" spans="1:33" s="972" customFormat="1" ht="13.5" customHeight="1">
      <c r="A22" s="958" t="s">
        <v>2468</v>
      </c>
      <c r="B22" s="982" t="s">
        <v>2497</v>
      </c>
      <c r="C22" s="983">
        <f ca="1">ROUND(C21*F22,0)</f>
        <v>1</v>
      </c>
      <c r="D22" s="324"/>
      <c r="E22" s="324"/>
      <c r="F22" s="985">
        <f>'数据-取费表'!B37</f>
        <v>0.03</v>
      </c>
      <c r="G22" s="8" t="s">
        <v>2498</v>
      </c>
      <c r="H22" s="965"/>
      <c r="I22" s="965"/>
      <c r="J22" s="965"/>
      <c r="K22" s="966"/>
    </row>
    <row r="23" spans="1:33" s="972" customFormat="1" ht="13.5" customHeight="1">
      <c r="A23" s="958" t="s">
        <v>2470</v>
      </c>
      <c r="B23" s="982" t="s">
        <v>2499</v>
      </c>
      <c r="C23" s="983">
        <f ca="1">ROUND(C4*F23*F11,0)</f>
        <v>0</v>
      </c>
      <c r="D23" s="324"/>
      <c r="E23" s="324"/>
      <c r="F23" s="985">
        <f>'数据-取费表'!B38</f>
        <v>0.03</v>
      </c>
      <c r="G23" s="8" t="s">
        <v>2500</v>
      </c>
      <c r="H23" s="965"/>
      <c r="I23" s="965"/>
      <c r="J23" s="965"/>
      <c r="K23" s="966"/>
    </row>
    <row r="24" spans="1:33" s="972" customFormat="1" ht="13.5" customHeight="1">
      <c r="A24" s="958" t="s">
        <v>2501</v>
      </c>
      <c r="B24" s="982" t="s">
        <v>2502</v>
      </c>
      <c r="C24" s="323">
        <f>ROUND(F24/(1+'数据-取费表'!C42),4)</f>
        <v>2.9000000000000001E-2</v>
      </c>
      <c r="D24" s="324" t="s">
        <v>15</v>
      </c>
      <c r="E24" s="324"/>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6"/>
      <c r="I27" s="976"/>
      <c r="J27" s="976"/>
      <c r="K27" s="977"/>
    </row>
    <row r="28" spans="1:33" s="332" customFormat="1" ht="13.5" customHeight="1">
      <c r="A28" s="958" t="s">
        <v>2508</v>
      </c>
      <c r="B28" s="2558" t="s">
        <v>2509</v>
      </c>
      <c r="C28" s="330">
        <f ca="1">C30</f>
        <v>6</v>
      </c>
      <c r="D28" s="323">
        <f ca="1">C29</f>
        <v>0</v>
      </c>
      <c r="E28" s="325" t="s">
        <v>15</v>
      </c>
      <c r="F28" s="331">
        <f ca="1">IF(C1="",'数据-取费表'!Q16,INDIRECT("'数据-取费表'!q"&amp;$K$1))</f>
        <v>0.28999999999999998</v>
      </c>
      <c r="G28" s="986"/>
      <c r="H28" s="987"/>
      <c r="I28" s="987"/>
      <c r="J28" s="987"/>
      <c r="K28" s="988"/>
    </row>
    <row r="29" spans="1:33" s="334" customFormat="1" ht="13.5" customHeight="1">
      <c r="A29" s="968" t="s">
        <v>803</v>
      </c>
      <c r="B29" s="991" t="s">
        <v>2510</v>
      </c>
      <c r="C29" s="327">
        <f ca="1">ROUND((1+C24)*F28*'数据-取费表'!B24/'数据-取费表'!B20,4)</f>
        <v>0</v>
      </c>
      <c r="D29" s="327"/>
      <c r="E29" s="328"/>
      <c r="F29" s="333"/>
      <c r="G29" s="139" t="s">
        <v>2511</v>
      </c>
      <c r="H29" s="976"/>
      <c r="I29" s="976"/>
      <c r="J29" s="976"/>
      <c r="K29" s="977"/>
    </row>
    <row r="30" spans="1:33" s="334" customFormat="1" ht="13.5" customHeight="1">
      <c r="A30" s="968" t="s">
        <v>804</v>
      </c>
      <c r="B30" s="991" t="s">
        <v>2512</v>
      </c>
      <c r="C30" s="335">
        <f ca="1">ROUND((C21+C22+C23)*F28,0)</f>
        <v>6</v>
      </c>
      <c r="D30" s="327"/>
      <c r="E30" s="328"/>
      <c r="F30" s="333"/>
      <c r="G30" s="139"/>
      <c r="H30" s="976"/>
      <c r="I30" s="976"/>
      <c r="J30" s="976"/>
      <c r="K30" s="977"/>
    </row>
    <row r="31" spans="1:33" s="972" customFormat="1" ht="13.5" customHeight="1" thickBot="1">
      <c r="A31" s="2559" t="s">
        <v>2513</v>
      </c>
      <c r="B31" s="1002" t="s">
        <v>2514</v>
      </c>
      <c r="C31" s="1003">
        <f>ROUND(C4*F31/(1+'数据-取费表'!C42),0)</f>
        <v>0</v>
      </c>
      <c r="D31" s="1004"/>
      <c r="E31" s="1005"/>
      <c r="F31" s="1006">
        <f>'数据-取费表'!B41</f>
        <v>5.6000000000000001E-2</v>
      </c>
      <c r="G31" s="1007" t="s">
        <v>2515</v>
      </c>
      <c r="H31" s="1008"/>
      <c r="I31" s="1008"/>
      <c r="J31" s="1008"/>
      <c r="K31" s="1009"/>
    </row>
    <row r="32" spans="1:33" s="967" customFormat="1" ht="13.5" customHeight="1" thickBot="1">
      <c r="A32" s="997" t="s">
        <v>2516</v>
      </c>
      <c r="B32" s="998"/>
      <c r="C32" s="999">
        <f ca="1">ROUND((C4-C21-C22-C23-C25-C28-C31)/(1+C24+D25+D28),0)</f>
        <v>-27</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82" t="s">
        <v>1072</v>
      </c>
      <c r="B1" s="3283"/>
      <c r="C1" s="3284"/>
      <c r="D1" s="3285">
        <f>SUM(I10,I15,I20,I21,I23)</f>
        <v>0</v>
      </c>
      <c r="E1" s="3285"/>
      <c r="F1" s="3285"/>
      <c r="G1" s="3285"/>
      <c r="H1" s="3285"/>
      <c r="I1" s="3286"/>
    </row>
    <row r="2" spans="1:9">
      <c r="A2" s="3272" t="s">
        <v>1073</v>
      </c>
      <c r="B2" s="3273" t="s">
        <v>1074</v>
      </c>
      <c r="C2" s="3273"/>
      <c r="D2" s="1298" t="s">
        <v>1075</v>
      </c>
      <c r="E2" s="1298" t="s">
        <v>1076</v>
      </c>
      <c r="F2" s="1298" t="s">
        <v>1077</v>
      </c>
      <c r="G2" s="1298" t="s">
        <v>1078</v>
      </c>
      <c r="H2" s="1298" t="s">
        <v>1079</v>
      </c>
      <c r="I2" s="1299" t="s">
        <v>1080</v>
      </c>
    </row>
    <row r="3" spans="1:9">
      <c r="A3" s="3272"/>
      <c r="B3" s="3273" t="s">
        <v>1081</v>
      </c>
      <c r="C3" s="3273"/>
      <c r="D3" s="1300"/>
      <c r="E3" s="1298"/>
      <c r="F3" s="1301"/>
      <c r="G3" s="1301"/>
      <c r="H3" s="1302"/>
      <c r="I3" s="1303">
        <f>ROUND(D3*E3*F3*G3*H3/10000,0)</f>
        <v>0</v>
      </c>
    </row>
    <row r="4" spans="1:9">
      <c r="A4" s="3272"/>
      <c r="B4" s="3273" t="s">
        <v>1082</v>
      </c>
      <c r="C4" s="3273"/>
      <c r="D4" s="1300"/>
      <c r="E4" s="1298"/>
      <c r="F4" s="1301"/>
      <c r="G4" s="1301"/>
      <c r="H4" s="1302"/>
      <c r="I4" s="1303">
        <f t="shared" ref="I4:I9" si="0">ROUND(D4*E4*F4*G4*H4/10000,0)</f>
        <v>0</v>
      </c>
    </row>
    <row r="5" spans="1:9">
      <c r="A5" s="3272"/>
      <c r="B5" s="3273" t="s">
        <v>1083</v>
      </c>
      <c r="C5" s="3273"/>
      <c r="D5" s="1300"/>
      <c r="E5" s="1298"/>
      <c r="F5" s="1301"/>
      <c r="G5" s="1301"/>
      <c r="H5" s="1302"/>
      <c r="I5" s="1303">
        <f t="shared" si="0"/>
        <v>0</v>
      </c>
    </row>
    <row r="6" spans="1:9">
      <c r="A6" s="3272"/>
      <c r="B6" s="3273" t="s">
        <v>1084</v>
      </c>
      <c r="C6" s="3273"/>
      <c r="D6" s="1300"/>
      <c r="E6" s="1298"/>
      <c r="F6" s="1301"/>
      <c r="G6" s="1301"/>
      <c r="H6" s="1302"/>
      <c r="I6" s="1303">
        <f t="shared" si="0"/>
        <v>0</v>
      </c>
    </row>
    <row r="7" spans="1:9">
      <c r="A7" s="3272"/>
      <c r="B7" s="3273" t="s">
        <v>1085</v>
      </c>
      <c r="C7" s="3273"/>
      <c r="D7" s="1300"/>
      <c r="E7" s="1298"/>
      <c r="F7" s="1301"/>
      <c r="G7" s="1301"/>
      <c r="H7" s="1302"/>
      <c r="I7" s="1303">
        <f t="shared" si="0"/>
        <v>0</v>
      </c>
    </row>
    <row r="8" spans="1:9">
      <c r="A8" s="3272"/>
      <c r="B8" s="3273" t="s">
        <v>1086</v>
      </c>
      <c r="C8" s="3273"/>
      <c r="D8" s="1300"/>
      <c r="E8" s="1298"/>
      <c r="F8" s="1301"/>
      <c r="G8" s="1301"/>
      <c r="H8" s="1302"/>
      <c r="I8" s="1303">
        <f t="shared" si="0"/>
        <v>0</v>
      </c>
    </row>
    <row r="9" spans="1:9">
      <c r="A9" s="3272"/>
      <c r="B9" s="3273" t="s">
        <v>1087</v>
      </c>
      <c r="C9" s="3273"/>
      <c r="D9" s="1300"/>
      <c r="E9" s="1298"/>
      <c r="F9" s="1301"/>
      <c r="G9" s="1301"/>
      <c r="H9" s="1302"/>
      <c r="I9" s="1303">
        <f t="shared" si="0"/>
        <v>0</v>
      </c>
    </row>
    <row r="10" spans="1:9">
      <c r="A10" s="3272"/>
      <c r="B10" s="3274" t="s">
        <v>1088</v>
      </c>
      <c r="C10" s="3274"/>
      <c r="D10" s="1304"/>
      <c r="E10" s="1304" t="e">
        <f>ROUND(D1*10000/D10/H9,0)</f>
        <v>#DIV/0!</v>
      </c>
      <c r="F10" s="1305"/>
      <c r="G10" s="1305"/>
      <c r="H10" s="1306"/>
      <c r="I10" s="1307">
        <f>SUM(I3:I9)</f>
        <v>0</v>
      </c>
    </row>
    <row r="11" spans="1:9" ht="15.6">
      <c r="A11" s="3272" t="s">
        <v>1089</v>
      </c>
      <c r="B11" s="3273" t="s">
        <v>1090</v>
      </c>
      <c r="C11" s="3273"/>
      <c r="D11" s="1300" t="s">
        <v>1091</v>
      </c>
      <c r="E11" s="1300" t="s">
        <v>1092</v>
      </c>
      <c r="F11" s="1301" t="s">
        <v>1093</v>
      </c>
      <c r="G11" s="1301" t="s">
        <v>1079</v>
      </c>
      <c r="H11" s="1308" t="s">
        <v>1094</v>
      </c>
      <c r="I11" s="1299" t="s">
        <v>1080</v>
      </c>
    </row>
    <row r="12" spans="1:9">
      <c r="A12" s="3272"/>
      <c r="B12" s="3273" t="s">
        <v>1095</v>
      </c>
      <c r="C12" s="3273"/>
      <c r="D12" s="1300"/>
      <c r="E12" s="1300"/>
      <c r="F12" s="1301"/>
      <c r="G12" s="1302"/>
      <c r="H12" s="1309"/>
      <c r="I12" s="1299">
        <f>ROUND(D12*E12*F12*G12/10000,0)</f>
        <v>0</v>
      </c>
    </row>
    <row r="13" spans="1:9">
      <c r="A13" s="3272"/>
      <c r="B13" s="3273" t="s">
        <v>1096</v>
      </c>
      <c r="C13" s="3273"/>
      <c r="D13" s="1300"/>
      <c r="E13" s="1300"/>
      <c r="F13" s="1301"/>
      <c r="G13" s="1302"/>
      <c r="H13" s="1309"/>
      <c r="I13" s="1299">
        <f>ROUND(D13*E13*F13*G13/10000,0)</f>
        <v>0</v>
      </c>
    </row>
    <row r="14" spans="1:9">
      <c r="A14" s="3272"/>
      <c r="B14" s="3273" t="s">
        <v>1097</v>
      </c>
      <c r="C14" s="3273"/>
      <c r="D14" s="1300"/>
      <c r="E14" s="1300"/>
      <c r="F14" s="1301"/>
      <c r="G14" s="1302"/>
      <c r="H14" s="1309"/>
      <c r="I14" s="1299">
        <f>ROUND(D14*E14*F14*G14/10000,0)</f>
        <v>0</v>
      </c>
    </row>
    <row r="15" spans="1:9">
      <c r="A15" s="3272"/>
      <c r="B15" s="3274" t="s">
        <v>1088</v>
      </c>
      <c r="C15" s="3274"/>
      <c r="D15" s="1304"/>
      <c r="E15" s="1304">
        <f>SUM(E12:E14)</f>
        <v>0</v>
      </c>
      <c r="F15" s="1305"/>
      <c r="G15" s="1302"/>
      <c r="H15" s="1309"/>
      <c r="I15" s="1310">
        <f>SUM(I12:I14)</f>
        <v>0</v>
      </c>
    </row>
    <row r="16" spans="1:9" ht="24">
      <c r="A16" s="3272" t="s">
        <v>1098</v>
      </c>
      <c r="B16" s="3273" t="s">
        <v>1099</v>
      </c>
      <c r="C16" s="3273"/>
      <c r="D16" s="1300" t="s">
        <v>1075</v>
      </c>
      <c r="E16" s="1311" t="s">
        <v>1100</v>
      </c>
      <c r="F16" s="1301" t="s">
        <v>1101</v>
      </c>
      <c r="G16" s="1302" t="s">
        <v>1079</v>
      </c>
      <c r="H16" s="1308" t="s">
        <v>1094</v>
      </c>
      <c r="I16" s="1299" t="s">
        <v>1080</v>
      </c>
    </row>
    <row r="17" spans="1:9" ht="15.6">
      <c r="A17" s="3272"/>
      <c r="B17" s="3273" t="s">
        <v>1102</v>
      </c>
      <c r="C17" s="3273"/>
      <c r="D17" s="1300"/>
      <c r="E17" s="1300"/>
      <c r="F17" s="1301"/>
      <c r="G17" s="1302"/>
      <c r="H17" s="1312"/>
      <c r="I17" s="1313">
        <f>ROUND(D17*E17*F17*G17/10000,0)</f>
        <v>0</v>
      </c>
    </row>
    <row r="18" spans="1:9" ht="15.6">
      <c r="A18" s="3272"/>
      <c r="B18" s="3273" t="s">
        <v>1103</v>
      </c>
      <c r="C18" s="3273"/>
      <c r="D18" s="1300"/>
      <c r="E18" s="1300"/>
      <c r="F18" s="1301"/>
      <c r="G18" s="1302"/>
      <c r="H18" s="1312"/>
      <c r="I18" s="1313">
        <f>ROUND(D18*E18*F18*G18/10000,0)</f>
        <v>0</v>
      </c>
    </row>
    <row r="19" spans="1:9" ht="15.6">
      <c r="A19" s="3272"/>
      <c r="B19" s="3273" t="s">
        <v>1104</v>
      </c>
      <c r="C19" s="3273"/>
      <c r="D19" s="1300"/>
      <c r="E19" s="1300"/>
      <c r="F19" s="1301"/>
      <c r="G19" s="1302"/>
      <c r="H19" s="1312"/>
      <c r="I19" s="1313">
        <f>ROUND(D19*E19*F19*G19/10000,0)</f>
        <v>0</v>
      </c>
    </row>
    <row r="20" spans="1:9">
      <c r="A20" s="3272"/>
      <c r="B20" s="3274" t="s">
        <v>1088</v>
      </c>
      <c r="C20" s="3274"/>
      <c r="D20" s="1304">
        <f>SUM(D17:D19)</f>
        <v>0</v>
      </c>
      <c r="E20" s="1304"/>
      <c r="F20" s="1305"/>
      <c r="G20" s="1302"/>
      <c r="H20" s="1309"/>
      <c r="I20" s="1310">
        <f>SUM(I17:I19)</f>
        <v>0</v>
      </c>
    </row>
    <row r="21" spans="1:9">
      <c r="A21" s="3272" t="s">
        <v>1105</v>
      </c>
      <c r="B21" s="3275"/>
      <c r="C21" s="3275"/>
      <c r="D21" s="3275"/>
      <c r="E21" s="3275"/>
      <c r="F21" s="3275"/>
      <c r="G21" s="3275"/>
      <c r="H21" s="1762">
        <v>0.1</v>
      </c>
      <c r="I21" s="1307">
        <f>ROUND(I10*H21,0)</f>
        <v>0</v>
      </c>
    </row>
    <row r="22" spans="1:9" ht="15.6">
      <c r="A22" s="3276" t="s">
        <v>1106</v>
      </c>
      <c r="B22" s="3277"/>
      <c r="C22" s="3278"/>
      <c r="D22" s="1314" t="s">
        <v>1107</v>
      </c>
      <c r="E22" s="1314" t="s">
        <v>1108</v>
      </c>
      <c r="F22" s="1315" t="s">
        <v>1109</v>
      </c>
      <c r="G22" s="1315" t="s">
        <v>1110</v>
      </c>
      <c r="H22" s="1308" t="s">
        <v>1111</v>
      </c>
      <c r="I22" s="1299" t="s">
        <v>1112</v>
      </c>
    </row>
    <row r="23" spans="1:9" ht="15" thickBot="1">
      <c r="A23" s="3279"/>
      <c r="B23" s="3280"/>
      <c r="C23" s="3281"/>
      <c r="D23" s="1316"/>
      <c r="E23" s="1316"/>
      <c r="F23" s="1316"/>
      <c r="G23" s="1317"/>
      <c r="H23" s="1318"/>
      <c r="I23" s="1319">
        <f>ROUND(E23*D23*F23*(1-G23)/10000,0)</f>
        <v>0</v>
      </c>
    </row>
    <row r="26" spans="1:9">
      <c r="A26" s="1320" t="s">
        <v>1113</v>
      </c>
      <c r="B26" s="1320"/>
      <c r="C26" s="1320"/>
      <c r="D26" s="1320"/>
      <c r="E26" s="3269">
        <f>C27-C30-C31-C32</f>
        <v>0</v>
      </c>
      <c r="F26" s="3269"/>
      <c r="G26" s="3269"/>
      <c r="H26" s="1734" t="s">
        <v>1335</v>
      </c>
    </row>
    <row r="27" spans="1:9">
      <c r="A27" s="1321">
        <v>1</v>
      </c>
      <c r="B27" s="1322" t="s">
        <v>1114</v>
      </c>
      <c r="C27" s="1322">
        <f>C28+C29</f>
        <v>0</v>
      </c>
      <c r="D27" s="1322"/>
      <c r="E27" s="3270"/>
      <c r="F27" s="3270"/>
      <c r="G27" s="3270"/>
    </row>
    <row r="28" spans="1:9">
      <c r="A28" s="1323" t="s">
        <v>1115</v>
      </c>
      <c r="B28" s="1322" t="s">
        <v>1116</v>
      </c>
      <c r="C28" s="1322"/>
      <c r="D28" s="1322"/>
      <c r="E28" s="3270"/>
      <c r="F28" s="3270"/>
      <c r="G28" s="3270"/>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71"/>
      <c r="F32" s="3271"/>
      <c r="G32" s="3271"/>
    </row>
    <row r="33" spans="1:7" hidden="1">
      <c r="A33" s="3266" t="s">
        <v>1125</v>
      </c>
      <c r="B33" s="3267"/>
      <c r="C33" s="3267"/>
      <c r="D33" s="3268"/>
      <c r="E33" s="3269"/>
      <c r="F33" s="3269"/>
      <c r="G33" s="3269"/>
    </row>
    <row r="34" spans="1:7" hidden="1">
      <c r="A34" s="1325">
        <v>1</v>
      </c>
      <c r="B34" s="1322" t="s">
        <v>1126</v>
      </c>
      <c r="C34" s="1322"/>
      <c r="D34" s="1322"/>
      <c r="E34" s="3270"/>
      <c r="F34" s="3270"/>
      <c r="G34" s="3270"/>
    </row>
    <row r="35" spans="1:7" hidden="1">
      <c r="A35" s="1325">
        <v>2</v>
      </c>
      <c r="B35" s="1322" t="s">
        <v>1127</v>
      </c>
      <c r="C35" s="1322"/>
      <c r="D35" s="1322"/>
      <c r="E35" s="3270"/>
      <c r="F35" s="3270"/>
      <c r="G35" s="3270"/>
    </row>
    <row r="36" spans="1:7" hidden="1">
      <c r="A36" s="1325">
        <v>3</v>
      </c>
      <c r="B36" s="1322" t="s">
        <v>1128</v>
      </c>
      <c r="C36" s="1322"/>
      <c r="D36" s="1322"/>
      <c r="E36" s="3270"/>
      <c r="F36" s="3270"/>
      <c r="G36" s="3270"/>
    </row>
    <row r="37" spans="1:7" hidden="1">
      <c r="A37" s="1325">
        <v>4</v>
      </c>
      <c r="B37" s="1322" t="s">
        <v>1129</v>
      </c>
      <c r="C37" s="1322"/>
      <c r="D37" s="1322"/>
      <c r="E37" s="3270"/>
      <c r="F37" s="3270"/>
      <c r="G37" s="3270"/>
    </row>
    <row r="38" spans="1:7" hidden="1">
      <c r="A38" s="3266" t="s">
        <v>1130</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L23" sqref="L2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581" t="s">
        <v>2641</v>
      </c>
      <c r="C1" s="1631" t="s">
        <v>2529</v>
      </c>
      <c r="D1" s="1618" t="s">
        <v>1372</v>
      </c>
      <c r="E1" s="2656"/>
      <c r="F1" s="2583" t="s">
        <v>3095</v>
      </c>
      <c r="G1" s="1628" t="s">
        <v>2642</v>
      </c>
      <c r="H1" s="1627"/>
      <c r="I1" s="1627"/>
      <c r="J1" s="1627"/>
      <c r="K1" s="1629"/>
      <c r="L1" s="1630"/>
      <c r="M1" s="1631"/>
      <c r="N1" s="1631"/>
      <c r="O1" s="1631"/>
      <c r="P1" s="2657"/>
      <c r="Q1" s="2658"/>
      <c r="R1" s="2658"/>
      <c r="S1" s="2658"/>
      <c r="T1" s="2658"/>
      <c r="U1" s="2658"/>
      <c r="V1" s="2658"/>
      <c r="W1" s="2658"/>
      <c r="X1" s="2658"/>
      <c r="Y1" s="2658"/>
      <c r="Z1" s="2658"/>
      <c r="AA1" s="2658"/>
      <c r="AB1" s="2658"/>
      <c r="AC1" s="2659"/>
    </row>
    <row r="2" spans="1:29" s="397" customFormat="1" ht="28.5" customHeight="1" thickTop="1">
      <c r="A2" s="1614" t="s">
        <v>2326</v>
      </c>
      <c r="B2" s="1415">
        <f>IF(C2="——",ROUND(C49*D3/10000,0),ROUND(C49*D3/10000,0)-D2)</f>
        <v>2309</v>
      </c>
      <c r="C2" s="2585" t="s">
        <v>70</v>
      </c>
      <c r="D2" s="1362" t="e">
        <f ca="1">SUMIF(INDIRECT("'"&amp;F2&amp;"'"&amp;"!A:A"),"承租人权益价值",INDIRECT("'"&amp;F2&amp;"'"&amp;"!c:c"))</f>
        <v>#REF!</v>
      </c>
      <c r="E2" s="2586" t="s">
        <v>2327</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7" customFormat="1" ht="28.5" customHeight="1" thickBot="1">
      <c r="A3" s="246" t="s">
        <v>2328</v>
      </c>
      <c r="B3" s="608">
        <f>IF(C2="——",C49,ROUND(B2*10000/D3,0))</f>
        <v>52051</v>
      </c>
      <c r="C3" s="399" t="s">
        <v>2643</v>
      </c>
      <c r="D3" s="398">
        <f>IF(D1="",'数据-汇总表'!E3,SUMIF('数据-汇总表'!$C19:$C33,D1,'数据-汇总表'!$E19:$E33))</f>
        <v>443.61</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6" t="s">
        <v>2647</v>
      </c>
      <c r="AC4" s="3237" t="s">
        <v>2648</v>
      </c>
    </row>
    <row r="5" spans="1:29">
      <c r="A5" s="403"/>
      <c r="B5" s="404"/>
      <c r="C5" s="3257" t="s">
        <v>2541</v>
      </c>
      <c r="D5" s="3258"/>
      <c r="E5" s="3296" t="s">
        <v>3117</v>
      </c>
      <c r="F5" s="3265"/>
      <c r="G5" s="3295" t="s">
        <v>3118</v>
      </c>
      <c r="H5" s="3258"/>
      <c r="I5" s="3295" t="s">
        <v>3119</v>
      </c>
      <c r="J5" s="3258"/>
      <c r="K5" s="609"/>
      <c r="L5" s="1127"/>
      <c r="M5" s="1128"/>
      <c r="N5" s="1128"/>
      <c r="O5" s="1128"/>
      <c r="P5" s="3245"/>
      <c r="Q5" s="3246"/>
      <c r="R5" s="3251"/>
      <c r="S5" s="3252"/>
      <c r="T5" s="3251"/>
      <c r="U5" s="3252"/>
      <c r="V5" s="3236"/>
      <c r="W5" s="3236"/>
      <c r="X5" s="1810"/>
      <c r="Y5" s="3251"/>
      <c r="Z5" s="3252"/>
      <c r="AA5" s="3238"/>
      <c r="AB5" s="3236"/>
      <c r="AC5" s="3238"/>
    </row>
    <row r="6" spans="1:29" ht="15" thickBot="1">
      <c r="A6" s="405"/>
      <c r="B6" s="406"/>
      <c r="C6" s="3255" t="s">
        <v>2545</v>
      </c>
      <c r="D6" s="3256"/>
      <c r="E6" s="3262" t="s">
        <v>2545</v>
      </c>
      <c r="F6" s="3263"/>
      <c r="G6" s="3255" t="s">
        <v>2545</v>
      </c>
      <c r="H6" s="3256"/>
      <c r="I6" s="3255" t="s">
        <v>2545</v>
      </c>
      <c r="J6" s="3256"/>
      <c r="K6" s="609" t="s">
        <v>2546</v>
      </c>
      <c r="L6" s="1127"/>
      <c r="M6" s="1128"/>
      <c r="N6" s="1128"/>
      <c r="O6" s="1128"/>
      <c r="P6" s="3247"/>
      <c r="Q6" s="3248"/>
      <c r="R6" s="3251"/>
      <c r="S6" s="3252"/>
      <c r="T6" s="3253"/>
      <c r="U6" s="3254"/>
      <c r="V6" s="3236"/>
      <c r="W6" s="3236"/>
      <c r="X6" s="1810"/>
      <c r="Y6" s="3253"/>
      <c r="Z6" s="3254"/>
      <c r="AA6" s="3239"/>
      <c r="AB6" s="3236"/>
      <c r="AC6" s="3239"/>
    </row>
    <row r="7" spans="1:29" s="117" customFormat="1" ht="15" thickBot="1">
      <c r="A7" s="407" t="s">
        <v>2547</v>
      </c>
      <c r="B7" s="408"/>
      <c r="C7" s="409">
        <f>'数据-取费表'!B2</f>
        <v>43845</v>
      </c>
      <c r="D7" s="410">
        <v>100</v>
      </c>
      <c r="E7" s="411">
        <f>C7</f>
        <v>43845</v>
      </c>
      <c r="F7" s="412">
        <f>SUMIF(58:58,YEAR(E7)&amp;"-"&amp;MONTH(E7),59:59)</f>
        <v>100</v>
      </c>
      <c r="G7" s="411">
        <f>C7</f>
        <v>43845</v>
      </c>
      <c r="H7" s="410">
        <f>SUMIF(58:58,YEAR(G7)&amp;"-"&amp;MONTH(G7),59:59)</f>
        <v>100</v>
      </c>
      <c r="I7" s="411">
        <f>C7</f>
        <v>43845</v>
      </c>
      <c r="J7" s="410">
        <f>SUMIF(58:58,YEAR(I7)&amp;"-"&amp;MONTH(I7),59:59)</f>
        <v>100</v>
      </c>
      <c r="K7" s="610"/>
      <c r="L7" s="1129"/>
      <c r="M7" s="1130"/>
      <c r="N7" s="1130"/>
      <c r="O7" s="1130"/>
      <c r="P7" s="3259" t="s">
        <v>2548</v>
      </c>
      <c r="Q7" s="3261"/>
      <c r="R7" s="767" t="s">
        <v>17</v>
      </c>
      <c r="S7" s="768">
        <f t="shared" ref="S7:S15" si="0">F7</f>
        <v>100</v>
      </c>
      <c r="T7" s="767" t="s">
        <v>17</v>
      </c>
      <c r="U7" s="768">
        <f t="shared" ref="U7:U15" si="1">H7</f>
        <v>100</v>
      </c>
      <c r="V7" s="767" t="s">
        <v>17</v>
      </c>
      <c r="W7" s="768">
        <f t="shared" ref="W7:W15" si="2">J7</f>
        <v>100</v>
      </c>
      <c r="X7" s="769"/>
      <c r="Y7" s="3259" t="s">
        <v>2548</v>
      </c>
      <c r="Z7" s="3260"/>
      <c r="AA7" s="770">
        <f>D7/F7</f>
        <v>1</v>
      </c>
      <c r="AB7" s="770">
        <f>D7/H7</f>
        <v>1</v>
      </c>
      <c r="AC7" s="770">
        <f>D7/J7</f>
        <v>1</v>
      </c>
    </row>
    <row r="8" spans="1:29" s="117" customFormat="1" ht="15" thickBot="1">
      <c r="A8" s="407" t="s">
        <v>2549</v>
      </c>
      <c r="B8" s="408"/>
      <c r="C8" s="413" t="s">
        <v>2651</v>
      </c>
      <c r="D8" s="410">
        <v>100</v>
      </c>
      <c r="E8" s="413" t="s">
        <v>3096</v>
      </c>
      <c r="F8" s="412">
        <f>SUMIF(61:61,E8,62:62)-SUMIF(61:61,C8,62:62)+100</f>
        <v>100</v>
      </c>
      <c r="G8" s="413" t="s">
        <v>3096</v>
      </c>
      <c r="H8" s="410">
        <f>SUMIF(61:61,G8,62:62)-SUMIF(61:61,C8,62:62)+100</f>
        <v>100</v>
      </c>
      <c r="I8" s="413" t="s">
        <v>3096</v>
      </c>
      <c r="J8" s="410">
        <f>SUMIF(61:61,I8,62:62)-SUMIF(61:61,C8,62:62)+100</f>
        <v>100</v>
      </c>
      <c r="K8" s="610"/>
      <c r="L8" s="1129"/>
      <c r="M8" s="1130"/>
      <c r="N8" s="1130"/>
      <c r="O8" s="1130"/>
      <c r="P8" s="3259" t="s">
        <v>2551</v>
      </c>
      <c r="Q8" s="3260"/>
      <c r="R8" s="767" t="s">
        <v>17</v>
      </c>
      <c r="S8" s="768">
        <f t="shared" si="0"/>
        <v>100</v>
      </c>
      <c r="T8" s="767" t="s">
        <v>17</v>
      </c>
      <c r="U8" s="768">
        <f t="shared" si="1"/>
        <v>100</v>
      </c>
      <c r="V8" s="767" t="s">
        <v>17</v>
      </c>
      <c r="W8" s="768">
        <f t="shared" si="2"/>
        <v>100</v>
      </c>
      <c r="X8" s="769"/>
      <c r="Y8" s="3259" t="s">
        <v>2551</v>
      </c>
      <c r="Z8" s="3260"/>
      <c r="AA8" s="770">
        <f t="shared" ref="AA8:AA46" si="3">D8/F8</f>
        <v>1</v>
      </c>
      <c r="AB8" s="770">
        <f t="shared" ref="AB8:AB46" si="4">D8/H8</f>
        <v>1</v>
      </c>
      <c r="AC8" s="770">
        <f t="shared" ref="AC8:AC46" si="5">D8/J8</f>
        <v>1</v>
      </c>
    </row>
    <row r="9" spans="1:29" s="117" customFormat="1" ht="14.4">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29"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770">
        <f t="shared" si="5"/>
        <v>1</v>
      </c>
    </row>
    <row r="10" spans="1:29" s="426" customFormat="1" ht="29.4" thickBot="1">
      <c r="A10" s="420"/>
      <c r="B10" s="421" t="s">
        <v>2556</v>
      </c>
      <c r="C10" s="422" t="s">
        <v>3121</v>
      </c>
      <c r="D10" s="135">
        <v>100</v>
      </c>
      <c r="E10" s="423" t="s">
        <v>3121</v>
      </c>
      <c r="F10" s="424">
        <f>SUMIF(65:65,E10,66:66)-SUMIF(65:65,C10,66:66)+100</f>
        <v>100</v>
      </c>
      <c r="G10" s="422" t="s">
        <v>3121</v>
      </c>
      <c r="H10" s="135">
        <f>SUMIF(65:65,G10,66:66)-SUMIF(65:65,C10,66:66)+100</f>
        <v>100</v>
      </c>
      <c r="I10" s="422" t="s">
        <v>3121</v>
      </c>
      <c r="J10" s="135">
        <f>SUMIF(65:65,I10,66:66)-SUMIF(65:65,C10,66:66)+100</f>
        <v>100</v>
      </c>
      <c r="K10" s="611">
        <v>1</v>
      </c>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6" hidden="1" thickBot="1">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29"/>
      <c r="Q11" s="1792" t="str">
        <f t="shared" si="6"/>
        <v>容积率</v>
      </c>
      <c r="R11" s="767" t="s">
        <v>17</v>
      </c>
      <c r="S11" s="768">
        <f t="shared" si="0"/>
        <v>100</v>
      </c>
      <c r="T11" s="767" t="s">
        <v>17</v>
      </c>
      <c r="U11" s="768">
        <f t="shared" si="1"/>
        <v>100</v>
      </c>
      <c r="V11" s="767" t="s">
        <v>17</v>
      </c>
      <c r="W11" s="768">
        <f t="shared" si="2"/>
        <v>100</v>
      </c>
      <c r="X11" s="769"/>
      <c r="Y11" s="3074"/>
      <c r="Z11" s="55" t="str">
        <f t="shared" si="7"/>
        <v>容积率</v>
      </c>
      <c r="AA11" s="770">
        <f t="shared" si="3"/>
        <v>1</v>
      </c>
      <c r="AB11" s="770">
        <f t="shared" si="4"/>
        <v>1</v>
      </c>
      <c r="AC11" s="770">
        <f t="shared" si="5"/>
        <v>1</v>
      </c>
    </row>
    <row r="12" spans="1:29" s="117"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29"/>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29"/>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770">
        <f t="shared" si="5"/>
        <v>1</v>
      </c>
    </row>
    <row r="14" spans="1:29" ht="15.6"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29"/>
      <c r="Q14" s="1792">
        <f t="shared" si="6"/>
        <v>111</v>
      </c>
      <c r="R14" s="767" t="s">
        <v>17</v>
      </c>
      <c r="S14" s="768">
        <f t="shared" si="0"/>
        <v>100</v>
      </c>
      <c r="T14" s="767" t="s">
        <v>17</v>
      </c>
      <c r="U14" s="768">
        <f t="shared" si="1"/>
        <v>100</v>
      </c>
      <c r="V14" s="767" t="s">
        <v>17</v>
      </c>
      <c r="W14" s="768">
        <f t="shared" si="2"/>
        <v>100</v>
      </c>
      <c r="X14" s="769"/>
      <c r="Y14" s="3074"/>
      <c r="Z14" s="55">
        <f t="shared" si="7"/>
        <v>111</v>
      </c>
      <c r="AA14" s="770">
        <f t="shared" si="3"/>
        <v>1</v>
      </c>
      <c r="AB14" s="770">
        <f t="shared" si="4"/>
        <v>1</v>
      </c>
      <c r="AC14" s="770">
        <f t="shared" si="5"/>
        <v>1</v>
      </c>
    </row>
    <row r="15" spans="1:29" ht="69">
      <c r="A15" s="439" t="s">
        <v>2558</v>
      </c>
      <c r="B15" s="69" t="s">
        <v>2652</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4</v>
      </c>
      <c r="L15" s="1137"/>
      <c r="M15" s="1128"/>
      <c r="N15" s="1128"/>
      <c r="O15" s="1128"/>
      <c r="P15" s="3289" t="s">
        <v>2559</v>
      </c>
      <c r="Q15" s="1807" t="str">
        <f t="shared" si="6"/>
        <v>商业繁华度</v>
      </c>
      <c r="R15" s="771" t="s">
        <v>17</v>
      </c>
      <c r="S15" s="772">
        <f t="shared" si="0"/>
        <v>100</v>
      </c>
      <c r="T15" s="771" t="s">
        <v>17</v>
      </c>
      <c r="U15" s="772">
        <f t="shared" si="1"/>
        <v>100</v>
      </c>
      <c r="V15" s="771" t="s">
        <v>17</v>
      </c>
      <c r="W15" s="772">
        <f t="shared" si="2"/>
        <v>100</v>
      </c>
      <c r="X15" s="1810"/>
      <c r="Y15" s="3232" t="s">
        <v>2559</v>
      </c>
      <c r="Z15" s="1811" t="str">
        <f t="shared" si="7"/>
        <v>商业繁华度</v>
      </c>
      <c r="AA15" s="1808">
        <f t="shared" si="3"/>
        <v>1</v>
      </c>
      <c r="AB15" s="1808">
        <f t="shared" si="4"/>
        <v>1</v>
      </c>
      <c r="AC15" s="1808">
        <f t="shared" si="5"/>
        <v>1</v>
      </c>
    </row>
    <row r="16" spans="1:29" ht="15">
      <c r="A16" s="427"/>
      <c r="B16" s="445"/>
      <c r="C16" s="446" t="s">
        <v>3122</v>
      </c>
      <c r="D16" s="447"/>
      <c r="E16" s="446" t="s">
        <v>3122</v>
      </c>
      <c r="F16" s="448"/>
      <c r="G16" s="446" t="s">
        <v>3122</v>
      </c>
      <c r="H16" s="449"/>
      <c r="I16" s="446" t="s">
        <v>3122</v>
      </c>
      <c r="J16" s="447"/>
      <c r="K16" s="614"/>
      <c r="L16" s="1137"/>
      <c r="M16" s="1128"/>
      <c r="N16" s="1128"/>
      <c r="O16" s="1128"/>
      <c r="P16" s="3290"/>
      <c r="Q16" s="1807"/>
      <c r="R16" s="771"/>
      <c r="S16" s="772"/>
      <c r="T16" s="771"/>
      <c r="U16" s="772"/>
      <c r="V16" s="771"/>
      <c r="W16" s="772"/>
      <c r="X16" s="1810"/>
      <c r="Y16" s="3233"/>
      <c r="Z16" s="1811"/>
      <c r="AA16" s="1808">
        <v>1</v>
      </c>
      <c r="AB16" s="1808">
        <v>1</v>
      </c>
      <c r="AC16" s="1808">
        <v>1</v>
      </c>
    </row>
    <row r="17" spans="1:29" ht="82.8">
      <c r="A17" s="427"/>
      <c r="B17" s="450" t="s">
        <v>2095</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7"/>
      <c r="M17" s="1128"/>
      <c r="N17" s="1128"/>
      <c r="O17" s="1128"/>
      <c r="P17" s="3290"/>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7"/>
      <c r="B18" s="455"/>
      <c r="C18" s="2607" t="s">
        <v>3122</v>
      </c>
      <c r="D18" s="449"/>
      <c r="E18" s="2609" t="s">
        <v>3122</v>
      </c>
      <c r="F18" s="452"/>
      <c r="G18" s="2608" t="s">
        <v>3122</v>
      </c>
      <c r="H18" s="447"/>
      <c r="I18" s="2609" t="s">
        <v>3122</v>
      </c>
      <c r="J18" s="447"/>
      <c r="K18" s="614"/>
      <c r="L18" s="1137"/>
      <c r="M18" s="1128"/>
      <c r="N18" s="1128"/>
      <c r="O18" s="1128"/>
      <c r="P18" s="3290"/>
      <c r="Q18" s="1807"/>
      <c r="R18" s="771"/>
      <c r="S18" s="772"/>
      <c r="T18" s="771"/>
      <c r="U18" s="772"/>
      <c r="V18" s="771"/>
      <c r="W18" s="772"/>
      <c r="X18" s="1810"/>
      <c r="Y18" s="3233"/>
      <c r="Z18" s="1811"/>
      <c r="AA18" s="1808">
        <v>1</v>
      </c>
      <c r="AB18" s="1808">
        <v>1</v>
      </c>
      <c r="AC18" s="1808">
        <v>1</v>
      </c>
    </row>
    <row r="19" spans="1:29" ht="41.4">
      <c r="A19" s="427"/>
      <c r="B19" s="450" t="s">
        <v>2653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7"/>
      <c r="M19" s="1128"/>
      <c r="N19" s="1128"/>
      <c r="O19" s="1128"/>
      <c r="P19" s="3290"/>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1808">
        <f t="shared" si="5"/>
        <v>1</v>
      </c>
    </row>
    <row r="20" spans="1:29" ht="15">
      <c r="A20" s="427"/>
      <c r="B20" s="455"/>
      <c r="C20" s="446" t="s">
        <v>3122</v>
      </c>
      <c r="D20" s="447"/>
      <c r="E20" s="2604" t="s">
        <v>3122</v>
      </c>
      <c r="F20" s="448"/>
      <c r="G20" s="2603" t="s">
        <v>3122</v>
      </c>
      <c r="H20" s="447"/>
      <c r="I20" s="2604" t="s">
        <v>3122</v>
      </c>
      <c r="J20" s="447"/>
      <c r="K20" s="614"/>
      <c r="L20" s="1137"/>
      <c r="M20" s="1128"/>
      <c r="N20" s="1128"/>
      <c r="O20" s="1128"/>
      <c r="P20" s="3290"/>
      <c r="Q20" s="1807"/>
      <c r="R20" s="771"/>
      <c r="S20" s="772"/>
      <c r="T20" s="771"/>
      <c r="U20" s="772"/>
      <c r="V20" s="771"/>
      <c r="W20" s="772"/>
      <c r="X20" s="1810"/>
      <c r="Y20" s="3233"/>
      <c r="Z20" s="1811"/>
      <c r="AA20" s="1808">
        <v>1</v>
      </c>
      <c r="AB20" s="1808">
        <v>1</v>
      </c>
      <c r="AC20" s="1808">
        <v>1</v>
      </c>
    </row>
    <row r="21" spans="1:29" ht="27.6">
      <c r="A21" s="427"/>
      <c r="B21" s="1381" t="s">
        <v>2654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7"/>
      <c r="B22" s="1381"/>
      <c r="C22" s="2607" t="s">
        <v>3123</v>
      </c>
      <c r="D22" s="447"/>
      <c r="E22" s="446" t="s">
        <v>3123</v>
      </c>
      <c r="F22" s="448"/>
      <c r="G22" s="446" t="s">
        <v>3123</v>
      </c>
      <c r="H22" s="447"/>
      <c r="I22" s="446" t="s">
        <v>3123</v>
      </c>
      <c r="J22" s="447"/>
      <c r="K22" s="1380"/>
      <c r="L22" s="1137"/>
      <c r="M22" s="1128"/>
      <c r="N22" s="1128"/>
      <c r="O22" s="1128"/>
      <c r="P22" s="3290"/>
      <c r="Q22" s="1807"/>
      <c r="R22" s="771"/>
      <c r="S22" s="772"/>
      <c r="T22" s="771"/>
      <c r="U22" s="772"/>
      <c r="V22" s="771"/>
      <c r="W22" s="772"/>
      <c r="X22" s="1810"/>
      <c r="Y22" s="3233"/>
      <c r="Z22" s="1811"/>
      <c r="AA22" s="1808">
        <v>1</v>
      </c>
      <c r="AB22" s="1808">
        <v>1</v>
      </c>
      <c r="AC22" s="1808">
        <v>1</v>
      </c>
    </row>
    <row r="23" spans="1:29" ht="55.2">
      <c r="A23" s="427"/>
      <c r="B23" s="450" t="s">
        <v>2100</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4</v>
      </c>
      <c r="L23" s="1137"/>
      <c r="M23" s="1128"/>
      <c r="N23" s="1128"/>
      <c r="O23" s="1128"/>
      <c r="P23" s="3290"/>
      <c r="Q23" s="1807" t="str">
        <f>B23</f>
        <v>自然及人文环境</v>
      </c>
      <c r="R23" s="771" t="s">
        <v>17</v>
      </c>
      <c r="S23" s="772">
        <f>F23</f>
        <v>100</v>
      </c>
      <c r="T23" s="771" t="s">
        <v>17</v>
      </c>
      <c r="U23" s="772">
        <f>H23</f>
        <v>100</v>
      </c>
      <c r="V23" s="771" t="s">
        <v>17</v>
      </c>
      <c r="W23" s="772">
        <f>J23</f>
        <v>100</v>
      </c>
      <c r="X23" s="1810"/>
      <c r="Y23" s="3233"/>
      <c r="Z23" s="1811" t="str">
        <f>Q23</f>
        <v>自然及人文环境</v>
      </c>
      <c r="AA23" s="1808">
        <f t="shared" si="3"/>
        <v>1</v>
      </c>
      <c r="AB23" s="1808">
        <f t="shared" si="4"/>
        <v>1</v>
      </c>
      <c r="AC23" s="1808">
        <f t="shared" si="5"/>
        <v>1</v>
      </c>
    </row>
    <row r="24" spans="1:29" ht="15">
      <c r="A24" s="427"/>
      <c r="B24" s="455"/>
      <c r="C24" s="446" t="s">
        <v>3122</v>
      </c>
      <c r="D24" s="447"/>
      <c r="E24" s="2604" t="s">
        <v>3122</v>
      </c>
      <c r="F24" s="448"/>
      <c r="G24" s="2603" t="s">
        <v>3122</v>
      </c>
      <c r="H24" s="447"/>
      <c r="I24" s="2604" t="s">
        <v>3122</v>
      </c>
      <c r="J24" s="447"/>
      <c r="K24" s="614"/>
      <c r="L24" s="1137"/>
      <c r="M24" s="1128"/>
      <c r="N24" s="1128"/>
      <c r="O24" s="1128"/>
      <c r="P24" s="3290"/>
      <c r="Q24" s="1807"/>
      <c r="R24" s="771"/>
      <c r="S24" s="772"/>
      <c r="T24" s="771"/>
      <c r="U24" s="772"/>
      <c r="V24" s="771"/>
      <c r="W24" s="772"/>
      <c r="X24" s="1810"/>
      <c r="Y24" s="3233"/>
      <c r="Z24" s="1811"/>
      <c r="AA24" s="1808">
        <v>1</v>
      </c>
      <c r="AB24" s="1808">
        <v>1</v>
      </c>
      <c r="AC24" s="1808">
        <v>1</v>
      </c>
    </row>
    <row r="25" spans="1:29" ht="15" hidden="1">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90"/>
      <c r="Q25" s="1807" t="str">
        <f t="shared" ref="Q25:Q46" si="11">B25</f>
        <v>临街状况</v>
      </c>
      <c r="R25" s="771" t="s">
        <v>17</v>
      </c>
      <c r="S25" s="772">
        <f>F25</f>
        <v>100</v>
      </c>
      <c r="T25" s="771" t="s">
        <v>17</v>
      </c>
      <c r="U25" s="772">
        <f>H25</f>
        <v>100</v>
      </c>
      <c r="V25" s="771" t="s">
        <v>17</v>
      </c>
      <c r="W25" s="772">
        <f>J25</f>
        <v>100</v>
      </c>
      <c r="X25" s="1810"/>
      <c r="Y25" s="3233"/>
      <c r="Z25" s="1811" t="str">
        <f>Q25</f>
        <v>临街状况</v>
      </c>
      <c r="AA25" s="1808">
        <f t="shared" si="3"/>
        <v>1</v>
      </c>
      <c r="AB25" s="1808">
        <f t="shared" si="4"/>
        <v>1</v>
      </c>
      <c r="AC25" s="1808">
        <f t="shared" si="5"/>
        <v>1</v>
      </c>
    </row>
    <row r="26" spans="1:29" ht="15" hidden="1">
      <c r="A26" s="427"/>
      <c r="B26" s="1383" t="s">
        <v>2656</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90"/>
      <c r="Q26" s="1807" t="str">
        <f t="shared" si="11"/>
        <v>平面位置/可视性</v>
      </c>
      <c r="R26" s="771" t="s">
        <v>17</v>
      </c>
      <c r="S26" s="772">
        <f>F26</f>
        <v>100</v>
      </c>
      <c r="T26" s="771" t="s">
        <v>17</v>
      </c>
      <c r="U26" s="772">
        <f>H26</f>
        <v>100</v>
      </c>
      <c r="V26" s="771" t="s">
        <v>17</v>
      </c>
      <c r="W26" s="772">
        <f>J26</f>
        <v>100</v>
      </c>
      <c r="X26" s="1810"/>
      <c r="Y26" s="3233"/>
      <c r="Z26" s="1811" t="str">
        <f>Q26</f>
        <v>平面位置/可视性</v>
      </c>
      <c r="AA26" s="1808">
        <f t="shared" si="3"/>
        <v>1</v>
      </c>
      <c r="AB26" s="1808">
        <f t="shared" si="4"/>
        <v>1</v>
      </c>
      <c r="AC26" s="1808">
        <f t="shared" si="5"/>
        <v>1</v>
      </c>
    </row>
    <row r="27" spans="1:29" s="117" customFormat="1" ht="15" hidden="1">
      <c r="A27" s="430"/>
      <c r="B27" s="450" t="s">
        <v>2657</v>
      </c>
      <c r="C27" s="2664"/>
      <c r="D27" s="461">
        <v>100</v>
      </c>
      <c r="E27" s="2664"/>
      <c r="F27" s="463">
        <f>SUMIF(90:90,E27,91:91)-SUMIF(90:90,C27,91:91)+100</f>
        <v>100</v>
      </c>
      <c r="G27" s="2664"/>
      <c r="H27" s="461">
        <f>SUMIF(90:90,G27,91:91)-SUMIF(90:90,C27,91:91)+100</f>
        <v>100</v>
      </c>
      <c r="I27" s="2664"/>
      <c r="J27" s="461">
        <f>SUMIF(90:90,I27,91:91)-SUMIF(90:90,C27,91:91)+100</f>
        <v>100</v>
      </c>
      <c r="K27" s="611"/>
      <c r="L27" s="1129"/>
      <c r="M27" s="1130"/>
      <c r="N27" s="1130"/>
      <c r="O27" s="1130"/>
      <c r="P27" s="3290"/>
      <c r="Q27" s="1792" t="str">
        <f t="shared" si="11"/>
        <v>人流量</v>
      </c>
      <c r="R27" s="767" t="s">
        <v>17</v>
      </c>
      <c r="S27" s="768">
        <f>F27</f>
        <v>100</v>
      </c>
      <c r="T27" s="767" t="s">
        <v>17</v>
      </c>
      <c r="U27" s="768">
        <f>H27</f>
        <v>100</v>
      </c>
      <c r="V27" s="767" t="s">
        <v>17</v>
      </c>
      <c r="W27" s="768">
        <f>J27</f>
        <v>100</v>
      </c>
      <c r="X27" s="769"/>
      <c r="Y27" s="3233"/>
      <c r="Z27" s="55" t="str">
        <f>Q27</f>
        <v>人流量</v>
      </c>
      <c r="AA27" s="1808">
        <f>D27/F27</f>
        <v>1</v>
      </c>
      <c r="AB27" s="1808">
        <f>D27/H27</f>
        <v>1</v>
      </c>
      <c r="AC27" s="1808">
        <f>D27/J27</f>
        <v>1</v>
      </c>
    </row>
    <row r="28" spans="1:29" ht="15.6" thickBot="1">
      <c r="A28" s="427"/>
      <c r="B28" s="421" t="s">
        <v>2658</v>
      </c>
      <c r="C28" s="615" t="s">
        <v>3134</v>
      </c>
      <c r="D28" s="434">
        <v>100</v>
      </c>
      <c r="E28" s="615" t="s">
        <v>3135</v>
      </c>
      <c r="F28" s="460">
        <f>SUMIF(92:92,E28,93:93)-SUMIF(92:92,C28,93:93)+100</f>
        <v>115</v>
      </c>
      <c r="G28" s="615" t="s">
        <v>3135</v>
      </c>
      <c r="H28" s="434">
        <f>SUMIF(92:92,G28,93:93)-SUMIF(92:92,C28,93:93)+100</f>
        <v>115</v>
      </c>
      <c r="I28" s="615" t="s">
        <v>3135</v>
      </c>
      <c r="J28" s="434">
        <f>SUMIF(92:92,I28,93:93)-SUMIF(92:92,C28,93:93)+100</f>
        <v>115</v>
      </c>
      <c r="K28" s="612"/>
      <c r="L28" s="1137"/>
      <c r="M28" s="1128"/>
      <c r="N28" s="1128"/>
      <c r="O28" s="1128"/>
      <c r="P28" s="3290"/>
      <c r="Q28" s="1807" t="str">
        <f t="shared" si="11"/>
        <v>楼层</v>
      </c>
      <c r="R28" s="771" t="s">
        <v>17</v>
      </c>
      <c r="S28" s="772">
        <f t="shared" ref="S28:S46" si="12">F28</f>
        <v>115</v>
      </c>
      <c r="T28" s="771" t="s">
        <v>17</v>
      </c>
      <c r="U28" s="772">
        <f t="shared" ref="U28:U46" si="13">H28</f>
        <v>115</v>
      </c>
      <c r="V28" s="771" t="s">
        <v>17</v>
      </c>
      <c r="W28" s="772">
        <f t="shared" ref="W28:W46" si="14">J28</f>
        <v>115</v>
      </c>
      <c r="X28" s="1810"/>
      <c r="Y28" s="3233"/>
      <c r="Z28" s="1811" t="str">
        <f t="shared" ref="Z28:Z46" si="15">Q28</f>
        <v>楼层</v>
      </c>
      <c r="AA28" s="1808">
        <f t="shared" si="3"/>
        <v>0.86956521739130432</v>
      </c>
      <c r="AB28" s="1808">
        <f t="shared" si="4"/>
        <v>0.86956521739130432</v>
      </c>
      <c r="AC28" s="1808">
        <f t="shared" si="5"/>
        <v>0.86956521739130432</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90"/>
      <c r="Q29" s="1807">
        <f t="shared" si="11"/>
        <v>111</v>
      </c>
      <c r="R29" s="771" t="s">
        <v>17</v>
      </c>
      <c r="S29" s="772">
        <f t="shared" si="12"/>
        <v>100</v>
      </c>
      <c r="T29" s="771" t="s">
        <v>17</v>
      </c>
      <c r="U29" s="772">
        <f t="shared" si="13"/>
        <v>100</v>
      </c>
      <c r="V29" s="771" t="s">
        <v>17</v>
      </c>
      <c r="W29" s="772">
        <f t="shared" si="14"/>
        <v>100</v>
      </c>
      <c r="X29" s="1810"/>
      <c r="Y29" s="3233"/>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90"/>
      <c r="Q30" s="1807">
        <f t="shared" si="11"/>
        <v>111</v>
      </c>
      <c r="R30" s="771" t="s">
        <v>17</v>
      </c>
      <c r="S30" s="772">
        <f t="shared" si="12"/>
        <v>100</v>
      </c>
      <c r="T30" s="771" t="s">
        <v>17</v>
      </c>
      <c r="U30" s="772">
        <f t="shared" si="13"/>
        <v>100</v>
      </c>
      <c r="V30" s="771" t="s">
        <v>17</v>
      </c>
      <c r="W30" s="772">
        <f t="shared" si="14"/>
        <v>100</v>
      </c>
      <c r="X30" s="1810"/>
      <c r="Y30" s="3233"/>
      <c r="Z30" s="1811">
        <f t="shared" si="15"/>
        <v>111</v>
      </c>
      <c r="AA30" s="1808">
        <f t="shared" si="3"/>
        <v>1</v>
      </c>
      <c r="AB30" s="1808">
        <f t="shared" si="4"/>
        <v>1</v>
      </c>
      <c r="AC30" s="1808">
        <f t="shared" si="5"/>
        <v>1</v>
      </c>
    </row>
    <row r="31" spans="1:29" ht="15.6"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90"/>
      <c r="Q31" s="1807">
        <f t="shared" si="11"/>
        <v>111</v>
      </c>
      <c r="R31" s="771" t="s">
        <v>17</v>
      </c>
      <c r="S31" s="772">
        <f t="shared" si="12"/>
        <v>100</v>
      </c>
      <c r="T31" s="771" t="s">
        <v>17</v>
      </c>
      <c r="U31" s="772">
        <f t="shared" si="13"/>
        <v>100</v>
      </c>
      <c r="V31" s="771" t="s">
        <v>17</v>
      </c>
      <c r="W31" s="772">
        <f t="shared" si="14"/>
        <v>100</v>
      </c>
      <c r="X31" s="1810"/>
      <c r="Y31" s="3233"/>
      <c r="Z31" s="1811">
        <f t="shared" si="15"/>
        <v>111</v>
      </c>
      <c r="AA31" s="1808">
        <f t="shared" si="3"/>
        <v>1</v>
      </c>
      <c r="AB31" s="1808">
        <f t="shared" si="4"/>
        <v>1</v>
      </c>
      <c r="AC31" s="1808">
        <f t="shared" si="5"/>
        <v>1</v>
      </c>
    </row>
    <row r="32" spans="1:29" ht="15">
      <c r="A32" s="439" t="s">
        <v>2562</v>
      </c>
      <c r="B32" s="71" t="s">
        <v>2659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v>1</v>
      </c>
      <c r="L32" s="1137"/>
      <c r="M32" s="1128"/>
      <c r="N32" s="1128"/>
      <c r="O32" s="1128"/>
      <c r="P32" s="3291" t="s">
        <v>2564</v>
      </c>
      <c r="Q32" s="1807" t="str">
        <f t="shared" si="11"/>
        <v>商业类型</v>
      </c>
      <c r="R32" s="771" t="s">
        <v>17</v>
      </c>
      <c r="S32" s="772">
        <f t="shared" si="12"/>
        <v>100</v>
      </c>
      <c r="T32" s="771" t="s">
        <v>17</v>
      </c>
      <c r="U32" s="772">
        <f t="shared" si="13"/>
        <v>100</v>
      </c>
      <c r="V32" s="771" t="s">
        <v>17</v>
      </c>
      <c r="W32" s="772">
        <f t="shared" si="14"/>
        <v>100</v>
      </c>
      <c r="X32" s="1810"/>
      <c r="Y32" s="3235" t="s">
        <v>2564</v>
      </c>
      <c r="Z32" s="1811" t="str">
        <f t="shared" si="15"/>
        <v>商业类型</v>
      </c>
      <c r="AA32" s="1808">
        <f t="shared" si="3"/>
        <v>1</v>
      </c>
      <c r="AB32" s="1808">
        <f t="shared" si="4"/>
        <v>1</v>
      </c>
      <c r="AC32" s="1808">
        <f t="shared" si="5"/>
        <v>1</v>
      </c>
    </row>
    <row r="33" spans="1:29" s="470" customFormat="1" ht="15">
      <c r="A33" s="467"/>
      <c r="B33" s="421" t="s">
        <v>2565</v>
      </c>
      <c r="C33" s="468">
        <f>'数据-汇总表'!F20</f>
        <v>443.61</v>
      </c>
      <c r="D33" s="135">
        <v>100</v>
      </c>
      <c r="E33" s="429">
        <v>314</v>
      </c>
      <c r="F33" s="424">
        <f>LOOKUP(E33,103:103,104:104)-LOOKUP(C33,103:103,104:104)+100</f>
        <v>100</v>
      </c>
      <c r="G33" s="428">
        <v>162</v>
      </c>
      <c r="H33" s="135">
        <f>LOOKUP(G33,103:103,104:104)-LOOKUP(C33,103:103,104:104)+100</f>
        <v>101</v>
      </c>
      <c r="I33" s="428">
        <v>102</v>
      </c>
      <c r="J33" s="135">
        <f>LOOKUP(I33,103:103,104:104)-LOOKUP(C33,103:103,104:104)+100</f>
        <v>101</v>
      </c>
      <c r="K33" s="612"/>
      <c r="L33" s="1135"/>
      <c r="M33" s="1138"/>
      <c r="N33" s="1138"/>
      <c r="O33" s="1138"/>
      <c r="P33" s="3292"/>
      <c r="Q33" s="773" t="str">
        <f t="shared" si="11"/>
        <v>项目建筑规模</v>
      </c>
      <c r="R33" s="774" t="s">
        <v>17</v>
      </c>
      <c r="S33" s="775">
        <f t="shared" si="12"/>
        <v>100</v>
      </c>
      <c r="T33" s="774" t="s">
        <v>17</v>
      </c>
      <c r="U33" s="775">
        <f t="shared" si="13"/>
        <v>101</v>
      </c>
      <c r="V33" s="774" t="s">
        <v>17</v>
      </c>
      <c r="W33" s="775">
        <f t="shared" si="14"/>
        <v>101</v>
      </c>
      <c r="X33" s="776"/>
      <c r="Y33" s="3235"/>
      <c r="Z33" s="777" t="str">
        <f t="shared" si="15"/>
        <v>项目建筑规模</v>
      </c>
      <c r="AA33" s="1808">
        <f t="shared" si="3"/>
        <v>1</v>
      </c>
      <c r="AB33" s="1808">
        <f t="shared" si="4"/>
        <v>0.99009900990099009</v>
      </c>
      <c r="AC33" s="1808">
        <f t="shared" si="5"/>
        <v>0.99009900990099009</v>
      </c>
    </row>
    <row r="34" spans="1:29" ht="15">
      <c r="A34" s="471"/>
      <c r="B34" s="421" t="s">
        <v>2566</v>
      </c>
      <c r="C34" s="2618" t="s">
        <v>3099</v>
      </c>
      <c r="D34" s="434">
        <v>100</v>
      </c>
      <c r="E34" s="2618" t="s">
        <v>3099</v>
      </c>
      <c r="F34" s="460">
        <f>SUMIF(105:105,E34,106:106)-SUMIF(105:105,C34,106:106)+100</f>
        <v>100</v>
      </c>
      <c r="G34" s="2618" t="s">
        <v>3099</v>
      </c>
      <c r="H34" s="434">
        <f>SUMIF(105:105,G34,106:106)-SUMIF(105:105,C34,106:106)+100</f>
        <v>100</v>
      </c>
      <c r="I34" s="2618" t="s">
        <v>3099</v>
      </c>
      <c r="J34" s="434">
        <f>SUMIF(105:105,I34,106:106)-SUMIF(105:105,C34,106:106)+100</f>
        <v>100</v>
      </c>
      <c r="K34" s="611">
        <v>1</v>
      </c>
      <c r="L34" s="1137"/>
      <c r="M34" s="1128"/>
      <c r="N34" s="1128"/>
      <c r="O34" s="1128"/>
      <c r="P34" s="3292"/>
      <c r="Q34" s="1807" t="str">
        <f t="shared" si="11"/>
        <v>建筑结构</v>
      </c>
      <c r="R34" s="771" t="s">
        <v>17</v>
      </c>
      <c r="S34" s="772">
        <f t="shared" si="12"/>
        <v>100</v>
      </c>
      <c r="T34" s="771" t="s">
        <v>17</v>
      </c>
      <c r="U34" s="772">
        <f t="shared" si="13"/>
        <v>100</v>
      </c>
      <c r="V34" s="771" t="s">
        <v>17</v>
      </c>
      <c r="W34" s="772">
        <f t="shared" si="14"/>
        <v>100</v>
      </c>
      <c r="X34" s="1810"/>
      <c r="Y34" s="3235"/>
      <c r="Z34" s="1811" t="str">
        <f t="shared" si="15"/>
        <v>建筑结构</v>
      </c>
      <c r="AA34" s="1808">
        <f t="shared" si="3"/>
        <v>1</v>
      </c>
      <c r="AB34" s="1808">
        <f t="shared" si="4"/>
        <v>1</v>
      </c>
      <c r="AC34" s="1808">
        <f t="shared" si="5"/>
        <v>1</v>
      </c>
    </row>
    <row r="35" spans="1:29" ht="15">
      <c r="A35" s="471"/>
      <c r="B35" s="421" t="s">
        <v>2660</v>
      </c>
      <c r="C35" s="2612" t="s">
        <v>3125</v>
      </c>
      <c r="D35" s="434">
        <v>100</v>
      </c>
      <c r="E35" s="2612" t="s">
        <v>3125</v>
      </c>
      <c r="F35" s="460">
        <f>SUMIF(107:107,E35,108:108)-SUMIF(107:107,C35,108:108)+100</f>
        <v>100</v>
      </c>
      <c r="G35" s="2612" t="s">
        <v>3125</v>
      </c>
      <c r="H35" s="434">
        <f>SUMIF(107:107,G35,108:108)-SUMIF(107:107,C35,108:108)+100</f>
        <v>100</v>
      </c>
      <c r="I35" s="2612" t="s">
        <v>3125</v>
      </c>
      <c r="J35" s="434">
        <f>SUMIF(107:107,I35,108:108)-SUMIF(107:107,C35,108:108)+100</f>
        <v>100</v>
      </c>
      <c r="K35" s="611">
        <v>1</v>
      </c>
      <c r="L35" s="1137"/>
      <c r="M35" s="1128"/>
      <c r="N35" s="1128"/>
      <c r="O35" s="1128"/>
      <c r="P35" s="3292"/>
      <c r="Q35" s="1807" t="str">
        <f t="shared" si="11"/>
        <v>公共部分装修</v>
      </c>
      <c r="R35" s="771" t="s">
        <v>17</v>
      </c>
      <c r="S35" s="772">
        <f t="shared" si="12"/>
        <v>100</v>
      </c>
      <c r="T35" s="771" t="s">
        <v>17</v>
      </c>
      <c r="U35" s="772">
        <f t="shared" si="13"/>
        <v>100</v>
      </c>
      <c r="V35" s="771" t="s">
        <v>17</v>
      </c>
      <c r="W35" s="772">
        <f t="shared" si="14"/>
        <v>100</v>
      </c>
      <c r="X35" s="1810"/>
      <c r="Y35" s="3235"/>
      <c r="Z35" s="1811" t="str">
        <f t="shared" si="15"/>
        <v>公共部分装修</v>
      </c>
      <c r="AA35" s="1808">
        <f t="shared" si="3"/>
        <v>1</v>
      </c>
      <c r="AB35" s="1808">
        <f t="shared" si="4"/>
        <v>1</v>
      </c>
      <c r="AC35" s="1808">
        <f t="shared" si="5"/>
        <v>1</v>
      </c>
    </row>
    <row r="36" spans="1:29" ht="15">
      <c r="A36" s="471"/>
      <c r="B36" s="421" t="s">
        <v>2661</v>
      </c>
      <c r="C36" s="473">
        <f>'数据-取费表'!N6</f>
        <v>0.8</v>
      </c>
      <c r="D36" s="434">
        <v>100</v>
      </c>
      <c r="E36" s="798">
        <v>0.6</v>
      </c>
      <c r="F36" s="460">
        <f>LOOKUP(E36,110:110,111:111)-LOOKUP(C36,110:110,111:111)+100</f>
        <v>90</v>
      </c>
      <c r="G36" s="798">
        <f>ROUND(1-(2020-2000)/60,2)</f>
        <v>0.67</v>
      </c>
      <c r="H36" s="460">
        <f>LOOKUP(G36,110:110,111:111)-LOOKUP(C36,110:110,111:111)+100</f>
        <v>90</v>
      </c>
      <c r="I36" s="798">
        <f>ROUND(1-(2020-1998)/60,2)</f>
        <v>0.63</v>
      </c>
      <c r="J36" s="434">
        <f>LOOKUP(I36,110:110,111:111)-LOOKUP(C36,110:110,111:111)+100</f>
        <v>90</v>
      </c>
      <c r="K36" s="611">
        <v>5</v>
      </c>
      <c r="L36" s="1137"/>
      <c r="M36" s="1128"/>
      <c r="N36" s="1128"/>
      <c r="O36" s="1128"/>
      <c r="P36" s="3292"/>
      <c r="Q36" s="1807" t="str">
        <f t="shared" si="11"/>
        <v>成新度</v>
      </c>
      <c r="R36" s="771" t="s">
        <v>17</v>
      </c>
      <c r="S36" s="772">
        <f t="shared" si="12"/>
        <v>90</v>
      </c>
      <c r="T36" s="771" t="s">
        <v>17</v>
      </c>
      <c r="U36" s="772">
        <f t="shared" si="13"/>
        <v>90</v>
      </c>
      <c r="V36" s="771" t="s">
        <v>17</v>
      </c>
      <c r="W36" s="772">
        <f t="shared" si="14"/>
        <v>90</v>
      </c>
      <c r="X36" s="1810"/>
      <c r="Y36" s="3235"/>
      <c r="Z36" s="1811" t="str">
        <f t="shared" si="15"/>
        <v>成新度</v>
      </c>
      <c r="AA36" s="1808">
        <f t="shared" si="3"/>
        <v>1.1111111111111112</v>
      </c>
      <c r="AB36" s="1808">
        <f t="shared" si="4"/>
        <v>1.1111111111111112</v>
      </c>
      <c r="AC36" s="1808">
        <f t="shared" si="5"/>
        <v>1.1111111111111112</v>
      </c>
    </row>
    <row r="37" spans="1:29" s="117" customFormat="1" ht="15">
      <c r="A37" s="472"/>
      <c r="B37" s="421" t="s">
        <v>2662</v>
      </c>
      <c r="C37" s="2612" t="s">
        <v>3123</v>
      </c>
      <c r="D37" s="135">
        <v>100</v>
      </c>
      <c r="E37" s="2612" t="s">
        <v>3123</v>
      </c>
      <c r="F37" s="460">
        <f>SUMIF(112:112,E37,113:113)-SUMIF(112:112,C37,113:113)+100</f>
        <v>100</v>
      </c>
      <c r="G37" s="2612" t="s">
        <v>3123</v>
      </c>
      <c r="H37" s="434">
        <f>SUMIF(112:112,G37,113:113)-SUMIF(112:112,C37,113:113)+100</f>
        <v>100</v>
      </c>
      <c r="I37" s="2612" t="s">
        <v>3123</v>
      </c>
      <c r="J37" s="434">
        <f>SUMIF(112:112,I37,113:113)-SUMIF(112:112,C37,113:113)+100</f>
        <v>100</v>
      </c>
      <c r="K37" s="611">
        <v>1</v>
      </c>
      <c r="L37" s="1129"/>
      <c r="M37" s="1130"/>
      <c r="N37" s="1130"/>
      <c r="O37" s="1130"/>
      <c r="P37" s="3292"/>
      <c r="Q37" s="1792" t="str">
        <f t="shared" si="11"/>
        <v>市政基础设施</v>
      </c>
      <c r="R37" s="767" t="s">
        <v>17</v>
      </c>
      <c r="S37" s="768">
        <f t="shared" si="12"/>
        <v>100</v>
      </c>
      <c r="T37" s="767" t="s">
        <v>17</v>
      </c>
      <c r="U37" s="768">
        <f t="shared" si="13"/>
        <v>100</v>
      </c>
      <c r="V37" s="767" t="s">
        <v>17</v>
      </c>
      <c r="W37" s="768">
        <f t="shared" si="14"/>
        <v>100</v>
      </c>
      <c r="X37" s="769"/>
      <c r="Y37" s="3235"/>
      <c r="Z37" s="55" t="str">
        <f t="shared" si="15"/>
        <v>市政基础设施</v>
      </c>
      <c r="AA37" s="770">
        <f t="shared" si="3"/>
        <v>1</v>
      </c>
      <c r="AB37" s="770">
        <f t="shared" si="4"/>
        <v>1</v>
      </c>
      <c r="AC37" s="770">
        <f t="shared" si="5"/>
        <v>1</v>
      </c>
    </row>
    <row r="38" spans="1:29" ht="15" hidden="1">
      <c r="A38" s="471"/>
      <c r="B38" s="421" t="s">
        <v>2663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7"/>
      <c r="M38" s="1128"/>
      <c r="N38" s="1128"/>
      <c r="O38" s="1128"/>
      <c r="P38" s="3292" t="s">
        <v>2564</v>
      </c>
      <c r="Q38" s="1807" t="str">
        <f t="shared" si="11"/>
        <v>业态</v>
      </c>
      <c r="R38" s="771" t="s">
        <v>17</v>
      </c>
      <c r="S38" s="772">
        <f t="shared" si="12"/>
        <v>100</v>
      </c>
      <c r="T38" s="771" t="s">
        <v>17</v>
      </c>
      <c r="U38" s="772">
        <f t="shared" si="13"/>
        <v>100</v>
      </c>
      <c r="V38" s="771" t="s">
        <v>17</v>
      </c>
      <c r="W38" s="772">
        <f t="shared" si="14"/>
        <v>100</v>
      </c>
      <c r="X38" s="1810"/>
      <c r="Y38" s="3235" t="s">
        <v>2564</v>
      </c>
      <c r="Z38" s="1811" t="str">
        <f t="shared" si="15"/>
        <v>业态</v>
      </c>
      <c r="AA38" s="1808">
        <f t="shared" si="3"/>
        <v>1</v>
      </c>
      <c r="AB38" s="1808">
        <f t="shared" si="4"/>
        <v>1</v>
      </c>
      <c r="AC38" s="1808">
        <f t="shared" si="5"/>
        <v>1</v>
      </c>
    </row>
    <row r="39" spans="1:29" ht="15" hidden="1">
      <c r="A39" s="471"/>
      <c r="B39" s="421" t="s">
        <v>2664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7"/>
      <c r="M39" s="1128"/>
      <c r="N39" s="1128"/>
      <c r="O39" s="1128"/>
      <c r="P39" s="3292"/>
      <c r="Q39" s="1807" t="str">
        <f t="shared" si="11"/>
        <v>层高</v>
      </c>
      <c r="R39" s="771" t="s">
        <v>17</v>
      </c>
      <c r="S39" s="772">
        <f t="shared" si="12"/>
        <v>100</v>
      </c>
      <c r="T39" s="771" t="s">
        <v>17</v>
      </c>
      <c r="U39" s="772">
        <f t="shared" si="13"/>
        <v>100</v>
      </c>
      <c r="V39" s="771" t="s">
        <v>17</v>
      </c>
      <c r="W39" s="772">
        <f t="shared" si="14"/>
        <v>100</v>
      </c>
      <c r="X39" s="1810"/>
      <c r="Y39" s="3235"/>
      <c r="Z39" s="1811" t="str">
        <f t="shared" si="15"/>
        <v>层高</v>
      </c>
      <c r="AA39" s="1808">
        <f t="shared" si="3"/>
        <v>1</v>
      </c>
      <c r="AB39" s="1808">
        <f t="shared" si="4"/>
        <v>1</v>
      </c>
      <c r="AC39" s="1808">
        <f t="shared" si="5"/>
        <v>1</v>
      </c>
    </row>
    <row r="40" spans="1:29" ht="15" hidden="1">
      <c r="A40" s="471"/>
      <c r="B40" s="421" t="s">
        <v>2665</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7"/>
      <c r="M40" s="1128"/>
      <c r="N40" s="1128"/>
      <c r="O40" s="1128"/>
      <c r="P40" s="3292"/>
      <c r="Q40" s="1807" t="str">
        <f t="shared" si="11"/>
        <v>单套建筑面积</v>
      </c>
      <c r="R40" s="771" t="s">
        <v>17</v>
      </c>
      <c r="S40" s="772">
        <f t="shared" si="12"/>
        <v>100</v>
      </c>
      <c r="T40" s="771" t="s">
        <v>17</v>
      </c>
      <c r="U40" s="772">
        <f t="shared" si="13"/>
        <v>100</v>
      </c>
      <c r="V40" s="771" t="s">
        <v>17</v>
      </c>
      <c r="W40" s="772">
        <f t="shared" si="14"/>
        <v>100</v>
      </c>
      <c r="X40" s="1810"/>
      <c r="Y40" s="3235"/>
      <c r="Z40" s="1811" t="str">
        <f t="shared" si="15"/>
        <v>单套建筑面积</v>
      </c>
      <c r="AA40" s="1808">
        <f t="shared" si="3"/>
        <v>1</v>
      </c>
      <c r="AB40" s="1808">
        <f t="shared" si="4"/>
        <v>1</v>
      </c>
      <c r="AC40" s="1808">
        <f t="shared" si="5"/>
        <v>1</v>
      </c>
    </row>
    <row r="41" spans="1:29" s="470" customFormat="1" ht="15" hidden="1">
      <c r="A41" s="467"/>
      <c r="B41" s="1809"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92"/>
      <c r="Q41" s="773" t="str">
        <f t="shared" si="11"/>
        <v>进深比</v>
      </c>
      <c r="R41" s="774" t="s">
        <v>17</v>
      </c>
      <c r="S41" s="775">
        <f t="shared" si="12"/>
        <v>100</v>
      </c>
      <c r="T41" s="774" t="s">
        <v>17</v>
      </c>
      <c r="U41" s="775">
        <f t="shared" si="13"/>
        <v>100</v>
      </c>
      <c r="V41" s="774" t="s">
        <v>17</v>
      </c>
      <c r="W41" s="775">
        <f t="shared" si="14"/>
        <v>100</v>
      </c>
      <c r="X41" s="776"/>
      <c r="Y41" s="3235"/>
      <c r="Z41" s="777" t="str">
        <f t="shared" si="15"/>
        <v>进深比</v>
      </c>
      <c r="AA41" s="1808">
        <f t="shared" si="3"/>
        <v>1</v>
      </c>
      <c r="AB41" s="1808">
        <f t="shared" si="4"/>
        <v>1</v>
      </c>
      <c r="AC41" s="1808">
        <f t="shared" si="5"/>
        <v>1</v>
      </c>
    </row>
    <row r="42" spans="1:29" ht="15">
      <c r="A42" s="471"/>
      <c r="B42" s="421" t="s">
        <v>2667</v>
      </c>
      <c r="C42" s="2612" t="s">
        <v>3132</v>
      </c>
      <c r="D42" s="434">
        <v>100</v>
      </c>
      <c r="E42" s="2612" t="s">
        <v>3130</v>
      </c>
      <c r="F42" s="460">
        <f>SUMIF(122:122,E42,123:123)-SUMIF(122:122,C42,123:123)+100</f>
        <v>102</v>
      </c>
      <c r="G42" s="2612" t="s">
        <v>3130</v>
      </c>
      <c r="H42" s="434">
        <f>SUMIF(122:122,G42,123:123)-SUMIF(122:122,C42,123:123)+100</f>
        <v>102</v>
      </c>
      <c r="I42" s="2612" t="s">
        <v>3130</v>
      </c>
      <c r="J42" s="434">
        <f>SUMIF(122:122,I42,123:123)-SUMIF(122:122,C42,123:123)+100</f>
        <v>102</v>
      </c>
      <c r="K42" s="611">
        <v>2</v>
      </c>
      <c r="L42" s="1137"/>
      <c r="M42" s="1128"/>
      <c r="N42" s="1128"/>
      <c r="O42" s="1128"/>
      <c r="P42" s="3292"/>
      <c r="Q42" s="1807" t="str">
        <f t="shared" si="11"/>
        <v>内部装修</v>
      </c>
      <c r="R42" s="771" t="s">
        <v>17</v>
      </c>
      <c r="S42" s="772">
        <f t="shared" si="12"/>
        <v>102</v>
      </c>
      <c r="T42" s="771" t="s">
        <v>17</v>
      </c>
      <c r="U42" s="772">
        <f t="shared" si="13"/>
        <v>102</v>
      </c>
      <c r="V42" s="771" t="s">
        <v>17</v>
      </c>
      <c r="W42" s="772">
        <f t="shared" si="14"/>
        <v>102</v>
      </c>
      <c r="X42" s="1810"/>
      <c r="Y42" s="3235"/>
      <c r="Z42" s="1811" t="str">
        <f t="shared" si="15"/>
        <v>内部装修</v>
      </c>
      <c r="AA42" s="1808">
        <f t="shared" si="3"/>
        <v>0.98039215686274506</v>
      </c>
      <c r="AB42" s="1808">
        <f t="shared" si="4"/>
        <v>0.98039215686274506</v>
      </c>
      <c r="AC42" s="1808">
        <f t="shared" si="5"/>
        <v>0.98039215686274506</v>
      </c>
    </row>
    <row r="43" spans="1:29" ht="29.4" thickBot="1">
      <c r="A43" s="471"/>
      <c r="B43" s="421" t="s">
        <v>2575</v>
      </c>
      <c r="C43" s="2612" t="s">
        <v>3122</v>
      </c>
      <c r="D43" s="434">
        <v>100</v>
      </c>
      <c r="E43" s="2612" t="s">
        <v>3122</v>
      </c>
      <c r="F43" s="460">
        <f>SUMIF(124:124,E43,125:125)-SUMIF(124:124,C43,125:125)+100</f>
        <v>100</v>
      </c>
      <c r="G43" s="2612" t="s">
        <v>3122</v>
      </c>
      <c r="H43" s="434">
        <f>SUMIF(124:124,G43,125:125)-SUMIF(124:124,C43,125:125)+100</f>
        <v>100</v>
      </c>
      <c r="I43" s="2612" t="s">
        <v>3122</v>
      </c>
      <c r="J43" s="434">
        <f>SUMIF(124:124,I43,125:125)-SUMIF(124:124,C43,125:125)+100</f>
        <v>100</v>
      </c>
      <c r="K43" s="611">
        <v>1</v>
      </c>
      <c r="L43" s="1137"/>
      <c r="M43" s="1128"/>
      <c r="N43" s="1128"/>
      <c r="O43" s="1128"/>
      <c r="P43" s="3292"/>
      <c r="Q43" s="1807" t="str">
        <f t="shared" si="11"/>
        <v>内部装修维护情况</v>
      </c>
      <c r="R43" s="771" t="s">
        <v>17</v>
      </c>
      <c r="S43" s="772">
        <f t="shared" si="12"/>
        <v>100</v>
      </c>
      <c r="T43" s="771" t="s">
        <v>17</v>
      </c>
      <c r="U43" s="772">
        <f t="shared" si="13"/>
        <v>100</v>
      </c>
      <c r="V43" s="771" t="s">
        <v>17</v>
      </c>
      <c r="W43" s="772">
        <f t="shared" si="14"/>
        <v>100</v>
      </c>
      <c r="X43" s="1810"/>
      <c r="Y43" s="3235"/>
      <c r="Z43" s="1811" t="str">
        <f t="shared" si="15"/>
        <v>内部装修维护情况</v>
      </c>
      <c r="AA43" s="1808">
        <f t="shared" si="3"/>
        <v>1</v>
      </c>
      <c r="AB43" s="1808">
        <f t="shared" si="4"/>
        <v>1</v>
      </c>
      <c r="AC43" s="1808">
        <f t="shared" si="5"/>
        <v>1</v>
      </c>
    </row>
    <row r="44" spans="1:29" s="117"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92"/>
      <c r="Q44" s="1792">
        <f t="shared" si="11"/>
        <v>111</v>
      </c>
      <c r="R44" s="767" t="s">
        <v>17</v>
      </c>
      <c r="S44" s="768">
        <f t="shared" si="12"/>
        <v>100</v>
      </c>
      <c r="T44" s="767" t="s">
        <v>17</v>
      </c>
      <c r="U44" s="768">
        <f t="shared" si="13"/>
        <v>100</v>
      </c>
      <c r="V44" s="767" t="s">
        <v>17</v>
      </c>
      <c r="W44" s="768">
        <f t="shared" si="14"/>
        <v>100</v>
      </c>
      <c r="X44" s="769"/>
      <c r="Y44" s="3235"/>
      <c r="Z44" s="55">
        <f t="shared" si="15"/>
        <v>111</v>
      </c>
      <c r="AA44" s="770">
        <f t="shared" si="3"/>
        <v>1</v>
      </c>
      <c r="AB44" s="770">
        <f t="shared" si="4"/>
        <v>1</v>
      </c>
      <c r="AC44" s="770">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92"/>
      <c r="Q45" s="1807">
        <f t="shared" si="11"/>
        <v>111</v>
      </c>
      <c r="R45" s="771" t="s">
        <v>17</v>
      </c>
      <c r="S45" s="772">
        <f t="shared" si="12"/>
        <v>100</v>
      </c>
      <c r="T45" s="771" t="s">
        <v>17</v>
      </c>
      <c r="U45" s="772">
        <f t="shared" si="13"/>
        <v>100</v>
      </c>
      <c r="V45" s="771" t="s">
        <v>17</v>
      </c>
      <c r="W45" s="772">
        <f t="shared" si="14"/>
        <v>100</v>
      </c>
      <c r="X45" s="1810"/>
      <c r="Y45" s="3235"/>
      <c r="Z45" s="1811">
        <f t="shared" si="15"/>
        <v>111</v>
      </c>
      <c r="AA45" s="1808">
        <f t="shared" si="3"/>
        <v>1</v>
      </c>
      <c r="AB45" s="1808">
        <f t="shared" si="4"/>
        <v>1</v>
      </c>
      <c r="AC45" s="1808">
        <f t="shared" si="5"/>
        <v>1</v>
      </c>
    </row>
    <row r="46" spans="1:29" ht="15.6"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93"/>
      <c r="Q46" s="1807">
        <f t="shared" si="11"/>
        <v>111</v>
      </c>
      <c r="R46" s="771" t="s">
        <v>17</v>
      </c>
      <c r="S46" s="772">
        <f t="shared" si="12"/>
        <v>100</v>
      </c>
      <c r="T46" s="771" t="s">
        <v>17</v>
      </c>
      <c r="U46" s="772">
        <f t="shared" si="13"/>
        <v>100</v>
      </c>
      <c r="V46" s="771" t="s">
        <v>17</v>
      </c>
      <c r="W46" s="772">
        <f t="shared" si="14"/>
        <v>100</v>
      </c>
      <c r="X46" s="1810"/>
      <c r="Y46" s="3294"/>
      <c r="Z46" s="1811">
        <f t="shared" si="15"/>
        <v>111</v>
      </c>
      <c r="AA46" s="1808">
        <f t="shared" si="3"/>
        <v>1</v>
      </c>
      <c r="AB46" s="1808">
        <f t="shared" si="4"/>
        <v>1</v>
      </c>
      <c r="AC46" s="1808">
        <f t="shared" si="5"/>
        <v>1</v>
      </c>
    </row>
    <row r="47" spans="1:29" ht="14.4">
      <c r="A47" s="478" t="s">
        <v>2576</v>
      </c>
      <c r="B47" s="479"/>
      <c r="C47" s="1404" t="s">
        <v>1</v>
      </c>
      <c r="D47" s="1405"/>
      <c r="E47" s="1406">
        <v>50000</v>
      </c>
      <c r="F47" s="1407"/>
      <c r="G47" s="1408">
        <v>60000</v>
      </c>
      <c r="H47" s="1409"/>
      <c r="I47" s="1406">
        <v>56000</v>
      </c>
      <c r="J47" s="1409"/>
      <c r="K47" s="780"/>
      <c r="L47" s="1140"/>
      <c r="M47" s="1141"/>
      <c r="N47" s="1128"/>
      <c r="O47" s="1141"/>
      <c r="P47" s="3230" t="str">
        <f>A47</f>
        <v>成交单价（元/平方米）</v>
      </c>
      <c r="Q47" s="3230"/>
      <c r="R47" s="3236">
        <f>E47</f>
        <v>50000</v>
      </c>
      <c r="S47" s="3236"/>
      <c r="T47" s="3236">
        <f>G47</f>
        <v>60000</v>
      </c>
      <c r="U47" s="3236"/>
      <c r="V47" s="3236">
        <f>I47</f>
        <v>56000</v>
      </c>
      <c r="W47" s="3236"/>
      <c r="X47" s="756"/>
      <c r="Y47" s="778"/>
      <c r="Z47" s="756"/>
      <c r="AA47" s="756"/>
      <c r="AB47" s="756"/>
      <c r="AC47" s="756"/>
    </row>
    <row r="48" spans="1:29" ht="15" thickBot="1">
      <c r="A48" s="485" t="s">
        <v>2668</v>
      </c>
      <c r="B48" s="486"/>
      <c r="C48" s="1410">
        <f>R49</f>
        <v>52051</v>
      </c>
      <c r="D48" s="1411"/>
      <c r="E48" s="1412">
        <f>R48</f>
        <v>47362</v>
      </c>
      <c r="F48" s="1412"/>
      <c r="G48" s="1410">
        <f>T48</f>
        <v>56272</v>
      </c>
      <c r="H48" s="1411"/>
      <c r="I48" s="1412">
        <f>V48</f>
        <v>52520</v>
      </c>
      <c r="J48" s="1411"/>
      <c r="K48" s="781"/>
      <c r="L48" s="1140"/>
      <c r="M48" s="1141"/>
      <c r="N48" s="1128"/>
      <c r="O48" s="1141"/>
      <c r="P48" s="3230" t="str">
        <f>A48</f>
        <v>比较价值（元/平方米）</v>
      </c>
      <c r="Q48" s="3230"/>
      <c r="R48" s="3287">
        <f>IF(F1="售价",ROUND(PRODUCT(R47,AA7:AA46),0),ROUND(PRODUCT(R47,AA7:AA46),1))</f>
        <v>47362</v>
      </c>
      <c r="S48" s="3287"/>
      <c r="T48" s="3287">
        <f>IF(F1="售价",ROUND(PRODUCT(T47,AB7:AB46),0),ROUND(PRODUCT(T47,AB7:AB46),1))</f>
        <v>56272</v>
      </c>
      <c r="U48" s="3287"/>
      <c r="V48" s="3287">
        <f>IF(F1="售价",ROUND(PRODUCT(V47,AC7:AC46),0),ROUND(PRODUCT(V47,AC7:AC46),1))</f>
        <v>52520</v>
      </c>
      <c r="W48" s="3287"/>
      <c r="X48" s="756"/>
      <c r="Y48" s="756"/>
      <c r="Z48" s="756"/>
      <c r="AA48" s="756"/>
      <c r="AB48" s="756"/>
      <c r="AC48" s="756"/>
    </row>
    <row r="49" spans="1:29" ht="15" thickBot="1">
      <c r="A49" s="491" t="s">
        <v>2669</v>
      </c>
      <c r="B49" s="492"/>
      <c r="C49" s="1414">
        <f>R49</f>
        <v>52051</v>
      </c>
      <c r="D49" s="1414"/>
      <c r="E49" s="1414"/>
      <c r="F49" s="1414"/>
      <c r="G49" s="1414"/>
      <c r="H49" s="1414"/>
      <c r="I49" s="1414"/>
      <c r="J49" s="1414"/>
      <c r="K49" s="782"/>
      <c r="L49" s="1140"/>
      <c r="M49" s="1141"/>
      <c r="N49" s="1128"/>
      <c r="O49" s="1141"/>
      <c r="P49" s="3224" t="str">
        <f>A49</f>
        <v>估价对象XX用房的比较价值（楼面单价，元/平方米）</v>
      </c>
      <c r="Q49" s="3225"/>
      <c r="R49" s="3288">
        <f>IF(F1="售价",ROUND(AVERAGE(R48:V48),0),ROUND(AVERAGE(R48:V48),1))</f>
        <v>52051</v>
      </c>
      <c r="S49" s="3288"/>
      <c r="T49" s="3288"/>
      <c r="U49" s="3288"/>
      <c r="V49" s="3288"/>
      <c r="W49" s="328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6" t="s">
        <v>2670</v>
      </c>
      <c r="D52" s="497"/>
      <c r="E52" s="498">
        <f>IF(E47&lt;E48,E48/E47-1,E47/E48-1)</f>
        <v>5.5698661374097291E-2</v>
      </c>
      <c r="F52" s="499" t="str">
        <f>IF(OR(E52&gt;=0.3,E52&lt;=-0.3),"超过30%","")</f>
        <v/>
      </c>
      <c r="G52" s="498">
        <f>IF(G47&lt;G48,G48/G47-1,G47/G48-1)</f>
        <v>6.6249644583451728E-2</v>
      </c>
      <c r="H52" s="499" t="str">
        <f>IF(OR(G52&gt;=0.3,G52&lt;=-0.3),"超过30%","")</f>
        <v/>
      </c>
      <c r="I52" s="498">
        <f>IF(I47&lt;I48,I48/I47-1,I47/I48-1)</f>
        <v>6.6260472201066234E-2</v>
      </c>
      <c r="J52" s="499"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6" t="s">
        <v>2671</v>
      </c>
      <c r="D53" s="500"/>
      <c r="E53" s="498">
        <f>IF(E48&lt;G48,G48/E48-1,E48/G48-1)</f>
        <v>0.18812550145686413</v>
      </c>
      <c r="F53" s="499" t="str">
        <f>IF(OR(E53&gt;=0.2,E53&lt;=-0.2),"超过20%","")</f>
        <v/>
      </c>
      <c r="G53" s="498">
        <f>IF(G48&lt;I48,I48/G48-1,G48/I48-1)</f>
        <v>7.1439451637471452E-2</v>
      </c>
      <c r="H53" s="499" t="str">
        <f>IF(OR(G53&gt;=0.2,G53&lt;=-0.2),"超过20%","")</f>
        <v/>
      </c>
      <c r="I53" s="498">
        <f>IF(I48&lt;E48,E48/I48-1,I48/E48-1)</f>
        <v>0.10890587390735185</v>
      </c>
      <c r="J53" s="499"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1" customFormat="1" ht="13.5" customHeight="1">
      <c r="A54" s="1142"/>
      <c r="B54" s="1142"/>
      <c r="C54" s="496" t="s">
        <v>2672</v>
      </c>
      <c r="D54" s="500"/>
      <c r="E54" s="498">
        <f>IF(E47&lt;G47,G47/E47-1,E47/G47-1)</f>
        <v>0.19999999999999996</v>
      </c>
      <c r="F54" s="499" t="str">
        <f>IF(OR(E54&gt;=0.3,E54&lt;=-0.3),"超过30%","")</f>
        <v/>
      </c>
      <c r="G54" s="498">
        <f>IF(G47&lt;I47,I47/G47-1,G47/I47-1)</f>
        <v>7.1428571428571397E-2</v>
      </c>
      <c r="H54" s="499" t="str">
        <f>IF(OR(G54&gt;=0.3,G54&lt;=-0.3),"超过30%","")</f>
        <v/>
      </c>
      <c r="I54" s="498">
        <f>IF(I47&lt;E47,E47/I47-1,I47/E47-1)</f>
        <v>0.12000000000000011</v>
      </c>
      <c r="J54" s="499" t="str">
        <f>IF(OR(I54&gt;=0.3,I54&lt;=-0.3),"超过30%","")</f>
        <v/>
      </c>
      <c r="K54" s="1145"/>
      <c r="L54" s="1146"/>
      <c r="M54" s="1142"/>
      <c r="N54" s="1142"/>
      <c r="O54" s="1142"/>
      <c r="P54" s="2665"/>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5"/>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2673</v>
      </c>
      <c r="B57" s="756"/>
      <c r="C57" s="761"/>
      <c r="D57" s="761"/>
      <c r="E57" s="761"/>
      <c r="F57" s="762"/>
      <c r="G57" s="762"/>
      <c r="H57" s="761"/>
      <c r="I57" s="761"/>
      <c r="J57" s="761"/>
      <c r="K57" s="763"/>
      <c r="L57" s="1158"/>
      <c r="M57" s="1156"/>
      <c r="N57" s="1156"/>
      <c r="O57" s="1156"/>
      <c r="P57" s="2666"/>
      <c r="Q57" s="2667"/>
      <c r="R57" s="756"/>
      <c r="S57" s="756"/>
      <c r="T57" s="756"/>
      <c r="U57" s="756"/>
      <c r="V57" s="756"/>
      <c r="W57" s="756"/>
      <c r="X57" s="756"/>
      <c r="Y57" s="756"/>
      <c r="Z57" s="756"/>
      <c r="AA57" s="756"/>
      <c r="AB57" s="756"/>
      <c r="AC57" s="756"/>
    </row>
    <row r="58" spans="1:29" s="507" customFormat="1" ht="14.4">
      <c r="A58" s="504" t="s">
        <v>2547</v>
      </c>
      <c r="B58" s="505"/>
      <c r="C58" s="1571" t="str">
        <f>YEAR(C7)&amp;"-"&amp;MONTH(C7)</f>
        <v>2020-1</v>
      </c>
      <c r="D58" s="1572">
        <f>EDATE(C58,-1)</f>
        <v>43800</v>
      </c>
      <c r="E58" s="1572">
        <f t="shared" ref="E58:N58" si="16">EDATE(D58,-1)</f>
        <v>43770</v>
      </c>
      <c r="F58" s="1572">
        <f t="shared" si="16"/>
        <v>43739</v>
      </c>
      <c r="G58" s="1572">
        <f t="shared" si="16"/>
        <v>43709</v>
      </c>
      <c r="H58" s="1572">
        <f t="shared" si="16"/>
        <v>43678</v>
      </c>
      <c r="I58" s="1572">
        <f t="shared" si="16"/>
        <v>43647</v>
      </c>
      <c r="J58" s="1572">
        <f t="shared" si="16"/>
        <v>43617</v>
      </c>
      <c r="K58" s="1572">
        <f t="shared" si="16"/>
        <v>43586</v>
      </c>
      <c r="L58" s="1572">
        <f t="shared" si="16"/>
        <v>43556</v>
      </c>
      <c r="M58" s="1572">
        <f t="shared" si="16"/>
        <v>43525</v>
      </c>
      <c r="N58" s="1572">
        <f t="shared" si="16"/>
        <v>43497</v>
      </c>
      <c r="O58" s="1572">
        <f>EDATE(N58,-1)</f>
        <v>43466</v>
      </c>
      <c r="P58" s="1567"/>
    </row>
    <row r="59" spans="1:29" s="117" customFormat="1">
      <c r="A59" s="508"/>
      <c r="B59" s="509"/>
      <c r="C59" s="1570">
        <v>100</v>
      </c>
      <c r="D59" s="511"/>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2549</v>
      </c>
      <c r="B61" s="509"/>
      <c r="C61" s="521" t="s">
        <v>2651</v>
      </c>
      <c r="D61" s="522"/>
      <c r="E61" s="522"/>
      <c r="F61" s="522"/>
      <c r="G61" s="522"/>
      <c r="H61" s="522"/>
      <c r="I61" s="522"/>
      <c r="J61" s="522"/>
      <c r="K61" s="522"/>
      <c r="L61" s="523"/>
      <c r="M61" s="524"/>
      <c r="N61" s="1148"/>
      <c r="O61" s="1148"/>
      <c r="P61" s="2628"/>
      <c r="Q61" s="503"/>
    </row>
    <row r="62" spans="1:29" s="117" customFormat="1" ht="14.4" thickBot="1">
      <c r="A62" s="520"/>
      <c r="B62" s="509"/>
      <c r="C62" s="510">
        <v>100</v>
      </c>
      <c r="D62" s="511"/>
      <c r="E62" s="511"/>
      <c r="F62" s="511"/>
      <c r="G62" s="511"/>
      <c r="H62" s="511"/>
      <c r="I62" s="511"/>
      <c r="J62" s="511"/>
      <c r="K62" s="511"/>
      <c r="L62" s="511"/>
      <c r="M62" s="513"/>
      <c r="N62" s="1148"/>
      <c r="O62" s="1148"/>
      <c r="P62" s="2627"/>
      <c r="Q62" s="503"/>
    </row>
    <row r="63" spans="1:29" ht="14.4">
      <c r="A63" s="526" t="s">
        <v>2587</v>
      </c>
      <c r="B63" s="527" t="s">
        <v>2553</v>
      </c>
      <c r="C63" s="528">
        <f>C9</f>
        <v>0</v>
      </c>
      <c r="D63" s="529"/>
      <c r="E63" s="529"/>
      <c r="F63" s="529"/>
      <c r="G63" s="529"/>
      <c r="H63" s="529"/>
      <c r="I63" s="529"/>
      <c r="J63" s="529"/>
      <c r="K63" s="530"/>
      <c r="L63" s="531"/>
      <c r="M63" s="532"/>
      <c r="N63" s="1149"/>
      <c r="O63" s="1149"/>
      <c r="P63" s="2629"/>
      <c r="Q63" s="503"/>
    </row>
    <row r="64" spans="1:29" ht="14.4" thickBot="1">
      <c r="A64" s="533"/>
      <c r="B64" s="534"/>
      <c r="C64" s="535">
        <v>100</v>
      </c>
      <c r="D64" s="535"/>
      <c r="E64" s="535"/>
      <c r="F64" s="535"/>
      <c r="G64" s="535"/>
      <c r="H64" s="535"/>
      <c r="I64" s="535"/>
      <c r="J64" s="535"/>
      <c r="K64" s="535"/>
      <c r="L64" s="535"/>
      <c r="M64" s="536"/>
      <c r="N64" s="1150"/>
      <c r="O64" s="1150"/>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9"/>
      <c r="O65" s="1149"/>
      <c r="P65" s="2629"/>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9"/>
      <c r="Q66" s="503"/>
    </row>
    <row r="67" spans="1:17" ht="1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9"/>
      <c r="Q67" s="503"/>
    </row>
    <row r="68" spans="1:17">
      <c r="A68" s="533"/>
      <c r="B68" s="547"/>
      <c r="C68" s="548">
        <v>0</v>
      </c>
      <c r="D68" s="548"/>
      <c r="E68" s="548"/>
      <c r="F68" s="548"/>
      <c r="G68" s="548"/>
      <c r="H68" s="548"/>
      <c r="I68" s="548"/>
      <c r="J68" s="548"/>
      <c r="K68" s="549"/>
      <c r="L68" s="550"/>
      <c r="M68" s="551"/>
      <c r="N68" s="1149"/>
      <c r="O68" s="1149"/>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9"/>
      <c r="Q69" s="503"/>
    </row>
    <row r="70" spans="1:17" s="470" customFormat="1" ht="14.4" thickTop="1">
      <c r="A70" s="552"/>
      <c r="B70" s="537">
        <f>B12</f>
        <v>111</v>
      </c>
      <c r="C70" s="553"/>
      <c r="D70" s="553"/>
      <c r="E70" s="553"/>
      <c r="F70" s="553"/>
      <c r="G70" s="553"/>
      <c r="H70" s="554"/>
      <c r="I70" s="554"/>
      <c r="J70" s="554"/>
      <c r="K70" s="554"/>
      <c r="L70" s="555"/>
      <c r="M70" s="556"/>
      <c r="N70" s="1151"/>
      <c r="O70" s="1151"/>
      <c r="P70" s="2630"/>
      <c r="Q70" s="558"/>
    </row>
    <row r="71" spans="1:17" s="470" customFormat="1" ht="14.4" thickBot="1">
      <c r="A71" s="552"/>
      <c r="B71" s="542"/>
      <c r="C71" s="559"/>
      <c r="D71" s="535"/>
      <c r="E71" s="535"/>
      <c r="F71" s="535"/>
      <c r="G71" s="535"/>
      <c r="H71" s="535"/>
      <c r="I71" s="535"/>
      <c r="J71" s="535"/>
      <c r="K71" s="535"/>
      <c r="L71" s="535"/>
      <c r="M71" s="536"/>
      <c r="N71" s="1150"/>
      <c r="O71" s="1150"/>
      <c r="P71" s="2630"/>
      <c r="Q71" s="558"/>
    </row>
    <row r="72" spans="1:17" s="470" customFormat="1" ht="14.4" thickTop="1">
      <c r="A72" s="552"/>
      <c r="B72" s="537">
        <f>B13</f>
        <v>111</v>
      </c>
      <c r="C72" s="553"/>
      <c r="D72" s="553"/>
      <c r="E72" s="553"/>
      <c r="F72" s="553"/>
      <c r="G72" s="553"/>
      <c r="H72" s="554"/>
      <c r="I72" s="554"/>
      <c r="J72" s="554"/>
      <c r="K72" s="554"/>
      <c r="L72" s="555"/>
      <c r="M72" s="556"/>
      <c r="N72" s="1151"/>
      <c r="O72" s="1151"/>
      <c r="P72" s="2631"/>
      <c r="Q72" s="560"/>
    </row>
    <row r="73" spans="1:17" s="470" customFormat="1" ht="14.4" thickBot="1">
      <c r="A73" s="552"/>
      <c r="B73" s="542"/>
      <c r="C73" s="559"/>
      <c r="D73" s="535"/>
      <c r="E73" s="535"/>
      <c r="F73" s="535"/>
      <c r="G73" s="559"/>
      <c r="H73" s="561"/>
      <c r="I73" s="561"/>
      <c r="J73" s="561"/>
      <c r="K73" s="561"/>
      <c r="L73" s="561"/>
      <c r="M73" s="562"/>
      <c r="N73" s="1151"/>
      <c r="O73" s="1151"/>
      <c r="P73" s="2630"/>
      <c r="Q73" s="558"/>
    </row>
    <row r="74" spans="1:17" s="470" customFormat="1" ht="14.4" thickTop="1">
      <c r="A74" s="552"/>
      <c r="B74" s="545">
        <f>B14</f>
        <v>111</v>
      </c>
      <c r="C74" s="553"/>
      <c r="D74" s="553"/>
      <c r="E74" s="553"/>
      <c r="F74" s="553"/>
      <c r="G74" s="522"/>
      <c r="H74" s="563"/>
      <c r="I74" s="563"/>
      <c r="J74" s="563"/>
      <c r="K74" s="563"/>
      <c r="L74" s="564"/>
      <c r="M74" s="565"/>
      <c r="N74" s="1151"/>
      <c r="O74" s="1151"/>
      <c r="P74" s="2632"/>
      <c r="Q74" s="558"/>
    </row>
    <row r="75" spans="1:17" s="470" customFormat="1" ht="14.4" thickBot="1">
      <c r="A75" s="567"/>
      <c r="B75" s="568"/>
      <c r="C75" s="569"/>
      <c r="D75" s="569"/>
      <c r="E75" s="569"/>
      <c r="F75" s="569"/>
      <c r="G75" s="569"/>
      <c r="H75" s="570"/>
      <c r="I75" s="570"/>
      <c r="J75" s="570"/>
      <c r="K75" s="570"/>
      <c r="L75" s="570"/>
      <c r="M75" s="571"/>
      <c r="N75" s="1151"/>
      <c r="O75" s="1151"/>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9"/>
      <c r="O76" s="1149"/>
      <c r="P76" s="2633"/>
      <c r="Q76" s="503"/>
    </row>
    <row r="77" spans="1:17" ht="14.4" thickBot="1">
      <c r="A77" s="533"/>
      <c r="B77" s="542"/>
      <c r="C77" s="543">
        <v>100</v>
      </c>
      <c r="D77" s="543">
        <f>C77-$K15</f>
        <v>96</v>
      </c>
      <c r="E77" s="543">
        <f>D77-$K15</f>
        <v>92</v>
      </c>
      <c r="F77" s="543">
        <f>E77-$K15</f>
        <v>88</v>
      </c>
      <c r="G77" s="543">
        <f>F77-$K15</f>
        <v>84</v>
      </c>
      <c r="H77" s="543"/>
      <c r="I77" s="543"/>
      <c r="J77" s="543"/>
      <c r="K77" s="543"/>
      <c r="L77" s="543"/>
      <c r="M77" s="544"/>
      <c r="N77" s="1150"/>
      <c r="O77" s="1150"/>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9"/>
      <c r="O78" s="1149"/>
      <c r="P78" s="2629"/>
      <c r="Q78" s="503"/>
    </row>
    <row r="79" spans="1:17" ht="14.4"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9"/>
      <c r="O80" s="1149"/>
      <c r="P80" s="2629"/>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0"/>
      <c r="O81" s="1150"/>
      <c r="P81" s="2629"/>
      <c r="Q81" s="503"/>
    </row>
    <row r="82" spans="1:17" ht="15" thickTop="1">
      <c r="A82" s="533"/>
      <c r="B82" s="545" t="s">
        <v>2654</v>
      </c>
      <c r="C82" s="658" t="s">
        <v>2674</v>
      </c>
      <c r="D82" s="658" t="s">
        <v>2675</v>
      </c>
      <c r="E82" s="658" t="s">
        <v>2676</v>
      </c>
      <c r="F82" s="658" t="s">
        <v>2677</v>
      </c>
      <c r="G82" s="658" t="s">
        <v>2678</v>
      </c>
      <c r="H82" s="538"/>
      <c r="I82" s="538"/>
      <c r="J82" s="538"/>
      <c r="K82" s="538"/>
      <c r="L82" s="538"/>
      <c r="M82" s="1379"/>
      <c r="N82" s="1150"/>
      <c r="O82" s="1150"/>
      <c r="P82" s="2629"/>
      <c r="Q82" s="503"/>
    </row>
    <row r="83" spans="1:17" ht="14.4"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0"/>
      <c r="O83" s="1150"/>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9"/>
      <c r="O84" s="1149"/>
      <c r="P84" s="2629"/>
      <c r="Q84" s="503"/>
    </row>
    <row r="85" spans="1:17" ht="14.4" thickBot="1">
      <c r="A85" s="533"/>
      <c r="B85" s="542"/>
      <c r="C85" s="543">
        <v>100</v>
      </c>
      <c r="D85" s="543">
        <f>C85-$K23</f>
        <v>96</v>
      </c>
      <c r="E85" s="543">
        <f>D85-$K23</f>
        <v>92</v>
      </c>
      <c r="F85" s="543">
        <f>E85-$K23</f>
        <v>88</v>
      </c>
      <c r="G85" s="543">
        <f>F85-$K23</f>
        <v>84</v>
      </c>
      <c r="H85" s="543"/>
      <c r="I85" s="543"/>
      <c r="J85" s="543"/>
      <c r="K85" s="543"/>
      <c r="L85" s="543"/>
      <c r="M85" s="544"/>
      <c r="N85" s="1150"/>
      <c r="O85" s="1150"/>
      <c r="P85" s="2629"/>
      <c r="Q85" s="503"/>
    </row>
    <row r="86" spans="1:17" s="117" customFormat="1" ht="15" thickTop="1">
      <c r="A86" s="578"/>
      <c r="B86" s="537" t="s">
        <v>2679</v>
      </c>
      <c r="C86" s="553"/>
      <c r="D86" s="553"/>
      <c r="E86" s="553"/>
      <c r="F86" s="553"/>
      <c r="G86" s="553"/>
      <c r="H86" s="553"/>
      <c r="I86" s="553"/>
      <c r="J86" s="553"/>
      <c r="K86" s="553"/>
      <c r="L86" s="579"/>
      <c r="M86" s="580"/>
      <c r="N86" s="1148"/>
      <c r="O86" s="1148"/>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48"/>
      <c r="O88" s="1148"/>
      <c r="P88" s="2629"/>
      <c r="Q88" s="503"/>
    </row>
    <row r="89" spans="1:17" s="117" customFormat="1" ht="14.4" thickBot="1">
      <c r="A89" s="578"/>
      <c r="B89" s="542"/>
      <c r="C89" s="559"/>
      <c r="D89" s="535"/>
      <c r="E89" s="535"/>
      <c r="F89" s="535"/>
      <c r="G89" s="535"/>
      <c r="H89" s="535"/>
      <c r="I89" s="535"/>
      <c r="J89" s="535"/>
      <c r="K89" s="535"/>
      <c r="L89" s="535"/>
      <c r="M89" s="535"/>
      <c r="N89" s="1150"/>
      <c r="O89" s="1150"/>
      <c r="P89" s="2629"/>
      <c r="Q89" s="503"/>
    </row>
    <row r="90" spans="1:17" s="470" customFormat="1" ht="15" thickTop="1">
      <c r="A90" s="552"/>
      <c r="B90" s="537" t="str">
        <f>B27</f>
        <v>人流量</v>
      </c>
      <c r="C90" s="3005" t="s">
        <v>3120</v>
      </c>
      <c r="D90" s="553"/>
      <c r="E90" s="553"/>
      <c r="F90" s="553"/>
      <c r="G90" s="553"/>
      <c r="H90" s="554"/>
      <c r="I90" s="554"/>
      <c r="J90" s="554"/>
      <c r="K90" s="554"/>
      <c r="L90" s="555"/>
      <c r="M90" s="556"/>
      <c r="N90" s="1151"/>
      <c r="O90" s="1151"/>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30"/>
      <c r="Q91" s="558"/>
    </row>
    <row r="92" spans="1:17" ht="15" thickTop="1">
      <c r="A92" s="533"/>
      <c r="B92" s="537" t="str">
        <f>B28</f>
        <v>楼层</v>
      </c>
      <c r="C92" s="553" t="s">
        <v>3128</v>
      </c>
      <c r="D92" s="553" t="s">
        <v>3160</v>
      </c>
      <c r="E92" s="553" t="s">
        <v>3129</v>
      </c>
      <c r="F92" s="553"/>
      <c r="G92" s="553"/>
      <c r="H92" s="553"/>
      <c r="I92" s="553"/>
      <c r="J92" s="553"/>
      <c r="K92" s="553"/>
      <c r="L92" s="579"/>
      <c r="M92" s="580"/>
      <c r="N92" s="1149"/>
      <c r="O92" s="1149"/>
      <c r="P92" s="2629"/>
      <c r="Q92" s="503"/>
    </row>
    <row r="93" spans="1:17" ht="14.4" thickBot="1">
      <c r="A93" s="533"/>
      <c r="B93" s="542"/>
      <c r="C93" s="535">
        <v>100</v>
      </c>
      <c r="D93" s="535">
        <v>70</v>
      </c>
      <c r="E93" s="535">
        <f>(C93+D93)/2</f>
        <v>85</v>
      </c>
      <c r="F93" s="535"/>
      <c r="G93" s="535"/>
      <c r="H93" s="535"/>
      <c r="I93" s="535"/>
      <c r="J93" s="535"/>
      <c r="K93" s="535"/>
      <c r="L93" s="535"/>
      <c r="M93" s="536"/>
      <c r="N93" s="1150"/>
      <c r="O93" s="1150"/>
      <c r="P93" s="2629"/>
      <c r="Q93" s="503"/>
    </row>
    <row r="94" spans="1:17" ht="14.4" thickTop="1">
      <c r="A94" s="533"/>
      <c r="B94" s="537">
        <f>B29</f>
        <v>111</v>
      </c>
      <c r="C94" s="553"/>
      <c r="D94" s="553"/>
      <c r="E94" s="553"/>
      <c r="F94" s="553"/>
      <c r="G94" s="582"/>
      <c r="H94" s="582"/>
      <c r="I94" s="582"/>
      <c r="J94" s="582"/>
      <c r="K94" s="583"/>
      <c r="L94" s="584"/>
      <c r="M94" s="585"/>
      <c r="N94" s="1149"/>
      <c r="O94" s="1149"/>
      <c r="P94" s="2629"/>
      <c r="Q94" s="503"/>
    </row>
    <row r="95" spans="1:17" ht="14.4" thickBot="1">
      <c r="A95" s="533"/>
      <c r="B95" s="542"/>
      <c r="C95" s="559"/>
      <c r="D95" s="535"/>
      <c r="E95" s="535"/>
      <c r="F95" s="535"/>
      <c r="G95" s="535"/>
      <c r="H95" s="535"/>
      <c r="I95" s="535"/>
      <c r="J95" s="535"/>
      <c r="K95" s="535"/>
      <c r="L95" s="535"/>
      <c r="M95" s="536"/>
      <c r="N95" s="1150"/>
      <c r="O95" s="1150"/>
      <c r="P95" s="2629"/>
      <c r="Q95" s="503"/>
    </row>
    <row r="96" spans="1:17" ht="14.4" thickTop="1">
      <c r="A96" s="533"/>
      <c r="B96" s="537">
        <f>B30</f>
        <v>111</v>
      </c>
      <c r="C96" s="553"/>
      <c r="D96" s="553"/>
      <c r="E96" s="553"/>
      <c r="F96" s="553"/>
      <c r="G96" s="582"/>
      <c r="H96" s="582"/>
      <c r="I96" s="582"/>
      <c r="J96" s="582"/>
      <c r="K96" s="583"/>
      <c r="L96" s="584"/>
      <c r="M96" s="585"/>
      <c r="N96" s="1149"/>
      <c r="O96" s="1149"/>
      <c r="P96" s="2629"/>
      <c r="Q96" s="503"/>
    </row>
    <row r="97" spans="1:17" ht="14.4" thickBot="1">
      <c r="A97" s="533"/>
      <c r="B97" s="542"/>
      <c r="C97" s="559"/>
      <c r="D97" s="535"/>
      <c r="E97" s="535"/>
      <c r="F97" s="535"/>
      <c r="G97" s="535"/>
      <c r="H97" s="535"/>
      <c r="I97" s="535"/>
      <c r="J97" s="535"/>
      <c r="K97" s="535"/>
      <c r="L97" s="535"/>
      <c r="M97" s="536"/>
      <c r="N97" s="1150"/>
      <c r="O97" s="1150"/>
      <c r="P97" s="2629"/>
      <c r="Q97" s="503"/>
    </row>
    <row r="98" spans="1:17" ht="14.4" thickTop="1">
      <c r="A98" s="533"/>
      <c r="B98" s="545">
        <f>B31</f>
        <v>111</v>
      </c>
      <c r="C98" s="553"/>
      <c r="D98" s="553"/>
      <c r="E98" s="553"/>
      <c r="F98" s="553"/>
      <c r="G98" s="586"/>
      <c r="H98" s="586"/>
      <c r="I98" s="586"/>
      <c r="J98" s="586"/>
      <c r="K98" s="587"/>
      <c r="L98" s="588"/>
      <c r="M98" s="589"/>
      <c r="N98" s="1149"/>
      <c r="O98" s="1149"/>
      <c r="P98" s="2629"/>
      <c r="Q98" s="503"/>
    </row>
    <row r="99" spans="1:17" ht="14.4" thickBot="1">
      <c r="A99" s="2635"/>
      <c r="B99" s="568"/>
      <c r="C99" s="569"/>
      <c r="D99" s="569"/>
      <c r="E99" s="569"/>
      <c r="F99" s="569"/>
      <c r="G99" s="590"/>
      <c r="H99" s="590"/>
      <c r="I99" s="590"/>
      <c r="J99" s="590"/>
      <c r="K99" s="590"/>
      <c r="L99" s="590"/>
      <c r="M99" s="591"/>
      <c r="N99" s="1150"/>
      <c r="O99" s="1150"/>
      <c r="P99" s="2629"/>
      <c r="Q99" s="503"/>
    </row>
    <row r="100" spans="1:17" ht="14.4">
      <c r="A100" s="526" t="s">
        <v>2562</v>
      </c>
      <c r="B100" s="527" t="s">
        <v>2680</v>
      </c>
      <c r="C100" s="529"/>
      <c r="D100" s="529"/>
      <c r="E100" s="529"/>
      <c r="F100" s="529"/>
      <c r="G100" s="529"/>
      <c r="H100" s="529"/>
      <c r="I100" s="529"/>
      <c r="J100" s="529"/>
      <c r="K100" s="530"/>
      <c r="L100" s="531"/>
      <c r="M100" s="532"/>
      <c r="N100" s="1149"/>
      <c r="O100" s="1149"/>
      <c r="P100" s="2629"/>
      <c r="Q100" s="503"/>
    </row>
    <row r="101" spans="1:17" ht="14.4"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50"/>
      <c r="O101" s="1150"/>
      <c r="P101" s="2629"/>
      <c r="Q101" s="503"/>
    </row>
    <row r="102" spans="1:17" ht="28.2" thickTop="1">
      <c r="A102" s="533"/>
      <c r="B102" s="537" t="s">
        <v>2612</v>
      </c>
      <c r="C102" s="577" t="str">
        <f>C103&amp;"(含)"&amp;"-"&amp;D103</f>
        <v>0(含)-100</v>
      </c>
      <c r="D102" s="577" t="str">
        <f t="shared" ref="D102:L102" si="23">D103&amp;"(含)"&amp;"-"&amp;E103</f>
        <v>100(含)-200</v>
      </c>
      <c r="E102" s="577" t="str">
        <f t="shared" si="23"/>
        <v>200(含)-500</v>
      </c>
      <c r="F102" s="577" t="str">
        <f t="shared" si="23"/>
        <v>500(含)-1000</v>
      </c>
      <c r="G102" s="577" t="str">
        <f t="shared" si="23"/>
        <v>1000(含)-</v>
      </c>
      <c r="H102" s="577" t="str">
        <f t="shared" si="23"/>
        <v>(含)-</v>
      </c>
      <c r="I102" s="577" t="str">
        <f t="shared" si="23"/>
        <v>(含)-</v>
      </c>
      <c r="J102" s="577" t="str">
        <f t="shared" si="23"/>
        <v>(含)-</v>
      </c>
      <c r="K102" s="577" t="str">
        <f t="shared" si="23"/>
        <v>(含)-</v>
      </c>
      <c r="L102" s="577" t="str">
        <f t="shared" si="23"/>
        <v>(含)-</v>
      </c>
      <c r="M102" s="620" t="str">
        <f>M103&amp;"(含)"&amp;"-"&amp;P103</f>
        <v>(含)-</v>
      </c>
      <c r="N102" s="1148"/>
      <c r="O102" s="1148"/>
      <c r="P102" s="2629"/>
      <c r="Q102" s="503"/>
    </row>
    <row r="103" spans="1:17" s="470" customFormat="1">
      <c r="A103" s="592"/>
      <c r="B103" s="593"/>
      <c r="C103" s="707">
        <v>0</v>
      </c>
      <c r="D103" s="708">
        <v>100</v>
      </c>
      <c r="E103" s="708">
        <v>200</v>
      </c>
      <c r="F103" s="1701">
        <v>500</v>
      </c>
      <c r="G103" s="1701">
        <v>1000</v>
      </c>
      <c r="H103" s="594"/>
      <c r="I103" s="594"/>
      <c r="J103" s="595"/>
      <c r="K103" s="595"/>
      <c r="L103" s="596"/>
      <c r="M103" s="597"/>
      <c r="N103" s="1151"/>
      <c r="O103" s="1151"/>
      <c r="P103" s="2630"/>
      <c r="Q103" s="558"/>
    </row>
    <row r="104" spans="1:17" s="470" customFormat="1" ht="14.4" thickBot="1">
      <c r="A104" s="552"/>
      <c r="B104" s="542"/>
      <c r="C104" s="1207">
        <v>100</v>
      </c>
      <c r="D104" s="1208">
        <v>99</v>
      </c>
      <c r="E104" s="1207">
        <v>98</v>
      </c>
      <c r="F104" s="1208">
        <v>97</v>
      </c>
      <c r="G104" s="1207">
        <v>96</v>
      </c>
      <c r="H104" s="535"/>
      <c r="I104" s="535"/>
      <c r="J104" s="535"/>
      <c r="K104" s="535"/>
      <c r="L104" s="535"/>
      <c r="M104" s="536"/>
      <c r="N104" s="1150"/>
      <c r="O104" s="1150"/>
      <c r="P104" s="2630"/>
      <c r="Q104" s="558"/>
    </row>
    <row r="105" spans="1:17" ht="15" thickTop="1">
      <c r="A105" s="598"/>
      <c r="B105" s="537" t="s">
        <v>2613</v>
      </c>
      <c r="C105" s="3005" t="s">
        <v>3124</v>
      </c>
      <c r="D105" s="553"/>
      <c r="E105" s="582"/>
      <c r="F105" s="582"/>
      <c r="G105" s="582"/>
      <c r="H105" s="582"/>
      <c r="I105" s="582"/>
      <c r="J105" s="582"/>
      <c r="K105" s="583"/>
      <c r="L105" s="584"/>
      <c r="M105" s="585"/>
      <c r="N105" s="1149"/>
      <c r="O105" s="1149"/>
      <c r="P105" s="2629"/>
      <c r="Q105" s="503"/>
    </row>
    <row r="106" spans="1:17" ht="14.4"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0"/>
      <c r="O106" s="1150"/>
      <c r="P106" s="2629"/>
      <c r="Q106" s="503"/>
    </row>
    <row r="107" spans="1:17" ht="15" thickTop="1">
      <c r="A107" s="598"/>
      <c r="B107" s="537" t="s">
        <v>2615</v>
      </c>
      <c r="C107" s="3005" t="s">
        <v>3126</v>
      </c>
      <c r="D107" s="553"/>
      <c r="E107" s="553"/>
      <c r="F107" s="582"/>
      <c r="G107" s="582"/>
      <c r="H107" s="582"/>
      <c r="I107" s="582"/>
      <c r="J107" s="582"/>
      <c r="K107" s="583"/>
      <c r="L107" s="584"/>
      <c r="M107" s="585"/>
      <c r="N107" s="1149"/>
      <c r="O107" s="1149"/>
      <c r="P107" s="2629"/>
      <c r="Q107" s="503"/>
    </row>
    <row r="108" spans="1:17" ht="14.4"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0"/>
      <c r="O108" s="1150"/>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9"/>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9"/>
      <c r="Q110" s="503"/>
    </row>
    <row r="111" spans="1:17" ht="14.4" thickBot="1">
      <c r="A111" s="533"/>
      <c r="B111" s="542"/>
      <c r="C111" s="581">
        <v>100</v>
      </c>
      <c r="D111" s="543">
        <f>C111+$K36</f>
        <v>105</v>
      </c>
      <c r="E111" s="543">
        <f t="shared" ref="E111:M111" si="26">D111+$K36</f>
        <v>110</v>
      </c>
      <c r="F111" s="543">
        <f t="shared" si="26"/>
        <v>115</v>
      </c>
      <c r="G111" s="543">
        <f t="shared" si="26"/>
        <v>120</v>
      </c>
      <c r="H111" s="543">
        <f t="shared" si="26"/>
        <v>125</v>
      </c>
      <c r="I111" s="543">
        <f t="shared" si="26"/>
        <v>130</v>
      </c>
      <c r="J111" s="543">
        <f t="shared" si="26"/>
        <v>135</v>
      </c>
      <c r="K111" s="543">
        <f t="shared" si="26"/>
        <v>140</v>
      </c>
      <c r="L111" s="543">
        <f t="shared" si="26"/>
        <v>145</v>
      </c>
      <c r="M111" s="543">
        <f t="shared" si="26"/>
        <v>150</v>
      </c>
      <c r="N111" s="1150"/>
      <c r="O111" s="1150"/>
      <c r="P111" s="2629"/>
      <c r="Q111" s="503"/>
    </row>
    <row r="112" spans="1:17" s="470" customFormat="1" ht="15" thickTop="1">
      <c r="A112" s="592"/>
      <c r="B112" s="537" t="s">
        <v>2617</v>
      </c>
      <c r="C112" s="3005" t="s">
        <v>3127</v>
      </c>
      <c r="D112" s="553"/>
      <c r="E112" s="553"/>
      <c r="F112" s="553"/>
      <c r="G112" s="553"/>
      <c r="H112" s="582"/>
      <c r="I112" s="582"/>
      <c r="J112" s="582"/>
      <c r="K112" s="583"/>
      <c r="L112" s="584"/>
      <c r="M112" s="585"/>
      <c r="N112" s="1151"/>
      <c r="O112" s="1151"/>
      <c r="P112" s="2630"/>
      <c r="Q112" s="558"/>
    </row>
    <row r="113" spans="1:17" s="470" customFormat="1" ht="14.4"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1"/>
      <c r="O113" s="1151"/>
      <c r="P113" s="2630"/>
      <c r="Q113" s="558"/>
    </row>
    <row r="114" spans="1:17" ht="15" thickTop="1">
      <c r="A114" s="598"/>
      <c r="B114" s="537" t="s">
        <v>2681</v>
      </c>
      <c r="C114" s="553"/>
      <c r="D114" s="553"/>
      <c r="E114" s="582"/>
      <c r="F114" s="582"/>
      <c r="G114" s="582"/>
      <c r="H114" s="582"/>
      <c r="I114" s="582"/>
      <c r="J114" s="582"/>
      <c r="K114" s="583"/>
      <c r="L114" s="584"/>
      <c r="M114" s="585"/>
      <c r="N114" s="1149"/>
      <c r="O114" s="1149"/>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9"/>
      <c r="Q115" s="503"/>
    </row>
    <row r="116" spans="1:17" ht="15" thickTop="1">
      <c r="A116" s="598"/>
      <c r="B116" s="537" t="s">
        <v>2682</v>
      </c>
      <c r="C116" s="553"/>
      <c r="D116" s="553"/>
      <c r="E116" s="553"/>
      <c r="F116" s="553"/>
      <c r="G116" s="553"/>
      <c r="H116" s="582"/>
      <c r="I116" s="582"/>
      <c r="J116" s="582"/>
      <c r="K116" s="583"/>
      <c r="L116" s="584"/>
      <c r="M116" s="585"/>
      <c r="N116" s="1149"/>
      <c r="O116" s="1149"/>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9"/>
      <c r="Q117" s="503"/>
    </row>
    <row r="118" spans="1:17" ht="15" thickTop="1">
      <c r="A118" s="598"/>
      <c r="B118" s="537" t="s">
        <v>2683</v>
      </c>
      <c r="C118" s="625"/>
      <c r="D118" s="625"/>
      <c r="E118" s="625"/>
      <c r="F118" s="625"/>
      <c r="G118" s="625"/>
      <c r="H118" s="554"/>
      <c r="I118" s="554"/>
      <c r="J118" s="554"/>
      <c r="K118" s="554"/>
      <c r="L118" s="555"/>
      <c r="M118" s="556"/>
      <c r="N118" s="1149"/>
      <c r="O118" s="1149"/>
      <c r="P118" s="2629"/>
      <c r="Q118" s="503"/>
    </row>
    <row r="119" spans="1:17" ht="14.4" thickBot="1">
      <c r="A119" s="533"/>
      <c r="B119" s="542"/>
      <c r="C119" s="559"/>
      <c r="D119" s="535"/>
      <c r="E119" s="535"/>
      <c r="F119" s="535"/>
      <c r="G119" s="535"/>
      <c r="H119" s="535"/>
      <c r="I119" s="535"/>
      <c r="J119" s="535"/>
      <c r="K119" s="535"/>
      <c r="L119" s="535"/>
      <c r="M119" s="536"/>
      <c r="N119" s="1150"/>
      <c r="O119" s="1150"/>
      <c r="P119" s="2629"/>
      <c r="Q119" s="503"/>
    </row>
    <row r="120" spans="1:17" s="470" customFormat="1" ht="15" thickTop="1">
      <c r="A120" s="592"/>
      <c r="B120" s="537" t="s">
        <v>2684</v>
      </c>
      <c r="C120" s="582"/>
      <c r="D120" s="582"/>
      <c r="E120" s="582"/>
      <c r="F120" s="582"/>
      <c r="G120" s="554"/>
      <c r="H120" s="554"/>
      <c r="I120" s="554"/>
      <c r="J120" s="554"/>
      <c r="K120" s="554"/>
      <c r="L120" s="555"/>
      <c r="M120" s="556"/>
      <c r="N120" s="1151"/>
      <c r="O120" s="1151"/>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30"/>
      <c r="Q121" s="558"/>
    </row>
    <row r="122" spans="1:17" ht="15" thickTop="1">
      <c r="A122" s="598"/>
      <c r="B122" s="537" t="s">
        <v>2619</v>
      </c>
      <c r="C122" s="3005" t="s">
        <v>3126</v>
      </c>
      <c r="D122" s="3005" t="s">
        <v>3131</v>
      </c>
      <c r="E122" s="3005" t="s">
        <v>3133</v>
      </c>
      <c r="F122" s="582"/>
      <c r="G122" s="582"/>
      <c r="H122" s="582"/>
      <c r="I122" s="582"/>
      <c r="J122" s="582"/>
      <c r="K122" s="583"/>
      <c r="L122" s="584"/>
      <c r="M122" s="585"/>
      <c r="N122" s="1149"/>
      <c r="O122" s="1149"/>
      <c r="P122" s="2629"/>
      <c r="Q122" s="503"/>
    </row>
    <row r="123" spans="1:17" ht="14.4"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9"/>
      <c r="O124" s="1149"/>
      <c r="P124" s="2630"/>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30"/>
      <c r="Q126" s="558"/>
    </row>
    <row r="127" spans="1:17" s="470" customFormat="1" ht="14.4" thickBot="1">
      <c r="A127" s="552"/>
      <c r="B127" s="542"/>
      <c r="C127" s="559"/>
      <c r="D127" s="535"/>
      <c r="E127" s="535"/>
      <c r="F127" s="535"/>
      <c r="G127" s="559"/>
      <c r="H127" s="561"/>
      <c r="I127" s="561"/>
      <c r="J127" s="561"/>
      <c r="K127" s="561"/>
      <c r="L127" s="561"/>
      <c r="M127" s="562"/>
      <c r="N127" s="1151"/>
      <c r="O127" s="1151"/>
      <c r="P127" s="2630"/>
      <c r="Q127" s="558"/>
    </row>
    <row r="128" spans="1:17" ht="14.4" thickTop="1">
      <c r="A128" s="598"/>
      <c r="B128" s="537">
        <f>B45</f>
        <v>111</v>
      </c>
      <c r="C128" s="553"/>
      <c r="D128" s="553"/>
      <c r="E128" s="553"/>
      <c r="F128" s="553"/>
      <c r="G128" s="582"/>
      <c r="H128" s="582"/>
      <c r="I128" s="582"/>
      <c r="J128" s="582"/>
      <c r="K128" s="583"/>
      <c r="L128" s="584"/>
      <c r="M128" s="585"/>
      <c r="N128" s="1149"/>
      <c r="O128" s="1149"/>
      <c r="P128" s="2629"/>
      <c r="Q128" s="503"/>
    </row>
    <row r="129" spans="1:17" ht="14.4" thickBot="1">
      <c r="A129" s="533"/>
      <c r="B129" s="542"/>
      <c r="C129" s="559"/>
      <c r="D129" s="535"/>
      <c r="E129" s="535"/>
      <c r="F129" s="535"/>
      <c r="G129" s="535"/>
      <c r="H129" s="535"/>
      <c r="I129" s="535"/>
      <c r="J129" s="535"/>
      <c r="K129" s="535"/>
      <c r="L129" s="535"/>
      <c r="M129" s="536"/>
      <c r="N129" s="1150"/>
      <c r="O129" s="1150"/>
      <c r="P129" s="2629"/>
      <c r="Q129" s="503"/>
    </row>
    <row r="130" spans="1:17" ht="14.4" thickTop="1">
      <c r="A130" s="598"/>
      <c r="B130" s="545">
        <f>B46</f>
        <v>111</v>
      </c>
      <c r="C130" s="553"/>
      <c r="D130" s="553"/>
      <c r="E130" s="553"/>
      <c r="F130" s="553"/>
      <c r="G130" s="586"/>
      <c r="H130" s="586"/>
      <c r="I130" s="586"/>
      <c r="J130" s="586"/>
      <c r="K130" s="522"/>
      <c r="L130" s="523"/>
      <c r="M130" s="589"/>
      <c r="N130" s="1149"/>
      <c r="O130" s="1149"/>
      <c r="P130" s="2629"/>
      <c r="Q130" s="503"/>
    </row>
    <row r="131" spans="1:17" ht="14.4" thickBot="1">
      <c r="A131" s="2635"/>
      <c r="B131" s="568"/>
      <c r="C131" s="569"/>
      <c r="D131" s="569"/>
      <c r="E131" s="569"/>
      <c r="F131" s="569"/>
      <c r="G131" s="590"/>
      <c r="H131" s="590"/>
      <c r="I131" s="590"/>
      <c r="J131" s="590"/>
      <c r="K131" s="590"/>
      <c r="L131" s="590"/>
      <c r="M131" s="591"/>
      <c r="N131" s="1150"/>
      <c r="O131" s="1150"/>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Q11" sqref="Q11"/>
    </sheetView>
  </sheetViews>
  <sheetFormatPr defaultRowHeight="14.4"/>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topLeftCell="A16" zoomScale="70" zoomScaleNormal="70" zoomScaleSheetLayoutView="90" workbookViewId="0">
      <selection activeCell="F6" sqref="F6"/>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1372</v>
      </c>
      <c r="D1" s="1817" t="s">
        <v>70</v>
      </c>
      <c r="E1" s="1818" t="s">
        <v>1381</v>
      </c>
      <c r="F1" s="1280">
        <f ca="1">J53</f>
        <v>40</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1584</v>
      </c>
      <c r="B2" s="1841">
        <f ca="1">ROUND(D2/10000,0)</f>
        <v>2356</v>
      </c>
      <c r="C2" s="1842" t="s">
        <v>1585</v>
      </c>
      <c r="D2" s="1934">
        <f ca="1">C40+J29+L46</f>
        <v>23556447</v>
      </c>
      <c r="E2" s="1843" t="s">
        <v>1586</v>
      </c>
      <c r="F2" s="1844"/>
      <c r="G2" s="1845"/>
      <c r="H2" s="1837"/>
      <c r="I2" s="1837"/>
      <c r="J2" s="1837"/>
      <c r="K2" s="1838"/>
      <c r="L2" s="1837"/>
      <c r="M2" s="1837"/>
    </row>
    <row r="3" spans="1:37" ht="18" customHeight="1" thickBot="1">
      <c r="A3" s="1846" t="s">
        <v>1587</v>
      </c>
      <c r="B3" s="1847">
        <f ca="1">IF(ISERROR(D2/F43),0,ROUND(D2/F43,0))</f>
        <v>53102</v>
      </c>
      <c r="C3" s="1842" t="s">
        <v>1588</v>
      </c>
      <c r="D3" s="1842"/>
      <c r="E3" s="1843"/>
      <c r="F3" s="1844"/>
      <c r="G3" s="1845"/>
      <c r="H3" s="741" t="s">
        <v>1582</v>
      </c>
      <c r="I3" s="1837"/>
      <c r="J3" s="1837"/>
      <c r="K3" s="1838"/>
      <c r="L3" s="1837"/>
      <c r="M3" s="1837"/>
    </row>
    <row r="4" spans="1:37" ht="18" customHeight="1">
      <c r="A4" s="339" t="s">
        <v>1589</v>
      </c>
      <c r="B4" s="340" t="s">
        <v>1590</v>
      </c>
      <c r="C4" s="340" t="s">
        <v>1591</v>
      </c>
      <c r="D4" s="340" t="s">
        <v>1592</v>
      </c>
      <c r="E4" s="341" t="s">
        <v>1593</v>
      </c>
      <c r="F4" s="342"/>
      <c r="G4" s="1848"/>
      <c r="H4" s="339" t="s">
        <v>1589</v>
      </c>
      <c r="I4" s="340" t="s">
        <v>1590</v>
      </c>
      <c r="J4" s="340" t="s">
        <v>1591</v>
      </c>
      <c r="K4" s="340" t="s">
        <v>1592</v>
      </c>
      <c r="L4" s="341" t="s">
        <v>1593</v>
      </c>
      <c r="M4" s="342"/>
    </row>
    <row r="5" spans="1:37" ht="18" customHeight="1">
      <c r="A5" s="343">
        <v>1</v>
      </c>
      <c r="B5" s="344" t="s">
        <v>1594</v>
      </c>
      <c r="C5" s="1289">
        <f ca="1">C6+C10+C12</f>
        <v>1459081</v>
      </c>
      <c r="D5" s="1819" t="s">
        <v>1595</v>
      </c>
      <c r="E5" s="1290"/>
      <c r="F5" s="1291"/>
      <c r="G5" s="1848"/>
      <c r="H5" s="343">
        <v>1</v>
      </c>
      <c r="I5" s="344" t="s">
        <v>1594</v>
      </c>
      <c r="J5" s="1289">
        <f ca="1">J6+J10+J12</f>
        <v>0</v>
      </c>
      <c r="K5" s="1819" t="s">
        <v>1595</v>
      </c>
      <c r="L5" s="1290"/>
      <c r="M5" s="1291"/>
    </row>
    <row r="6" spans="1:37" ht="18" customHeight="1">
      <c r="A6" s="1288" t="s">
        <v>1031</v>
      </c>
      <c r="B6" s="3297" t="s">
        <v>1397</v>
      </c>
      <c r="C6" s="1293">
        <f ca="1">ROUND(F6*F8*F7*(1-F9),0)</f>
        <v>1457259</v>
      </c>
      <c r="D6" s="163" t="s">
        <v>3026</v>
      </c>
      <c r="E6" s="346" t="s">
        <v>1399</v>
      </c>
      <c r="F6" s="347">
        <f ca="1">INDIRECT("'数据-取费表'!u"&amp;$G$1)</f>
        <v>10</v>
      </c>
      <c r="G6" s="1848"/>
      <c r="H6" s="1288" t="s">
        <v>1031</v>
      </c>
      <c r="I6" s="3297" t="s">
        <v>1397</v>
      </c>
      <c r="J6" s="345">
        <f ca="1">ROUND(M6*M8*M7*(1-M9),0)</f>
        <v>0</v>
      </c>
      <c r="K6" s="1831" t="s">
        <v>3027</v>
      </c>
      <c r="L6" s="346" t="s">
        <v>1399</v>
      </c>
      <c r="M6" s="347">
        <f ca="1">INDIRECT("'数据-取费表'!z"&amp;$G$1)</f>
        <v>0</v>
      </c>
    </row>
    <row r="7" spans="1:37" ht="18" customHeight="1">
      <c r="A7" s="1292"/>
      <c r="B7" s="3298"/>
      <c r="C7" s="1294"/>
      <c r="D7" s="351"/>
      <c r="E7" s="1295" t="s">
        <v>1400</v>
      </c>
      <c r="F7" s="347">
        <f ca="1">IF(INDIRECT("'数据-取费表'!ah"&amp;$G$1)="",INDIRECT("'数据-取费表'!k"&amp;$G$1),INDIRECT("'数据-取费表'!ah"&amp;$G$1))</f>
        <v>443.61</v>
      </c>
      <c r="G7" s="1848"/>
      <c r="H7" s="348"/>
      <c r="I7" s="3298"/>
      <c r="J7" s="350"/>
      <c r="K7" s="351"/>
      <c r="L7" s="346" t="s">
        <v>1400</v>
      </c>
      <c r="M7" s="347">
        <f ca="1">F7</f>
        <v>443.61</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1822</v>
      </c>
      <c r="D10" s="1821" t="s">
        <v>3037</v>
      </c>
      <c r="E10" s="357" t="s">
        <v>1404</v>
      </c>
      <c r="F10" s="1363" t="s">
        <v>3112</v>
      </c>
      <c r="G10" s="1848"/>
      <c r="H10" s="1288" t="s">
        <v>1035</v>
      </c>
      <c r="I10" s="1820" t="s">
        <v>1403</v>
      </c>
      <c r="J10" s="345">
        <f ca="1">ROUND(IF(M10="押一",J6/12*M11,IF(M10="押二",J6/12*2*M11,IF(M10="押三",J6/12*3*M11,J11*M11))),0)</f>
        <v>0</v>
      </c>
      <c r="K10" s="1832" t="s">
        <v>3039</v>
      </c>
      <c r="L10" s="357" t="s">
        <v>1404</v>
      </c>
      <c r="M10" s="1363"/>
    </row>
    <row r="11" spans="1:37" ht="18" customHeight="1">
      <c r="A11" s="352"/>
      <c r="B11" s="1822" t="s">
        <v>1596</v>
      </c>
      <c r="C11" s="1175"/>
      <c r="D11" s="351"/>
      <c r="E11" s="357" t="s">
        <v>1406</v>
      </c>
      <c r="F11" s="358">
        <f ca="1">'数据-取费表'!B39</f>
        <v>1.4999999999999999E-2</v>
      </c>
      <c r="G11" s="1848"/>
      <c r="H11" s="1296"/>
      <c r="I11" s="1822" t="s">
        <v>1597</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2134526</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ROUND(INDIRECT("'数据-取费表'!l"&amp;$G$1)*F43+'数据-取费表'!L14*INDIRECT("'数据-取费表'!S"&amp;$G$1),0)</f>
        <v>1552635</v>
      </c>
      <c r="D14" s="1797" t="s">
        <v>1412</v>
      </c>
      <c r="E14" s="1791"/>
      <c r="F14" s="363"/>
      <c r="G14" s="1848"/>
      <c r="H14" s="1198" t="s">
        <v>1031</v>
      </c>
      <c r="I14" s="346" t="s">
        <v>1413</v>
      </c>
      <c r="J14" s="24">
        <f ca="1">C29</f>
        <v>2668158</v>
      </c>
      <c r="K14" s="15"/>
      <c r="L14" s="976"/>
      <c r="M14" s="977"/>
    </row>
    <row r="15" spans="1:37" s="1855" customFormat="1" ht="18" customHeight="1" thickBot="1">
      <c r="A15" s="1198" t="s">
        <v>1032</v>
      </c>
      <c r="B15" s="346" t="s">
        <v>1414</v>
      </c>
      <c r="C15" s="24">
        <f ca="1">ROUND(C14*F15,0)</f>
        <v>77632</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ROUND(INDIRECT("'数据-取费表'!l"&amp;$G$1)*F43*F16,0)</f>
        <v>0</v>
      </c>
      <c r="D16" s="346" t="s">
        <v>1415</v>
      </c>
      <c r="E16" s="346" t="s">
        <v>1416</v>
      </c>
      <c r="F16" s="366">
        <f ca="1">IF(INDIRECT("'数据-取费表'!c"&amp;$G$1)="住宅",'数据-取费表'!B34,0)</f>
        <v>0</v>
      </c>
      <c r="G16" s="1848"/>
      <c r="H16" s="1326" t="s">
        <v>1026</v>
      </c>
      <c r="I16" s="1327" t="s">
        <v>1418</v>
      </c>
      <c r="J16" s="354">
        <f ca="1">ROUND(J17+J22+J23+J24,0)</f>
        <v>256338</v>
      </c>
      <c r="K16" s="1334" t="s">
        <v>1419</v>
      </c>
      <c r="L16" s="1335"/>
      <c r="M16" s="1291"/>
    </row>
    <row r="17" spans="1:37" s="1855" customFormat="1" ht="18" customHeight="1">
      <c r="A17" s="1198" t="s">
        <v>1384</v>
      </c>
      <c r="B17" s="346" t="s">
        <v>1420</v>
      </c>
      <c r="C17" s="24">
        <f ca="1">ROUND(F17*(F43+INDIRECT("'数据-取费表'!S"&amp;$G$1)),0)</f>
        <v>88722</v>
      </c>
      <c r="D17" s="346" t="s">
        <v>1421</v>
      </c>
      <c r="E17" s="346" t="s">
        <v>1422</v>
      </c>
      <c r="F17" s="26">
        <f>'数据-取费表'!B35</f>
        <v>200</v>
      </c>
      <c r="G17" s="1851"/>
      <c r="H17" s="1198" t="s">
        <v>1031</v>
      </c>
      <c r="I17" s="346" t="s">
        <v>1423</v>
      </c>
      <c r="J17" s="24">
        <f ca="1">ROUND(IF(项目基本情况!B11="自然人",J6*M17/(1+'数据-取费表'!C42),J18+J19+J20),0)</f>
        <v>216316</v>
      </c>
      <c r="K17" s="1797" t="s">
        <v>1424</v>
      </c>
      <c r="L17" s="1795"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23290</v>
      </c>
      <c r="D18" s="346" t="s">
        <v>1415</v>
      </c>
      <c r="E18" s="346" t="s">
        <v>1416</v>
      </c>
      <c r="F18" s="366">
        <f>'数据-取费表'!B36</f>
        <v>1.4999999999999999E-2</v>
      </c>
      <c r="G18" s="1851"/>
      <c r="H18" s="1198" t="s">
        <v>1030</v>
      </c>
      <c r="I18" s="346" t="s">
        <v>1427</v>
      </c>
      <c r="J18" s="24">
        <f ca="1">ROUND(J6*M18/(1+'数据-取费表'!C42),0)</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1742279</v>
      </c>
      <c r="D19" s="139" t="s">
        <v>1430</v>
      </c>
      <c r="E19" s="1815"/>
      <c r="F19" s="26"/>
      <c r="G19" s="1848"/>
      <c r="H19" s="1198" t="s">
        <v>1032</v>
      </c>
      <c r="I19" s="346" t="s">
        <v>1431</v>
      </c>
      <c r="J19" s="24">
        <f ca="1">IF(K19="按租金收入计税",ROUND(J6*M19/(1+'数据-取费表'!C42),0),ROUND(C29*M19*0.7,0))</f>
        <v>22413</v>
      </c>
      <c r="K19" s="1825" t="s">
        <v>1432</v>
      </c>
      <c r="L19" s="346" t="s">
        <v>1416</v>
      </c>
      <c r="M19" s="366">
        <f>IF(K19="按租金收入计税",'数据-取费表'!B51,'数据-取费表'!B50)</f>
        <v>1.2E-2</v>
      </c>
    </row>
    <row r="20" spans="1:37" s="1855" customFormat="1" ht="18" customHeight="1">
      <c r="A20" s="1198" t="s">
        <v>1035</v>
      </c>
      <c r="B20" s="346" t="s">
        <v>1433</v>
      </c>
      <c r="C20" s="24">
        <f ca="1">ROUND(C19*F20,0)</f>
        <v>52268</v>
      </c>
      <c r="D20" s="368" t="s">
        <v>1434</v>
      </c>
      <c r="E20" s="346" t="s">
        <v>1416</v>
      </c>
      <c r="F20" s="366">
        <f>'数据-取费表'!B37</f>
        <v>0.03</v>
      </c>
      <c r="G20" s="1851"/>
      <c r="H20" s="1198" t="s">
        <v>1383</v>
      </c>
      <c r="I20" s="163" t="s">
        <v>1435</v>
      </c>
      <c r="J20" s="25">
        <f ca="1">ROUND(M20*M21,0)</f>
        <v>193903</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v>
      </c>
      <c r="D21" s="368" t="s">
        <v>1439</v>
      </c>
      <c r="E21" s="346" t="s">
        <v>1440</v>
      </c>
      <c r="F21" s="366">
        <f>'数据-取费表'!B38</f>
        <v>0.03</v>
      </c>
      <c r="G21" s="1851"/>
      <c r="H21" s="371"/>
      <c r="I21" s="355"/>
      <c r="J21" s="29"/>
      <c r="K21" s="372"/>
      <c r="L21" s="346" t="s">
        <v>1441</v>
      </c>
      <c r="M21" s="347">
        <f ca="1">INDIRECT("'数据-取费表'!r"&amp;$G$1)</f>
        <v>12926.88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1815"/>
      <c r="F22" s="26"/>
      <c r="G22" s="1848"/>
      <c r="H22" s="1198" t="s">
        <v>1035</v>
      </c>
      <c r="I22" s="346" t="s">
        <v>1443</v>
      </c>
      <c r="J22" s="24">
        <f ca="1">ROUND(J14*M22,0)</f>
        <v>40022</v>
      </c>
      <c r="K22" s="1795" t="s">
        <v>1444</v>
      </c>
      <c r="L22" s="346" t="s">
        <v>1416</v>
      </c>
      <c r="M22" s="373">
        <f ca="1">INDIRECT("'数据-取费表'!Ak"&amp;$G$1)</f>
        <v>1.4999999999999999E-2</v>
      </c>
    </row>
    <row r="23" spans="1:37" s="1855" customFormat="1" ht="18" customHeight="1">
      <c r="A23" s="1198" t="s">
        <v>1030</v>
      </c>
      <c r="B23" s="346" t="s">
        <v>1445</v>
      </c>
      <c r="C23" s="24">
        <f ca="1">IF('数据-取费表'!B22&lt;=1,ROUND(C19*F24*F23/2,0)+ROUND(C20*F24*F23/2,0),ROUND(C19*(POWER((1+F24),F23/2)-1),0)+ROUND(C20*(POWER((1+F24),F23/2)-1),0))</f>
        <v>85241</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ROUND(J13*M23,0)</f>
        <v>0</v>
      </c>
      <c r="K23" s="1795" t="s">
        <v>1448</v>
      </c>
      <c r="L23" s="346" t="s">
        <v>1449</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1387</v>
      </c>
      <c r="I24" s="1337" t="s">
        <v>1433</v>
      </c>
      <c r="J24" s="1338">
        <f ca="1">ROUND(J5*M24,0)</f>
        <v>0</v>
      </c>
      <c r="K24" s="1339" t="s">
        <v>1453</v>
      </c>
      <c r="L24" s="1337" t="s">
        <v>1449</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6" t="s">
        <v>1455</v>
      </c>
      <c r="C25" s="24"/>
      <c r="D25" s="139" t="s">
        <v>1456</v>
      </c>
      <c r="E25" s="1815"/>
      <c r="F25" s="26"/>
      <c r="G25" s="1848"/>
      <c r="H25" s="1326" t="s">
        <v>1027</v>
      </c>
      <c r="I25" s="1341" t="s">
        <v>1457</v>
      </c>
      <c r="J25" s="354">
        <f ca="1">J5-J16</f>
        <v>-256338</v>
      </c>
      <c r="K25" s="1342" t="s">
        <v>1458</v>
      </c>
      <c r="L25" s="1343"/>
      <c r="M25" s="1344"/>
    </row>
    <row r="26" spans="1:37" ht="18" customHeight="1">
      <c r="A26" s="1198" t="s">
        <v>1030</v>
      </c>
      <c r="B26" s="346" t="s">
        <v>1459</v>
      </c>
      <c r="C26" s="24">
        <f ca="1">ROUND((C19+C20)*F26,0)</f>
        <v>538364</v>
      </c>
      <c r="D26" s="368" t="s">
        <v>1460</v>
      </c>
      <c r="E26" s="357" t="s">
        <v>1461</v>
      </c>
      <c r="F26" s="356">
        <f ca="1">INDIRECT("'数据-取费表'!q"&amp;$G$1)</f>
        <v>0.3</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8.9999999999999993E-3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2668158</v>
      </c>
      <c r="D29" s="1339"/>
      <c r="E29" s="1337"/>
      <c r="F29" s="1340"/>
      <c r="G29" s="1851"/>
      <c r="H29" s="379" t="s">
        <v>1029</v>
      </c>
      <c r="I29" s="380" t="s">
        <v>1473</v>
      </c>
      <c r="J29" s="381">
        <f ca="1">ROUND(J26/(1+F40)^F41,0)</f>
        <v>0</v>
      </c>
      <c r="K29" s="382" t="s">
        <v>1474</v>
      </c>
      <c r="L29" s="383"/>
      <c r="M29" s="384">
        <f ca="1">INDIRECT("'数据-取费表'!k"&amp;$G$1)</f>
        <v>443.61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504344</v>
      </c>
      <c r="D30" s="1334" t="s">
        <v>1419</v>
      </c>
      <c r="E30" s="1335"/>
      <c r="F30" s="1291"/>
      <c r="G30" s="1848"/>
      <c r="H30" s="742"/>
      <c r="I30" s="743"/>
      <c r="J30" s="744"/>
      <c r="K30" s="745"/>
      <c r="L30" s="746"/>
      <c r="M30" s="747"/>
    </row>
    <row r="31" spans="1:37" ht="18" customHeight="1">
      <c r="A31" s="1198" t="s">
        <v>1031</v>
      </c>
      <c r="B31" s="346" t="s">
        <v>1423</v>
      </c>
      <c r="C31" s="24">
        <f ca="1">ROUND(IF(项目基本情况!B11="自然人",C6*F31/(1+'数据-取费表'!C42),C32+C33+C34),0)</f>
        <v>438167</v>
      </c>
      <c r="D31" s="1797" t="s">
        <v>1424</v>
      </c>
      <c r="E31" s="1795" t="s">
        <v>1475</v>
      </c>
      <c r="F31" s="367">
        <f ca="1">IF(项目基本情况!B11="企业","",IF(INDIRECT("'数据-取费表'!c"&amp;$G$1)="住宅",5%,IF(F6*F7*F8/12/(1+'数据-取费表'!C42)&gt;20000,12%,7%)))</f>
        <v>0.12</v>
      </c>
      <c r="G31" s="1848"/>
      <c r="H31" s="742"/>
      <c r="I31" s="743"/>
      <c r="J31" s="744"/>
      <c r="K31" s="745"/>
      <c r="L31" s="746"/>
      <c r="M31" s="747"/>
    </row>
    <row r="32" spans="1:37" ht="18" customHeight="1">
      <c r="A32" s="1198" t="s">
        <v>1030</v>
      </c>
      <c r="B32" s="346" t="s">
        <v>1427</v>
      </c>
      <c r="C32" s="24">
        <f ca="1">IF(项目基本情况!B11="自然人","——",ROUND(C6*F32/(1+'数据-取费表'!C42),0))</f>
        <v>77720</v>
      </c>
      <c r="D32" s="1795"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IF(项目基本情况!B11="自然人","——",IF(D33="按租金收入计税",ROUND(C6*F33/(1+'数据-取费表'!C42),0),IF(D33="按房产原值计税",ROUND(C29*F33*0.7,0),INDIRECT("'数据-取费表'!Aj"&amp;$G$1))))</f>
        <v>166544</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f>
        <v>193903</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12926.88</v>
      </c>
      <c r="G35" s="1848"/>
      <c r="H35" s="742"/>
      <c r="I35" s="1857"/>
      <c r="J35" s="1858"/>
      <c r="K35" s="1859"/>
      <c r="L35" s="1856"/>
      <c r="M35" s="1856"/>
    </row>
    <row r="36" spans="1:18" ht="18" customHeight="1">
      <c r="A36" s="1349" t="s">
        <v>1035</v>
      </c>
      <c r="B36" s="346" t="s">
        <v>1443</v>
      </c>
      <c r="C36" s="24">
        <f ca="1">ROUND(C29*F36,0)</f>
        <v>40022</v>
      </c>
      <c r="D36" s="1795" t="s">
        <v>1476</v>
      </c>
      <c r="E36" s="346" t="s">
        <v>1416</v>
      </c>
      <c r="F36" s="373">
        <f ca="1">INDIRECT("'数据-取费表'!Ak"&amp;$G$1)</f>
        <v>1.4999999999999999E-2</v>
      </c>
      <c r="G36" s="1848"/>
      <c r="H36" s="1856"/>
      <c r="I36" s="1857"/>
      <c r="J36" s="1858"/>
      <c r="K36" s="748"/>
      <c r="L36" s="1856"/>
      <c r="M36" s="1856"/>
    </row>
    <row r="37" spans="1:18" ht="18" customHeight="1">
      <c r="A37" s="1198" t="s">
        <v>1071</v>
      </c>
      <c r="B37" s="346" t="s">
        <v>1447</v>
      </c>
      <c r="C37" s="24">
        <f ca="1">ROUND(C13*F37,0)</f>
        <v>4269</v>
      </c>
      <c r="D37" s="1795" t="s">
        <v>1448</v>
      </c>
      <c r="E37" s="346" t="s">
        <v>1449</v>
      </c>
      <c r="F37" s="375">
        <f ca="1">INDIRECT("'数据-取费表'!Al"&amp;$G$1)</f>
        <v>2E-3</v>
      </c>
      <c r="G37" s="1848"/>
      <c r="H37" s="1856"/>
      <c r="I37" s="1857"/>
      <c r="J37" s="1858"/>
      <c r="K37" s="748"/>
      <c r="L37" s="1856"/>
      <c r="M37" s="1856"/>
    </row>
    <row r="38" spans="1:18" ht="18" customHeight="1" thickBot="1">
      <c r="A38" s="1336" t="s">
        <v>1387</v>
      </c>
      <c r="B38" s="1337" t="s">
        <v>1433</v>
      </c>
      <c r="C38" s="1338">
        <f ca="1">ROUND(C5*F38,1)</f>
        <v>21886.2</v>
      </c>
      <c r="D38" s="1339" t="s">
        <v>1453</v>
      </c>
      <c r="E38" s="1337" t="s">
        <v>1449</v>
      </c>
      <c r="F38" s="1333">
        <f ca="1">INDIRECT("'数据-取费表'!Am"&amp;$G$1)</f>
        <v>1.4999999999999999E-2</v>
      </c>
      <c r="G38" s="1848"/>
      <c r="H38" s="1856"/>
      <c r="I38" s="1857"/>
      <c r="J38" s="1858"/>
      <c r="K38" s="1862"/>
      <c r="L38" s="1856"/>
      <c r="M38" s="1856"/>
    </row>
    <row r="39" spans="1:18" ht="24.6" customHeight="1" thickTop="1">
      <c r="A39" s="1326" t="s">
        <v>1027</v>
      </c>
      <c r="B39" s="1341" t="s">
        <v>1477</v>
      </c>
      <c r="C39" s="354">
        <f ca="1">C5-C30</f>
        <v>954737</v>
      </c>
      <c r="D39" s="1342" t="s">
        <v>1478</v>
      </c>
      <c r="E39" s="1343"/>
      <c r="F39" s="1344"/>
      <c r="G39" s="1848"/>
      <c r="H39" s="1856"/>
      <c r="I39" s="1857"/>
      <c r="J39" s="1858"/>
      <c r="K39" s="1862"/>
      <c r="L39" s="1856"/>
      <c r="M39" s="1856"/>
    </row>
    <row r="40" spans="1:18" ht="18" customHeight="1">
      <c r="A40" s="343" t="s">
        <v>1028</v>
      </c>
      <c r="B40" s="344" t="s">
        <v>1479</v>
      </c>
      <c r="C40" s="345">
        <f ca="1">ROUND(C39*(1-((1+F42)/(1+F40))^F41)/(F40-F42),0)</f>
        <v>23556447</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40</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ROUND(C40/F43,0)</f>
        <v>53102</v>
      </c>
      <c r="D43" s="382" t="s">
        <v>1482</v>
      </c>
      <c r="E43" s="383" t="s">
        <v>1483</v>
      </c>
      <c r="F43" s="384">
        <f ca="1">INDIRECT("'数据-取费表'!k"&amp;$G$1)</f>
        <v>443.61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-34963351</v>
      </c>
      <c r="D45" s="1936" t="s">
        <v>1598</v>
      </c>
      <c r="E45" s="1863"/>
      <c r="F45" s="1863"/>
      <c r="O45" s="1866" t="s">
        <v>1513</v>
      </c>
      <c r="P45" s="1836"/>
      <c r="Q45" s="1836"/>
      <c r="R45" s="1836"/>
    </row>
    <row r="46" spans="1:18" s="1839" customFormat="1" ht="13.8" thickBot="1">
      <c r="A46" s="1867" t="s">
        <v>1514</v>
      </c>
      <c r="C46" s="1868">
        <f ca="1">ROUND(C45/10000,0)</f>
        <v>-3496</v>
      </c>
      <c r="D46" s="1869" t="str">
        <f>C2</f>
        <v>万元</v>
      </c>
      <c r="I46" s="1870" t="s">
        <v>1515</v>
      </c>
      <c r="J46" s="1871"/>
      <c r="K46" s="1872"/>
      <c r="L46" s="1873" t="str">
        <f ca="1">IF(M47="住宅",0,IF(L48&gt;J51,L60,J60))</f>
        <v>0</v>
      </c>
      <c r="O46" s="1874" t="s">
        <v>1516</v>
      </c>
      <c r="P46" s="1875" t="s">
        <v>1517</v>
      </c>
      <c r="Q46" s="1876" t="s">
        <v>1518</v>
      </c>
      <c r="R46" s="1876" t="s">
        <v>1519</v>
      </c>
    </row>
    <row r="47" spans="1:18" s="1839" customFormat="1" ht="13.8" thickBot="1">
      <c r="A47" s="1162" t="s">
        <v>1390</v>
      </c>
      <c r="B47" s="1194" t="s">
        <v>1391</v>
      </c>
      <c r="C47" s="1194" t="s">
        <v>1392</v>
      </c>
      <c r="D47" s="1194" t="s">
        <v>1393</v>
      </c>
      <c r="E47" s="1276" t="s">
        <v>1394</v>
      </c>
      <c r="F47" s="1277"/>
      <c r="G47" s="789"/>
      <c r="I47" s="1877" t="s">
        <v>1520</v>
      </c>
      <c r="J47" s="1878" t="s">
        <v>3099</v>
      </c>
      <c r="K47" s="1879" t="s">
        <v>1521</v>
      </c>
      <c r="L47" s="1880">
        <f ca="1">INDIRECT("'数据-取费表'!d"&amp;$G$1)</f>
        <v>40</v>
      </c>
      <c r="M47" s="1835" t="str">
        <f>IF(ISNUMBER(FIND("住宅",C1)),"住宅","非住宅")</f>
        <v>非住宅</v>
      </c>
      <c r="O47" s="1881" t="s">
        <v>1036</v>
      </c>
      <c r="P47" s="1882" t="s">
        <v>1522</v>
      </c>
      <c r="Q47" s="1883">
        <f ca="1">C40+J29</f>
        <v>23556447</v>
      </c>
      <c r="R47" s="1883" t="s">
        <v>1523</v>
      </c>
    </row>
    <row r="48" spans="1:18" s="1839" customFormat="1" ht="40.200000000000003" thickBot="1">
      <c r="A48" s="1357" t="s">
        <v>1131</v>
      </c>
      <c r="B48" s="344" t="s">
        <v>1395</v>
      </c>
      <c r="C48" s="1814">
        <f ca="1">C49+C53+C55</f>
        <v>0</v>
      </c>
      <c r="D48" s="1359"/>
      <c r="E48" s="1360"/>
      <c r="F48" s="1178"/>
      <c r="G48" s="789"/>
      <c r="H48" s="790"/>
      <c r="I48" s="1884" t="s">
        <v>1524</v>
      </c>
      <c r="J48" s="1885" t="s">
        <v>3100</v>
      </c>
      <c r="K48" s="1886" t="s">
        <v>1525</v>
      </c>
      <c r="L48" s="1887">
        <f ca="1">INDIRECT("'数据-取费表'!f"&amp;$G$1)</f>
        <v>40</v>
      </c>
      <c r="O48" s="1881" t="s">
        <v>1037</v>
      </c>
      <c r="P48" s="1882" t="s">
        <v>1526</v>
      </c>
      <c r="Q48" s="1883" t="str">
        <f ca="1">J60</f>
        <v>0</v>
      </c>
      <c r="R48" s="1883" t="s">
        <v>1527</v>
      </c>
    </row>
    <row r="49" spans="1:18" s="1839" customFormat="1" ht="13.8" thickBot="1">
      <c r="A49" s="1191" t="s">
        <v>1132</v>
      </c>
      <c r="B49" s="1826" t="s">
        <v>1484</v>
      </c>
      <c r="C49" s="1361">
        <f ca="1">ROUND(F49*F51*F50*(1-F52),0)</f>
        <v>0</v>
      </c>
      <c r="D49" s="1273" t="s">
        <v>1398</v>
      </c>
      <c r="E49" s="1827" t="s">
        <v>1485</v>
      </c>
      <c r="F49" s="1278"/>
      <c r="G49" s="1888"/>
      <c r="H49" s="790"/>
      <c r="I49" s="1884" t="s">
        <v>1528</v>
      </c>
      <c r="J49" s="1889">
        <v>2009</v>
      </c>
      <c r="K49" s="1886" t="s">
        <v>1529</v>
      </c>
      <c r="L49" s="1890"/>
      <c r="O49" s="1891" t="s">
        <v>1038</v>
      </c>
      <c r="P49" s="1882" t="s">
        <v>1530</v>
      </c>
      <c r="Q49" s="1883">
        <f ca="1">C29</f>
        <v>2668158</v>
      </c>
      <c r="R49" s="1883" t="s">
        <v>1523</v>
      </c>
    </row>
    <row r="50" spans="1:18" s="1839" customFormat="1" ht="13.8" thickBot="1">
      <c r="A50" s="1192"/>
      <c r="B50" s="1195"/>
      <c r="C50" s="1196"/>
      <c r="D50" s="1169"/>
      <c r="E50" s="1274" t="s">
        <v>1400</v>
      </c>
      <c r="F50" s="1275">
        <f ca="1">F7</f>
        <v>443.61</v>
      </c>
      <c r="H50" s="790"/>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7">
        <f ca="1">F8</f>
        <v>365</v>
      </c>
      <c r="I51" s="1895" t="s">
        <v>1534</v>
      </c>
      <c r="J51" s="1896">
        <f>IF(J49="",J50,J49+J50-YEAR('数据-取费表'!B2))</f>
        <v>49</v>
      </c>
      <c r="K51" s="1897" t="s">
        <v>1535</v>
      </c>
      <c r="L51" s="1898">
        <f ca="1">ROUND(-PV(INDIRECT("'数据-取费表'!h"&amp;$G$1),L48,(C39-C13*C76),0),0)</f>
        <v>13269161</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40</v>
      </c>
      <c r="R52" s="1883" t="s">
        <v>1540</v>
      </c>
    </row>
    <row r="53" spans="1:18" s="1839" customFormat="1" ht="30.75" customHeight="1" thickBot="1">
      <c r="A53" s="1358" t="s">
        <v>1133</v>
      </c>
      <c r="B53" s="368" t="s">
        <v>1403</v>
      </c>
      <c r="C53" s="360">
        <f ca="1">ROUND(IF(F53="押一",C49/12*F11,IF(F53="押二",C49/12*2*F11,IF(F53="押三",C49/12*3*F11,C54*F11))),0)</f>
        <v>0</v>
      </c>
      <c r="D53" s="1821" t="s">
        <v>3040</v>
      </c>
      <c r="E53" s="357" t="s">
        <v>1404</v>
      </c>
      <c r="F53" s="1363"/>
      <c r="I53" s="1902" t="s">
        <v>1541</v>
      </c>
      <c r="J53" s="2949">
        <f ca="1">IF(M47="住宅",IF(D1="——",MAX(J51,L48),MAX(J51,L48-'数据-取费表'!B24)),IF(D1="——",MIN(J51,L48),MIN(J51,L48-'数据-取费表'!B24)))</f>
        <v>40</v>
      </c>
      <c r="K53" s="3300" t="s">
        <v>1542</v>
      </c>
      <c r="L53" s="3301"/>
      <c r="O53" s="1881" t="s">
        <v>1042</v>
      </c>
      <c r="P53" s="1882" t="s">
        <v>1543</v>
      </c>
      <c r="Q53" s="1883">
        <f ca="1">Q47+Q48</f>
        <v>23556447</v>
      </c>
      <c r="R53" s="1883" t="s">
        <v>1043</v>
      </c>
    </row>
    <row r="54" spans="1:18" s="1839" customFormat="1" ht="13.8"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t="e">
        <f ca="1">ROUND(IF(J47="钢混",J57/J50,1-(1-2%)*(J50-J57)/J50),3)</f>
        <v>#VALUE!</v>
      </c>
      <c r="K55" s="1908" t="s">
        <v>1546</v>
      </c>
      <c r="L55" s="1909"/>
      <c r="O55" s="1874" t="s">
        <v>1516</v>
      </c>
      <c r="P55" s="1875" t="s">
        <v>1517</v>
      </c>
      <c r="Q55" s="1876" t="s">
        <v>1518</v>
      </c>
      <c r="R55" s="1876" t="s">
        <v>1519</v>
      </c>
    </row>
    <row r="56" spans="1:18" s="1839" customFormat="1" ht="36" customHeight="1" thickTop="1" thickBot="1">
      <c r="A56" s="1173">
        <v>2</v>
      </c>
      <c r="B56" s="1174" t="s">
        <v>1408</v>
      </c>
      <c r="C56" s="275">
        <f ca="1">C13</f>
        <v>2134526</v>
      </c>
      <c r="D56" s="1910"/>
      <c r="E56" s="1911"/>
      <c r="F56" s="1903"/>
      <c r="I56" s="1912" t="s">
        <v>1548</v>
      </c>
      <c r="J56" s="1913" t="s">
        <v>3085</v>
      </c>
      <c r="K56" s="1884" t="s">
        <v>1549</v>
      </c>
      <c r="L56" s="1887" t="str">
        <f ca="1">IF(L48&lt;J51,"——",L48-J51)</f>
        <v>——</v>
      </c>
      <c r="O56" s="1881" t="s">
        <v>1036</v>
      </c>
      <c r="P56" s="1882" t="s">
        <v>1522</v>
      </c>
      <c r="Q56" s="1883">
        <f ca="1">C40+J29</f>
        <v>23556447</v>
      </c>
      <c r="R56" s="1883" t="s">
        <v>1523</v>
      </c>
    </row>
    <row r="57" spans="1:18" s="1839" customFormat="1" ht="24.6" thickBot="1">
      <c r="A57" s="1914"/>
      <c r="B57" s="1166" t="s">
        <v>1472</v>
      </c>
      <c r="C57" s="281">
        <f ca="1">C29</f>
        <v>2668158</v>
      </c>
      <c r="D57" s="1915"/>
      <c r="E57" s="1916"/>
      <c r="F57" s="1917"/>
      <c r="I57" s="1918" t="s">
        <v>1550</v>
      </c>
      <c r="J57" s="1919" t="str">
        <f ca="1">IF(OR(M47="住宅",J51&lt;L48,J56="是"),"——",J51-L48)</f>
        <v>——</v>
      </c>
      <c r="K57" s="1884" t="s">
        <v>1599</v>
      </c>
      <c r="L57" s="1887" t="str">
        <f ca="1">IF(L48&lt;J51,"——",IF(L55="比较法",L49,IF(L55="基准地价",L50,L51)))</f>
        <v>——</v>
      </c>
      <c r="O57" s="1881" t="s">
        <v>1037</v>
      </c>
      <c r="P57" s="1882" t="s">
        <v>1600</v>
      </c>
      <c r="Q57" s="1883">
        <f ca="1">L60</f>
        <v>0</v>
      </c>
      <c r="R57" s="1883" t="s">
        <v>1601</v>
      </c>
    </row>
    <row r="58" spans="1:18" s="1839" customFormat="1" ht="24.6" thickBot="1">
      <c r="A58" s="359" t="s">
        <v>1026</v>
      </c>
      <c r="B58" s="1174" t="s">
        <v>1418</v>
      </c>
      <c r="C58" s="360">
        <f ca="1">ROUND(C59+C64+C65+C66,0)</f>
        <v>462319</v>
      </c>
      <c r="D58" s="1176" t="s">
        <v>1419</v>
      </c>
      <c r="E58" s="1177"/>
      <c r="F58" s="1178"/>
      <c r="I58" s="1918" t="s">
        <v>1554</v>
      </c>
      <c r="J58" s="1920" t="e">
        <f ca="1">IF(J55&lt;0.4,0.4,J55)</f>
        <v>#VALUE!</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ROUND(IF(项目基本情况!B11="自然人",C48*F59,C60+C61+C62),0)</f>
        <v>418028</v>
      </c>
      <c r="D59" s="1179" t="s">
        <v>1424</v>
      </c>
      <c r="E59" s="1180" t="s">
        <v>1425</v>
      </c>
      <c r="F59" s="367">
        <f ca="1">IF(项目基本情况!B11="企业","",IF(INDIRECT("'数据-取费表'!c"&amp;$G$1)="住宅",5%,IF(F49*F50*F51/12/(1+'数据-取费表'!C42)&gt;20000,12%,7%)))</f>
        <v>7.0000000000000007E-2</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IF(项目基本情况!B11="自然人","——",ROUND(C48*F60/(1+'数据-取费表'!C42),0))</f>
        <v>0</v>
      </c>
      <c r="D60" s="1180" t="s">
        <v>1428</v>
      </c>
      <c r="E60" s="1166"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IF(项目基本情况!B11="自然人","——",IF(D61="按租金收入计税",ROUND(C48*F61,0),IF(D61="按房产原值计税",ROUND(C57*F61*0.7,0),INDIRECT("'数据-取费表'!Aj"&amp;$G$1))))</f>
        <v>224125</v>
      </c>
      <c r="D61" s="1825" t="s">
        <v>1432</v>
      </c>
      <c r="E61" s="1166"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1490</v>
      </c>
      <c r="C62" s="25">
        <f ca="1">IF(项目基本情况!B11="自然人","——",ROUND(F62*F63,0))</f>
        <v>193903</v>
      </c>
      <c r="D62" s="1181" t="s">
        <v>1491</v>
      </c>
      <c r="E62" s="1166" t="s">
        <v>1492</v>
      </c>
      <c r="F62" s="370">
        <f t="shared" si="0"/>
        <v>15</v>
      </c>
      <c r="I62" s="1925" t="s">
        <v>1564</v>
      </c>
      <c r="J62" s="1926" t="s">
        <v>1565</v>
      </c>
      <c r="K62" s="1926" t="s">
        <v>1566</v>
      </c>
      <c r="L62" s="1926" t="s">
        <v>1567</v>
      </c>
      <c r="M62" s="1927" t="s">
        <v>1568</v>
      </c>
      <c r="O62" s="1881" t="s">
        <v>1042</v>
      </c>
      <c r="P62" s="1882" t="s">
        <v>1569</v>
      </c>
      <c r="Q62" s="1883">
        <f ca="1">Q56+Q57</f>
        <v>23556447</v>
      </c>
      <c r="R62" s="1883" t="s">
        <v>1043</v>
      </c>
    </row>
    <row r="63" spans="1:18" s="1839" customFormat="1" ht="13.8" thickBot="1">
      <c r="A63" s="371"/>
      <c r="B63" s="1172"/>
      <c r="C63" s="29"/>
      <c r="D63" s="1182"/>
      <c r="E63" s="1166" t="s">
        <v>1493</v>
      </c>
      <c r="F63" s="347">
        <f t="shared" ca="1" si="0"/>
        <v>12926.88</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ROUND(C57*F64,0)</f>
        <v>40022</v>
      </c>
      <c r="D64" s="1180" t="s">
        <v>1496</v>
      </c>
      <c r="E64" s="1166"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ROUND(C56*F65,0)</f>
        <v>4269</v>
      </c>
      <c r="D65" s="1180" t="s">
        <v>1448</v>
      </c>
      <c r="E65" s="1166" t="s">
        <v>1449</v>
      </c>
      <c r="F65" s="375">
        <f t="shared" ca="1" si="0"/>
        <v>2E-3</v>
      </c>
      <c r="I65" s="1925" t="s">
        <v>1573</v>
      </c>
      <c r="J65" s="1926">
        <v>40</v>
      </c>
      <c r="K65" s="1926">
        <v>30</v>
      </c>
      <c r="L65" s="1926">
        <v>50</v>
      </c>
      <c r="M65" s="1928">
        <v>0.02</v>
      </c>
      <c r="O65" s="1881" t="s">
        <v>1036</v>
      </c>
      <c r="P65" s="1882" t="s">
        <v>1574</v>
      </c>
      <c r="Q65" s="1883">
        <f ca="1">C40+J29</f>
        <v>23556447</v>
      </c>
      <c r="R65" s="1883" t="s">
        <v>1523</v>
      </c>
    </row>
    <row r="66" spans="1:18" s="1839" customFormat="1" ht="16.2" thickBot="1">
      <c r="A66" s="1198" t="s">
        <v>1498</v>
      </c>
      <c r="B66" s="1166" t="s">
        <v>1433</v>
      </c>
      <c r="C66" s="24">
        <f ca="1">ROUND(C48*F66,0)</f>
        <v>0</v>
      </c>
      <c r="D66" s="1180" t="s">
        <v>1499</v>
      </c>
      <c r="E66" s="1166" t="s">
        <v>1416</v>
      </c>
      <c r="F66" s="356">
        <f t="shared" ca="1" si="0"/>
        <v>1.4999999999999999E-2</v>
      </c>
      <c r="O66" s="1881" t="s">
        <v>1037</v>
      </c>
      <c r="P66" s="1882" t="s">
        <v>1552</v>
      </c>
      <c r="Q66" s="1883">
        <f ca="1">L60</f>
        <v>0</v>
      </c>
      <c r="R66" s="1883" t="s">
        <v>1575</v>
      </c>
    </row>
    <row r="67" spans="1:18" s="1839" customFormat="1" ht="24.6" thickBot="1">
      <c r="A67" s="1173" t="s">
        <v>1027</v>
      </c>
      <c r="B67" s="1183" t="s">
        <v>1457</v>
      </c>
      <c r="C67" s="360">
        <f ca="1">C48-C58</f>
        <v>-462319</v>
      </c>
      <c r="D67" s="1179" t="s">
        <v>1458</v>
      </c>
      <c r="E67" s="1184"/>
      <c r="F67" s="1185"/>
      <c r="O67" s="1891" t="s">
        <v>1038</v>
      </c>
      <c r="P67" s="1882" t="s">
        <v>1556</v>
      </c>
      <c r="Q67" s="1929">
        <f ca="1">L51</f>
        <v>13269161</v>
      </c>
      <c r="R67" s="1883" t="s">
        <v>1576</v>
      </c>
    </row>
    <row r="68" spans="1:18" s="1839" customFormat="1" ht="16.2" thickBot="1">
      <c r="A68" s="1163" t="s">
        <v>1028</v>
      </c>
      <c r="B68" s="1164" t="s">
        <v>1479</v>
      </c>
      <c r="C68" s="345">
        <f ca="1">ROUND(C67*(1-((1+F70)/(1+F68))^F69)/(F68-F70),0)</f>
        <v>-11406904</v>
      </c>
      <c r="D68" s="1181" t="s">
        <v>1463</v>
      </c>
      <c r="E68" s="1166" t="s">
        <v>1464</v>
      </c>
      <c r="F68" s="356">
        <f ca="1">F40</f>
        <v>5.5E-2</v>
      </c>
      <c r="O68" s="1891" t="s">
        <v>1039</v>
      </c>
      <c r="P68" s="1930" t="s">
        <v>1577</v>
      </c>
      <c r="Q68" s="1883">
        <f ca="1">ROUND(Q69-Q70*Q71,0)</f>
        <v>773302</v>
      </c>
      <c r="R68" s="1883" t="s">
        <v>1047</v>
      </c>
    </row>
    <row r="69" spans="1:18" s="1839" customFormat="1" ht="13.8" thickBot="1">
      <c r="A69" s="1167"/>
      <c r="B69" s="1168"/>
      <c r="C69" s="350"/>
      <c r="D69" s="1186" t="s">
        <v>1467</v>
      </c>
      <c r="E69" s="1166" t="s">
        <v>1468</v>
      </c>
      <c r="F69" s="378">
        <f ca="1">F41</f>
        <v>40</v>
      </c>
      <c r="O69" s="1891" t="s">
        <v>1044</v>
      </c>
      <c r="P69" s="1930" t="s">
        <v>1578</v>
      </c>
      <c r="Q69" s="1883">
        <f ca="1">C39</f>
        <v>954737</v>
      </c>
      <c r="R69" s="1883" t="s">
        <v>1523</v>
      </c>
    </row>
    <row r="70" spans="1:18" s="1839" customFormat="1" ht="13.8" thickBot="1">
      <c r="A70" s="1170"/>
      <c r="B70" s="1171"/>
      <c r="C70" s="354"/>
      <c r="D70" s="1182"/>
      <c r="E70" s="1166" t="s">
        <v>1471</v>
      </c>
      <c r="F70" s="1272">
        <f ca="1">F42</f>
        <v>0.03</v>
      </c>
      <c r="O70" s="1891" t="s">
        <v>1045</v>
      </c>
      <c r="P70" s="1930" t="s">
        <v>1579</v>
      </c>
      <c r="Q70" s="1883">
        <f ca="1">C13</f>
        <v>2134526</v>
      </c>
      <c r="R70" s="1883" t="s">
        <v>1523</v>
      </c>
    </row>
    <row r="71" spans="1:18" s="1839" customFormat="1" ht="13.8" thickBot="1">
      <c r="A71" s="1187" t="s">
        <v>1029</v>
      </c>
      <c r="B71" s="1188" t="s">
        <v>1481</v>
      </c>
      <c r="C71" s="381">
        <f ca="1">ROUND(C68/F71,0)</f>
        <v>-25714</v>
      </c>
      <c r="D71" s="1189" t="s">
        <v>1482</v>
      </c>
      <c r="E71" s="1190" t="s">
        <v>1483</v>
      </c>
      <c r="F71" s="384">
        <f ca="1">F43</f>
        <v>443.61</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181435</v>
      </c>
      <c r="D75" s="1839"/>
      <c r="E75" s="1839"/>
      <c r="F75" s="1839"/>
      <c r="K75" s="1865"/>
      <c r="L75" s="1839"/>
      <c r="O75" s="1881" t="s">
        <v>1042</v>
      </c>
      <c r="P75" s="1882" t="s">
        <v>1543</v>
      </c>
      <c r="Q75" s="1883">
        <f ca="1">Q65+Q66</f>
        <v>23556447</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0.81</v>
      </c>
    </row>
    <row r="80" spans="1:18">
      <c r="B80" s="385" t="s">
        <v>1505</v>
      </c>
      <c r="C80" s="317">
        <f ca="1">ROUND(C75/C39,3)</f>
        <v>0.19</v>
      </c>
    </row>
    <row r="81" spans="2:3">
      <c r="B81" s="313" t="s">
        <v>1506</v>
      </c>
      <c r="C81" s="281"/>
    </row>
    <row r="82" spans="2:3">
      <c r="B82" s="316" t="s">
        <v>1507</v>
      </c>
      <c r="C82" s="318">
        <f ca="1">1-C83</f>
        <v>0.90900000000000003</v>
      </c>
    </row>
    <row r="83" spans="2:3">
      <c r="B83" s="316" t="s">
        <v>1508</v>
      </c>
      <c r="C83" s="317">
        <f ca="1">ROUND(C13/C40,3)</f>
        <v>9.0999999999999998E-2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9" sqref="H39"/>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1372</v>
      </c>
      <c r="D1" s="1817" t="s">
        <v>70</v>
      </c>
      <c r="E1" s="1818" t="s">
        <v>1381</v>
      </c>
      <c r="F1" s="1280">
        <f ca="1">J53</f>
        <v>40</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C40+J29+L46</f>
        <v>2347</v>
      </c>
      <c r="C2" s="1842" t="s">
        <v>1510</v>
      </c>
      <c r="D2" s="1842"/>
      <c r="E2" s="1843"/>
      <c r="F2" s="1844"/>
      <c r="G2" s="1845"/>
      <c r="H2" s="1837"/>
      <c r="I2" s="1837"/>
      <c r="J2" s="1837"/>
      <c r="K2" s="1838"/>
      <c r="L2" s="1837"/>
      <c r="M2" s="1837"/>
    </row>
    <row r="3" spans="1:37" ht="18" customHeight="1" thickBot="1">
      <c r="A3" s="1846" t="s">
        <v>1511</v>
      </c>
      <c r="B3" s="1847">
        <f ca="1">IF(ISERROR(B2*10000/F43),0,ROUND(B2*10000/F43,0))</f>
        <v>52907</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146</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ROUND(F6*F8*F7*(1-F9)/10000,0)</f>
        <v>146</v>
      </c>
      <c r="D6" s="163" t="s">
        <v>3029</v>
      </c>
      <c r="E6" s="346" t="s">
        <v>1399</v>
      </c>
      <c r="F6" s="347">
        <f ca="1">INDIRECT("'数据-取费表'!u"&amp;$G$1)</f>
        <v>10</v>
      </c>
      <c r="G6" s="1848"/>
      <c r="H6" s="1288" t="s">
        <v>1031</v>
      </c>
      <c r="I6" s="3297" t="s">
        <v>1397</v>
      </c>
      <c r="J6" s="345">
        <f ca="1">ROUND(M6*M8*M7*(1-M9)/10000,0)</f>
        <v>0</v>
      </c>
      <c r="K6" s="163" t="s">
        <v>3028</v>
      </c>
      <c r="L6" s="346" t="s">
        <v>1399</v>
      </c>
      <c r="M6" s="347">
        <f ca="1">INDIRECT("'数据-取费表'!z"&amp;$G$1)</f>
        <v>0</v>
      </c>
    </row>
    <row r="7" spans="1:37" ht="18" customHeight="1">
      <c r="A7" s="1292"/>
      <c r="B7" s="3298"/>
      <c r="C7" s="1294"/>
      <c r="D7" s="351"/>
      <c r="E7" s="1295" t="s">
        <v>1400</v>
      </c>
      <c r="F7" s="347">
        <f ca="1">IF(INDIRECT("'数据-取费表'!ah"&amp;$G$1)="",INDIRECT("'数据-取费表'!k"&amp;$G$1),INDIRECT("'数据-取费表'!ah"&amp;$G$1))</f>
        <v>443.61</v>
      </c>
      <c r="G7" s="1848"/>
      <c r="H7" s="348"/>
      <c r="I7" s="3298"/>
      <c r="J7" s="350"/>
      <c r="K7" s="351"/>
      <c r="L7" s="346" t="s">
        <v>1400</v>
      </c>
      <c r="M7" s="347">
        <f ca="1">F7</f>
        <v>443.61</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0</v>
      </c>
      <c r="D10" s="1821" t="s">
        <v>3038</v>
      </c>
      <c r="E10" s="357" t="s">
        <v>1404</v>
      </c>
      <c r="F10" s="1363" t="s">
        <v>3112</v>
      </c>
      <c r="G10" s="1848"/>
      <c r="H10" s="1288" t="s">
        <v>1035</v>
      </c>
      <c r="I10" s="1820" t="s">
        <v>1403</v>
      </c>
      <c r="J10" s="345">
        <f ca="1">ROUND(IF(M10="押一",J6/12*M11,IF(M10="押二",J6/12*2*M11,IF(M10="押三",J6/12*3*M11,J11*M11))),0)</f>
        <v>0</v>
      </c>
      <c r="K10" s="1821" t="s">
        <v>3037</v>
      </c>
      <c r="L10" s="357" t="s">
        <v>1404</v>
      </c>
      <c r="M10" s="1363" t="s">
        <v>1405</v>
      </c>
    </row>
    <row r="11" spans="1:37" ht="18" customHeight="1">
      <c r="A11" s="352"/>
      <c r="B11" s="1822" t="s">
        <v>1382</v>
      </c>
      <c r="C11" s="1175"/>
      <c r="D11" s="1823"/>
      <c r="E11" s="357" t="s">
        <v>1406</v>
      </c>
      <c r="F11" s="358">
        <f ca="1">'数据-取费表'!B39</f>
        <v>1.4999999999999999E-2</v>
      </c>
      <c r="G11" s="1848"/>
      <c r="H11" s="1296"/>
      <c r="I11" s="1822" t="s">
        <v>1382</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213</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INDIRECT("'数据-取费表'!m"&amp;$G$1)+INDIRECT("'数据-取费表'!t"&amp;$G$1)</f>
        <v>155</v>
      </c>
      <c r="D14" s="1797" t="s">
        <v>1412</v>
      </c>
      <c r="E14" s="1791"/>
      <c r="F14" s="363"/>
      <c r="G14" s="1848"/>
      <c r="H14" s="1198" t="s">
        <v>1031</v>
      </c>
      <c r="I14" s="346" t="s">
        <v>1413</v>
      </c>
      <c r="J14" s="24">
        <f ca="1">C29</f>
        <v>266</v>
      </c>
      <c r="K14" s="15"/>
      <c r="L14" s="976"/>
      <c r="M14" s="977"/>
    </row>
    <row r="15" spans="1:37" s="1855" customFormat="1" ht="18" customHeight="1" thickBot="1">
      <c r="A15" s="1198" t="s">
        <v>1032</v>
      </c>
      <c r="B15" s="346" t="s">
        <v>1414</v>
      </c>
      <c r="C15" s="24">
        <f ca="1">ROUND(C14*F15,0)</f>
        <v>8</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ROUND(INDIRECT("'数据-取费表'!m"&amp;$G$1)*F16,0)</f>
        <v>0</v>
      </c>
      <c r="D16" s="346" t="s">
        <v>1415</v>
      </c>
      <c r="E16" s="346" t="s">
        <v>1416</v>
      </c>
      <c r="F16" s="366">
        <f ca="1">IF(INDIRECT("'数据-取费表'!c"&amp;$G$1)="住宅",'数据-取费表'!B34,0)</f>
        <v>0</v>
      </c>
      <c r="G16" s="1848"/>
      <c r="H16" s="1326" t="s">
        <v>1026</v>
      </c>
      <c r="I16" s="1327" t="s">
        <v>1418</v>
      </c>
      <c r="J16" s="354">
        <f ca="1">ROUND(J17+J22+J23+J24,0)</f>
        <v>26</v>
      </c>
      <c r="K16" s="1334" t="s">
        <v>1419</v>
      </c>
      <c r="L16" s="1335"/>
      <c r="M16" s="1291"/>
    </row>
    <row r="17" spans="1:37" s="1855" customFormat="1" ht="18" customHeight="1">
      <c r="A17" s="1198" t="s">
        <v>1384</v>
      </c>
      <c r="B17" s="346" t="s">
        <v>1420</v>
      </c>
      <c r="C17" s="24">
        <f ca="1">ROUND(F17*(F43+INDIRECT("'数据-取费表'!S"&amp;$G$1))/10000,0)</f>
        <v>9</v>
      </c>
      <c r="D17" s="346" t="s">
        <v>1421</v>
      </c>
      <c r="E17" s="346" t="s">
        <v>1422</v>
      </c>
      <c r="F17" s="26">
        <f>'数据-取费表'!B35</f>
        <v>200</v>
      </c>
      <c r="G17" s="1851"/>
      <c r="H17" s="1198" t="s">
        <v>1031</v>
      </c>
      <c r="I17" s="346" t="s">
        <v>1423</v>
      </c>
      <c r="J17" s="24">
        <f ca="1">ROUND(IF(项目基本情况!B11="自然人",J6*M17/(1+'数据-取费表'!C42),J18+J19+J20),1)</f>
        <v>21.6</v>
      </c>
      <c r="K17" s="1797" t="s">
        <v>1424</v>
      </c>
      <c r="L17" s="1795"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2</v>
      </c>
      <c r="D18" s="346" t="s">
        <v>1415</v>
      </c>
      <c r="E18" s="346" t="s">
        <v>1416</v>
      </c>
      <c r="F18" s="366">
        <f>'数据-取费表'!B36</f>
        <v>1.4999999999999999E-2</v>
      </c>
      <c r="G18" s="1851"/>
      <c r="H18" s="1198" t="s">
        <v>1030</v>
      </c>
      <c r="I18" s="346" t="s">
        <v>1427</v>
      </c>
      <c r="J18" s="24">
        <f ca="1">ROUND(J6*M18/(1+'数据-取费表'!C42),2)</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174</v>
      </c>
      <c r="D19" s="139" t="s">
        <v>1430</v>
      </c>
      <c r="E19" s="1815"/>
      <c r="F19" s="26"/>
      <c r="G19" s="1848"/>
      <c r="H19" s="1198" t="s">
        <v>1032</v>
      </c>
      <c r="I19" s="346" t="s">
        <v>1431</v>
      </c>
      <c r="J19" s="24">
        <f ca="1">IF(K19="按租金收入计税",ROUND(J6*M19/(1+'数据-取费表'!C42),2),ROUND(C29*M19*0.7,2))</f>
        <v>2.23</v>
      </c>
      <c r="K19" s="1825" t="s">
        <v>1432</v>
      </c>
      <c r="L19" s="346" t="s">
        <v>1416</v>
      </c>
      <c r="M19" s="366">
        <f>IF(K19="按租金收入计税",'数据-取费表'!B51,'数据-取费表'!B50)</f>
        <v>1.2E-2</v>
      </c>
    </row>
    <row r="20" spans="1:37" s="1855" customFormat="1" ht="18" customHeight="1">
      <c r="A20" s="1198" t="s">
        <v>1035</v>
      </c>
      <c r="B20" s="346" t="s">
        <v>1433</v>
      </c>
      <c r="C20" s="24">
        <f ca="1">ROUND(C19*F20,0)</f>
        <v>5</v>
      </c>
      <c r="D20" s="368" t="s">
        <v>1434</v>
      </c>
      <c r="E20" s="346" t="s">
        <v>1416</v>
      </c>
      <c r="F20" s="366">
        <f>'数据-取费表'!B37</f>
        <v>0.03</v>
      </c>
      <c r="G20" s="1851"/>
      <c r="H20" s="1198" t="s">
        <v>1383</v>
      </c>
      <c r="I20" s="163" t="s">
        <v>1435</v>
      </c>
      <c r="J20" s="25">
        <f ca="1">ROUND(M20*M21/10000,2)</f>
        <v>19.39</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18</v>
      </c>
      <c r="D21" s="368" t="s">
        <v>1439</v>
      </c>
      <c r="E21" s="346" t="s">
        <v>1440</v>
      </c>
      <c r="F21" s="366">
        <f>'数据-取费表'!B38</f>
        <v>0.03</v>
      </c>
      <c r="G21" s="1851"/>
      <c r="H21" s="371"/>
      <c r="I21" s="355"/>
      <c r="J21" s="29"/>
      <c r="K21" s="372"/>
      <c r="L21" s="346" t="s">
        <v>1441</v>
      </c>
      <c r="M21" s="347">
        <f ca="1">INDIRECT("'数据-取费表'!r"&amp;$G$1)</f>
        <v>12926.88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1815"/>
      <c r="F22" s="26"/>
      <c r="G22" s="1848"/>
      <c r="H22" s="1198" t="s">
        <v>1035</v>
      </c>
      <c r="I22" s="346" t="s">
        <v>1443</v>
      </c>
      <c r="J22" s="24">
        <f ca="1">ROUND(J14*M22,1)</f>
        <v>4</v>
      </c>
      <c r="K22" s="1795" t="s">
        <v>1444</v>
      </c>
      <c r="L22" s="346" t="s">
        <v>1416</v>
      </c>
      <c r="M22" s="373">
        <f ca="1">INDIRECT("'数据-取费表'!Ak"&amp;$G$1)</f>
        <v>1.4999999999999999E-2</v>
      </c>
    </row>
    <row r="23" spans="1:37" s="1855" customFormat="1" ht="18" customHeight="1">
      <c r="A23" s="1198" t="s">
        <v>1030</v>
      </c>
      <c r="B23" s="346" t="s">
        <v>1445</v>
      </c>
      <c r="C23" s="24">
        <f ca="1">IF('数据-取费表'!B22&lt;=1,ROUND(C19*F24*F23/2,0)+ROUND(C20*F24*F23/2,0),ROUND(C19*(POWER((1+F24),F23/2)-1),0)+ROUND(C20*(POWER((1+F24),F23/2)-1),0))</f>
        <v>8</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ROUND(J13*M23,1)</f>
        <v>0</v>
      </c>
      <c r="K23" s="1795" t="s">
        <v>1448</v>
      </c>
      <c r="L23" s="346" t="s">
        <v>1449</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1387</v>
      </c>
      <c r="I24" s="1337" t="s">
        <v>1433</v>
      </c>
      <c r="J24" s="1338">
        <f ca="1">ROUND(J5*M24,1)</f>
        <v>0</v>
      </c>
      <c r="K24" s="1339" t="s">
        <v>1453</v>
      </c>
      <c r="L24" s="1337" t="s">
        <v>1449</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6" t="s">
        <v>1455</v>
      </c>
      <c r="C25" s="24"/>
      <c r="D25" s="139" t="s">
        <v>1456</v>
      </c>
      <c r="E25" s="1815"/>
      <c r="F25" s="26"/>
      <c r="G25" s="1848"/>
      <c r="H25" s="1326" t="s">
        <v>1027</v>
      </c>
      <c r="I25" s="1341" t="s">
        <v>1457</v>
      </c>
      <c r="J25" s="354">
        <f ca="1">J5-J16</f>
        <v>-26</v>
      </c>
      <c r="K25" s="1342" t="s">
        <v>1458</v>
      </c>
      <c r="L25" s="1343"/>
      <c r="M25" s="1344"/>
    </row>
    <row r="26" spans="1:37">
      <c r="A26" s="1198" t="s">
        <v>1030</v>
      </c>
      <c r="B26" s="346" t="s">
        <v>1459</v>
      </c>
      <c r="C26" s="24">
        <f ca="1">ROUND((C19+C20)*F26,0)</f>
        <v>54</v>
      </c>
      <c r="D26" s="368" t="s">
        <v>1460</v>
      </c>
      <c r="E26" s="357" t="s">
        <v>1461</v>
      </c>
      <c r="F26" s="356">
        <f ca="1">INDIRECT("'数据-取费表'!q"&amp;$G$1)</f>
        <v>0.3</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8.9999999999999993E-3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266</v>
      </c>
      <c r="D29" s="1339"/>
      <c r="E29" s="1337"/>
      <c r="F29" s="1340"/>
      <c r="G29" s="1851"/>
      <c r="H29" s="379" t="s">
        <v>1029</v>
      </c>
      <c r="I29" s="380" t="s">
        <v>1473</v>
      </c>
      <c r="J29" s="381">
        <f ca="1">ROUND(J26/(1+F40)^F41,0)</f>
        <v>0</v>
      </c>
      <c r="K29" s="382" t="s">
        <v>1474</v>
      </c>
      <c r="L29" s="383"/>
      <c r="M29" s="384">
        <f ca="1">INDIRECT("'数据-取费表'!k"&amp;$G$1)</f>
        <v>443.61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51</v>
      </c>
      <c r="D30" s="1334" t="s">
        <v>1419</v>
      </c>
      <c r="E30" s="1335"/>
      <c r="F30" s="1291"/>
      <c r="G30" s="1848"/>
      <c r="H30" s="742"/>
      <c r="I30" s="743"/>
      <c r="J30" s="744"/>
      <c r="K30" s="745"/>
      <c r="L30" s="746"/>
      <c r="M30" s="747"/>
    </row>
    <row r="31" spans="1:37" ht="18" customHeight="1">
      <c r="A31" s="1198" t="s">
        <v>1031</v>
      </c>
      <c r="B31" s="346" t="s">
        <v>1423</v>
      </c>
      <c r="C31" s="24">
        <f ca="1">ROUND(IF(项目基本情况!B11="自然人",C6*F31/(1+'数据-取费表'!C42),C32+C33+C34),1)</f>
        <v>43.9</v>
      </c>
      <c r="D31" s="1797" t="s">
        <v>1424</v>
      </c>
      <c r="E31" s="1795" t="s">
        <v>1475</v>
      </c>
      <c r="F31" s="367">
        <f ca="1">IF(项目基本情况!B11="企业","",IF(INDIRECT("'数据-取费表'!c"&amp;$G$1)="住宅",5%,IF(F6*F7*F8/12/(1+'数据-取费表'!C42)&gt;20000,12%,7%)))</f>
        <v>0.12</v>
      </c>
      <c r="G31" s="1848"/>
      <c r="H31" s="742"/>
      <c r="I31" s="743"/>
      <c r="J31" s="744"/>
      <c r="K31" s="745"/>
      <c r="L31" s="746"/>
      <c r="M31" s="747"/>
    </row>
    <row r="32" spans="1:37" ht="18" customHeight="1">
      <c r="A32" s="1198" t="s">
        <v>1030</v>
      </c>
      <c r="B32" s="346" t="s">
        <v>1427</v>
      </c>
      <c r="C32" s="24">
        <f ca="1">IF(项目基本情况!B11="自然人","——",ROUND(C6*F32/(1+'数据-取费表'!C42),2))</f>
        <v>7.79</v>
      </c>
      <c r="D32" s="1795"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IF(项目基本情况!B11="自然人","——",IF(D33="按租金收入计税",ROUND(C6*F33/(1+'数据-取费表'!C42),2),IF(D33="按房产原值计税",ROUND(C29*F33*0.7,2),INDIRECT("'数据-取费表'!Aj"&amp;$G$1))))</f>
        <v>16.690000000000001</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IF(项目基本情况!B11="自然人","——",ROUND(F34*F35/10000,2))</f>
        <v>19.39</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12926.88</v>
      </c>
      <c r="G35" s="1848"/>
      <c r="H35" s="742"/>
      <c r="I35" s="1857"/>
      <c r="J35" s="1858"/>
      <c r="K35" s="1859"/>
      <c r="L35" s="1856"/>
      <c r="M35" s="1856"/>
    </row>
    <row r="36" spans="1:18" ht="18" customHeight="1">
      <c r="A36" s="1349" t="s">
        <v>1035</v>
      </c>
      <c r="B36" s="346" t="s">
        <v>1443</v>
      </c>
      <c r="C36" s="24">
        <f ca="1">ROUND(C29*F36,1)</f>
        <v>4</v>
      </c>
      <c r="D36" s="1795" t="s">
        <v>1476</v>
      </c>
      <c r="E36" s="346" t="s">
        <v>1416</v>
      </c>
      <c r="F36" s="373">
        <f ca="1">INDIRECT("'数据-取费表'!Ak"&amp;$G$1)</f>
        <v>1.4999999999999999E-2</v>
      </c>
      <c r="G36" s="1848"/>
      <c r="H36" s="1856"/>
      <c r="I36" s="1857"/>
      <c r="J36" s="1858"/>
      <c r="K36" s="748"/>
      <c r="L36" s="1856"/>
      <c r="M36" s="1856"/>
    </row>
    <row r="37" spans="1:18" ht="18" customHeight="1">
      <c r="A37" s="1198" t="s">
        <v>1071</v>
      </c>
      <c r="B37" s="346" t="s">
        <v>1447</v>
      </c>
      <c r="C37" s="24">
        <f ca="1">ROUND(C13*F37,1)</f>
        <v>0.4</v>
      </c>
      <c r="D37" s="1795" t="s">
        <v>1448</v>
      </c>
      <c r="E37" s="346" t="s">
        <v>1449</v>
      </c>
      <c r="F37" s="375">
        <f ca="1">INDIRECT("'数据-取费表'!Al"&amp;$G$1)</f>
        <v>2E-3</v>
      </c>
      <c r="G37" s="1848"/>
      <c r="H37" s="1856"/>
      <c r="I37" s="1857"/>
      <c r="J37" s="1858"/>
      <c r="K37" s="748"/>
      <c r="L37" s="1856"/>
      <c r="M37" s="1856"/>
    </row>
    <row r="38" spans="1:18" ht="18" customHeight="1" thickBot="1">
      <c r="A38" s="1336" t="s">
        <v>1387</v>
      </c>
      <c r="B38" s="1337" t="s">
        <v>1433</v>
      </c>
      <c r="C38" s="1338">
        <f ca="1">ROUND(C5*F38,1)</f>
        <v>2.2000000000000002</v>
      </c>
      <c r="D38" s="1339" t="s">
        <v>1453</v>
      </c>
      <c r="E38" s="1337" t="s">
        <v>1449</v>
      </c>
      <c r="F38" s="1333">
        <f ca="1">INDIRECT("'数据-取费表'!Am"&amp;$G$1)</f>
        <v>1.4999999999999999E-2</v>
      </c>
      <c r="G38" s="1848"/>
      <c r="H38" s="1856"/>
      <c r="I38" s="1857"/>
      <c r="J38" s="1858"/>
      <c r="K38" s="1862"/>
      <c r="L38" s="1856"/>
      <c r="M38" s="1856"/>
    </row>
    <row r="39" spans="1:18" ht="24.6" customHeight="1" thickTop="1">
      <c r="A39" s="1326" t="s">
        <v>1027</v>
      </c>
      <c r="B39" s="1341" t="s">
        <v>1477</v>
      </c>
      <c r="C39" s="354">
        <f ca="1">C5-C30</f>
        <v>95</v>
      </c>
      <c r="D39" s="1342" t="s">
        <v>1478</v>
      </c>
      <c r="E39" s="1343"/>
      <c r="F39" s="1344"/>
      <c r="G39" s="1848"/>
      <c r="H39" s="1856"/>
      <c r="I39" s="1857"/>
      <c r="J39" s="1858"/>
      <c r="K39" s="1862"/>
      <c r="L39" s="1856"/>
      <c r="M39" s="1856"/>
    </row>
    <row r="40" spans="1:18" ht="18" customHeight="1">
      <c r="A40" s="343" t="s">
        <v>1028</v>
      </c>
      <c r="B40" s="344" t="s">
        <v>1479</v>
      </c>
      <c r="C40" s="345">
        <f ca="1">ROUND(C39*(1-((1+F42)/(1+F40))^F41)/(F40-F42),0)</f>
        <v>2344</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40</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ROUND(C40*10000/F43,0)</f>
        <v>52839</v>
      </c>
      <c r="D43" s="382" t="s">
        <v>1482</v>
      </c>
      <c r="E43" s="383" t="s">
        <v>1483</v>
      </c>
      <c r="F43" s="384">
        <f ca="1">INDIRECT("'数据-取费表'!k"&amp;$G$1)</f>
        <v>443.61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1513</v>
      </c>
      <c r="P45" s="1836"/>
      <c r="Q45" s="1836"/>
      <c r="R45" s="1836"/>
    </row>
    <row r="46" spans="1:18" s="1839" customFormat="1" ht="13.8" thickBot="1">
      <c r="A46" s="1867" t="s">
        <v>1514</v>
      </c>
      <c r="C46" s="1868">
        <f ca="1">C68-C40</f>
        <v>-3082</v>
      </c>
      <c r="D46" s="1869" t="str">
        <f>C2</f>
        <v>万元</v>
      </c>
      <c r="E46" s="1863"/>
      <c r="F46" s="1863"/>
      <c r="I46" s="1870" t="s">
        <v>1515</v>
      </c>
      <c r="J46" s="1871"/>
      <c r="K46" s="1872"/>
      <c r="L46" s="1873">
        <f ca="1">IF(M47="住宅",0,IF(L48&gt;J51,L60,J60))</f>
        <v>3</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89"/>
      <c r="I47" s="1877" t="s">
        <v>1520</v>
      </c>
      <c r="J47" s="1878" t="s">
        <v>3099</v>
      </c>
      <c r="K47" s="1879" t="s">
        <v>1521</v>
      </c>
      <c r="L47" s="1880">
        <f ca="1">INDIRECT("'数据-取费表'!d"&amp;$G$1)</f>
        <v>40</v>
      </c>
      <c r="M47" s="1835" t="str">
        <f>IF(ISNUMBER(FIND("住宅",C1)),"住宅","非住宅")</f>
        <v>非住宅</v>
      </c>
      <c r="O47" s="1881" t="s">
        <v>1036</v>
      </c>
      <c r="P47" s="1882" t="s">
        <v>1522</v>
      </c>
      <c r="Q47" s="1883">
        <f ca="1">C40+J29</f>
        <v>2344</v>
      </c>
      <c r="R47" s="1883" t="s">
        <v>1523</v>
      </c>
    </row>
    <row r="48" spans="1:18" s="1839" customFormat="1" ht="40.200000000000003" thickBot="1">
      <c r="A48" s="1357" t="s">
        <v>1131</v>
      </c>
      <c r="B48" s="344" t="s">
        <v>1395</v>
      </c>
      <c r="C48" s="1814">
        <f ca="1">C49+C53+C55</f>
        <v>0</v>
      </c>
      <c r="D48" s="1359"/>
      <c r="E48" s="1360"/>
      <c r="F48" s="1178"/>
      <c r="G48" s="789"/>
      <c r="H48" s="790"/>
      <c r="I48" s="1884" t="s">
        <v>1524</v>
      </c>
      <c r="J48" s="1885" t="s">
        <v>3100</v>
      </c>
      <c r="K48" s="1886" t="s">
        <v>1525</v>
      </c>
      <c r="L48" s="1887">
        <f ca="1">INDIRECT("'数据-取费表'!f"&amp;$G$1)</f>
        <v>40</v>
      </c>
      <c r="O48" s="1881" t="s">
        <v>1037</v>
      </c>
      <c r="P48" s="1882" t="s">
        <v>1526</v>
      </c>
      <c r="Q48" s="1883">
        <f ca="1">J60</f>
        <v>3</v>
      </c>
      <c r="R48" s="1883" t="s">
        <v>1527</v>
      </c>
    </row>
    <row r="49" spans="1:18" s="1839" customFormat="1" ht="13.8" thickBot="1">
      <c r="A49" s="1191" t="s">
        <v>1132</v>
      </c>
      <c r="B49" s="1826" t="s">
        <v>1484</v>
      </c>
      <c r="C49" s="1361">
        <f ca="1">ROUND(F49*F51*F50*(1-F52)/10000,0)</f>
        <v>0</v>
      </c>
      <c r="D49" s="1273" t="s">
        <v>3030</v>
      </c>
      <c r="E49" s="1827" t="s">
        <v>1485</v>
      </c>
      <c r="F49" s="1278"/>
      <c r="G49" s="1888"/>
      <c r="H49" s="790"/>
      <c r="I49" s="1884" t="s">
        <v>1528</v>
      </c>
      <c r="J49" s="1889">
        <v>2008</v>
      </c>
      <c r="K49" s="1886" t="s">
        <v>1529</v>
      </c>
      <c r="L49" s="1890"/>
      <c r="O49" s="1891" t="s">
        <v>1038</v>
      </c>
      <c r="P49" s="1882" t="s">
        <v>1530</v>
      </c>
      <c r="Q49" s="1883">
        <f ca="1">C29</f>
        <v>266</v>
      </c>
      <c r="R49" s="1883" t="s">
        <v>1523</v>
      </c>
    </row>
    <row r="50" spans="1:18" s="1839" customFormat="1" ht="13.8" thickBot="1">
      <c r="A50" s="1192"/>
      <c r="B50" s="1195"/>
      <c r="C50" s="1365"/>
      <c r="D50" s="1169"/>
      <c r="E50" s="1274" t="s">
        <v>1400</v>
      </c>
      <c r="F50" s="1275">
        <f ca="1">F7</f>
        <v>443.61</v>
      </c>
      <c r="H50" s="790"/>
      <c r="I50" s="1884" t="s">
        <v>1531</v>
      </c>
      <c r="J50" s="1892">
        <f>SUMPRODUCT((I63:I65=J47)*(J62:L62=J48)*(J63:L65))</f>
        <v>60</v>
      </c>
      <c r="K50" s="1886" t="s">
        <v>1532</v>
      </c>
      <c r="L50" s="1890"/>
      <c r="M50" s="1893"/>
      <c r="O50" s="1891" t="s">
        <v>1039</v>
      </c>
      <c r="P50" s="1882" t="s">
        <v>1533</v>
      </c>
      <c r="Q50" s="1894">
        <f ca="1">J58</f>
        <v>0.4</v>
      </c>
      <c r="R50" s="1883"/>
    </row>
    <row r="51" spans="1:18" s="1839" customFormat="1" ht="13.8" thickBot="1">
      <c r="A51" s="1193"/>
      <c r="B51" s="1195"/>
      <c r="C51" s="1196"/>
      <c r="D51" s="1169"/>
      <c r="E51" s="1197" t="s">
        <v>1401</v>
      </c>
      <c r="F51" s="347">
        <f ca="1">F8</f>
        <v>365</v>
      </c>
      <c r="I51" s="1895" t="s">
        <v>1534</v>
      </c>
      <c r="J51" s="1896">
        <f>IF(J49="",J50,J49+J50-YEAR('数据-取费表'!B2))</f>
        <v>48</v>
      </c>
      <c r="K51" s="1897" t="s">
        <v>1535</v>
      </c>
      <c r="L51" s="1898">
        <f ca="1">ROUND(-PV(INDIRECT("'数据-取费表'!h"&amp;$G$1),L48,(C39-C13*C76),0),0)</f>
        <v>1319</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40</v>
      </c>
      <c r="R52" s="1883" t="s">
        <v>1540</v>
      </c>
    </row>
    <row r="53" spans="1:18" s="1839" customFormat="1" ht="36.6" thickBot="1">
      <c r="A53" s="1402" t="s">
        <v>1133</v>
      </c>
      <c r="B53" s="1828" t="s">
        <v>1403</v>
      </c>
      <c r="C53" s="360">
        <f ca="1">ROUND(IF(F53="押一",C49/12*F11,IF(F53="押二",C49/12*2*F11,IF(F53="押三",C49/12*3*F11,C54*F11))),0)</f>
        <v>0</v>
      </c>
      <c r="D53" s="1821" t="s">
        <v>3037</v>
      </c>
      <c r="E53" s="357" t="s">
        <v>1404</v>
      </c>
      <c r="F53" s="1363"/>
      <c r="I53" s="1902" t="s">
        <v>1541</v>
      </c>
      <c r="J53" s="2949">
        <f ca="1">IF(M47="住宅",IF(D1="——",MAX(J51,L48),MAX(J51,L48-'数据-取费表'!B24)),IF(D1="——",MIN(J51,L48),MIN(J51,L48-'数据-取费表'!B24)))</f>
        <v>40</v>
      </c>
      <c r="K53" s="3300" t="s">
        <v>1542</v>
      </c>
      <c r="L53" s="3301"/>
      <c r="O53" s="1881" t="s">
        <v>1042</v>
      </c>
      <c r="P53" s="1882" t="s">
        <v>1543</v>
      </c>
      <c r="Q53" s="1883">
        <f ca="1">Q47+Q48</f>
        <v>2347</v>
      </c>
      <c r="R53" s="1883" t="s">
        <v>1043</v>
      </c>
    </row>
    <row r="54" spans="1:18" s="1839" customFormat="1" ht="24.6"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f ca="1">ROUND(IF(J47="钢混",J57/J50,1-(1-2%)*(J50-J57)/J50),3)</f>
        <v>0.13300000000000001</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5">
        <f ca="1">C13</f>
        <v>213</v>
      </c>
      <c r="D56" s="1910"/>
      <c r="E56" s="1911"/>
      <c r="F56" s="1903"/>
      <c r="I56" s="1912" t="s">
        <v>1548</v>
      </c>
      <c r="J56" s="1913" t="s">
        <v>3101</v>
      </c>
      <c r="K56" s="1884" t="s">
        <v>1549</v>
      </c>
      <c r="L56" s="1887" t="str">
        <f ca="1">IF(L48&lt;J51,"——",L48-J53)</f>
        <v>——</v>
      </c>
      <c r="O56" s="1881" t="s">
        <v>1036</v>
      </c>
      <c r="P56" s="1882" t="s">
        <v>1522</v>
      </c>
      <c r="Q56" s="1883">
        <f ca="1">C40+J29</f>
        <v>2344</v>
      </c>
      <c r="R56" s="1883" t="s">
        <v>1523</v>
      </c>
    </row>
    <row r="57" spans="1:18" s="1839" customFormat="1" ht="24.6" thickBot="1">
      <c r="A57" s="1914"/>
      <c r="B57" s="1166" t="s">
        <v>1472</v>
      </c>
      <c r="C57" s="281">
        <f ca="1">C29</f>
        <v>266</v>
      </c>
      <c r="D57" s="1915"/>
      <c r="E57" s="1916"/>
      <c r="F57" s="1917"/>
      <c r="I57" s="1918" t="s">
        <v>1550</v>
      </c>
      <c r="J57" s="1919">
        <f ca="1">IF(OR(M47="住宅",J51&lt;L48,J56="是"),"——",J51-L48)</f>
        <v>8</v>
      </c>
      <c r="K57" s="1884" t="s">
        <v>1551</v>
      </c>
      <c r="L57" s="1887" t="str">
        <f ca="1">IF(L48&lt;J51,"——",IF(L55="比较法",L49,IF(L55="基准地价",L50,L51)))</f>
        <v>——</v>
      </c>
      <c r="O57" s="1881" t="s">
        <v>1037</v>
      </c>
      <c r="P57" s="1882" t="s">
        <v>1552</v>
      </c>
      <c r="Q57" s="1883">
        <f ca="1">L60</f>
        <v>0</v>
      </c>
      <c r="R57" s="1883" t="s">
        <v>1553</v>
      </c>
    </row>
    <row r="58" spans="1:18" s="1839" customFormat="1" ht="24.6" thickBot="1">
      <c r="A58" s="359" t="s">
        <v>1026</v>
      </c>
      <c r="B58" s="1174" t="s">
        <v>1418</v>
      </c>
      <c r="C58" s="360">
        <f ca="1">ROUND(C59+C64+C65+C66,0)</f>
        <v>46</v>
      </c>
      <c r="D58" s="1176" t="s">
        <v>1419</v>
      </c>
      <c r="E58" s="1177"/>
      <c r="F58" s="1178"/>
      <c r="I58" s="1918" t="s">
        <v>1554</v>
      </c>
      <c r="J58" s="1920">
        <f ca="1">IF(J55&lt;0.4,0.4,J55)</f>
        <v>0.4</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41.7</v>
      </c>
      <c r="D59" s="1179" t="s">
        <v>1424</v>
      </c>
      <c r="E59" s="1180" t="s">
        <v>1425</v>
      </c>
      <c r="F59" s="367">
        <f ca="1">IF(项目基本情况!B11="企业","",IF(INDIRECT("'数据-取费表'!c"&amp;$G$1)="住宅",5%,IF(F49*F50*F51/12/(1+'数据-取费表'!C42)&gt;20000,12%,7%)))</f>
        <v>7.0000000000000007E-2</v>
      </c>
      <c r="I59" s="1918" t="s">
        <v>1557</v>
      </c>
      <c r="J59" s="1919">
        <f ca="1">IF(OR(M47="住宅",J51&lt;L48,J56="是"),"——",ROUND(C29*J58,0))</f>
        <v>106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6">
        <f t="shared" ref="F60:F66" si="0">F32</f>
        <v>5.6000000000000001E-2</v>
      </c>
      <c r="I60" s="1921" t="s">
        <v>1559</v>
      </c>
      <c r="J60" s="1922">
        <f ca="1">IF(OR(M47="住宅",J51&lt;L48,J56="是"),"0",ROUND(J59/(1+J52)^J53,0))</f>
        <v>3</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IF(项目基本情况!B11="自然人","——",IF(D61="按租金收入计税",ROUND(C48*F61,2),IF(D61="按房产原值计税",ROUND(C57*F61*0.7,2),INDIRECT("'数据-取费表'!Aj"&amp;$G$1))))</f>
        <v>22.34</v>
      </c>
      <c r="D61" s="1825" t="s">
        <v>1432</v>
      </c>
      <c r="E61" s="1166"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1490</v>
      </c>
      <c r="C62" s="25">
        <f ca="1">IF(项目基本情况!B11="自然人","——",ROUND(F62*F63/10000,2))</f>
        <v>19.39</v>
      </c>
      <c r="D62" s="1181" t="s">
        <v>1491</v>
      </c>
      <c r="E62" s="1166" t="s">
        <v>1492</v>
      </c>
      <c r="F62" s="370">
        <f t="shared" si="0"/>
        <v>15</v>
      </c>
      <c r="I62" s="1925" t="s">
        <v>1564</v>
      </c>
      <c r="J62" s="1926" t="s">
        <v>1565</v>
      </c>
      <c r="K62" s="1926" t="s">
        <v>1566</v>
      </c>
      <c r="L62" s="1926" t="s">
        <v>1567</v>
      </c>
      <c r="M62" s="1927" t="s">
        <v>1568</v>
      </c>
      <c r="O62" s="1881" t="s">
        <v>1042</v>
      </c>
      <c r="P62" s="1882" t="s">
        <v>1569</v>
      </c>
      <c r="Q62" s="1883">
        <f ca="1">Q56+Q57</f>
        <v>2344</v>
      </c>
      <c r="R62" s="1883" t="s">
        <v>1043</v>
      </c>
    </row>
    <row r="63" spans="1:18" s="1839" customFormat="1" ht="13.8" thickBot="1">
      <c r="A63" s="371"/>
      <c r="B63" s="1172"/>
      <c r="C63" s="29"/>
      <c r="D63" s="1182"/>
      <c r="E63" s="1166" t="s">
        <v>1493</v>
      </c>
      <c r="F63" s="347">
        <f t="shared" ca="1" si="0"/>
        <v>12926.88</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ROUND(C57*F64,1)</f>
        <v>4</v>
      </c>
      <c r="D64" s="1180" t="s">
        <v>1496</v>
      </c>
      <c r="E64" s="1166"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0.4</v>
      </c>
      <c r="D65" s="1180" t="s">
        <v>1448</v>
      </c>
      <c r="E65" s="1166" t="s">
        <v>1449</v>
      </c>
      <c r="F65" s="375">
        <f t="shared" ca="1" si="0"/>
        <v>2E-3</v>
      </c>
      <c r="I65" s="1925" t="s">
        <v>1573</v>
      </c>
      <c r="J65" s="1926">
        <v>40</v>
      </c>
      <c r="K65" s="1926">
        <v>30</v>
      </c>
      <c r="L65" s="1926">
        <v>50</v>
      </c>
      <c r="M65" s="1928">
        <v>0.02</v>
      </c>
      <c r="O65" s="1881" t="s">
        <v>1036</v>
      </c>
      <c r="P65" s="1882" t="s">
        <v>1574</v>
      </c>
      <c r="Q65" s="1883">
        <f ca="1">C40+J29</f>
        <v>2344</v>
      </c>
      <c r="R65" s="1883" t="s">
        <v>1523</v>
      </c>
    </row>
    <row r="66" spans="1:18" s="1839" customFormat="1" ht="16.2" thickBot="1">
      <c r="A66" s="1198" t="s">
        <v>1498</v>
      </c>
      <c r="B66" s="1166" t="s">
        <v>1433</v>
      </c>
      <c r="C66" s="24">
        <f ca="1">ROUND(C48*F66,1)</f>
        <v>0</v>
      </c>
      <c r="D66" s="1180" t="s">
        <v>1499</v>
      </c>
      <c r="E66" s="1166" t="s">
        <v>1416</v>
      </c>
      <c r="F66" s="356">
        <f t="shared" ca="1" si="0"/>
        <v>1.4999999999999999E-2</v>
      </c>
      <c r="O66" s="1881" t="s">
        <v>1037</v>
      </c>
      <c r="P66" s="1882" t="s">
        <v>1552</v>
      </c>
      <c r="Q66" s="1883">
        <f ca="1">L60</f>
        <v>0</v>
      </c>
      <c r="R66" s="1883" t="s">
        <v>1575</v>
      </c>
    </row>
    <row r="67" spans="1:18" s="1839" customFormat="1" ht="24.6" thickBot="1">
      <c r="A67" s="1173" t="s">
        <v>1027</v>
      </c>
      <c r="B67" s="1183" t="s">
        <v>1457</v>
      </c>
      <c r="C67" s="360">
        <f ca="1">C48-C58</f>
        <v>-46</v>
      </c>
      <c r="D67" s="1179" t="s">
        <v>1458</v>
      </c>
      <c r="E67" s="1184"/>
      <c r="F67" s="1185"/>
      <c r="O67" s="1891" t="s">
        <v>1038</v>
      </c>
      <c r="P67" s="1882" t="s">
        <v>1556</v>
      </c>
      <c r="Q67" s="1929">
        <f ca="1">L51</f>
        <v>1319</v>
      </c>
      <c r="R67" s="1883" t="s">
        <v>1576</v>
      </c>
    </row>
    <row r="68" spans="1:18" s="1839" customFormat="1" ht="16.2" thickBot="1">
      <c r="A68" s="1163" t="s">
        <v>1028</v>
      </c>
      <c r="B68" s="1164" t="s">
        <v>1479</v>
      </c>
      <c r="C68" s="345">
        <f ca="1">ROUND(C67*(1-((1+F70)/(1+F68))^F69)/(F68-F70),0)</f>
        <v>-738</v>
      </c>
      <c r="D68" s="1181" t="s">
        <v>1463</v>
      </c>
      <c r="E68" s="1166" t="s">
        <v>1464</v>
      </c>
      <c r="F68" s="356">
        <f ca="1">F40</f>
        <v>5.5E-2</v>
      </c>
      <c r="O68" s="1891" t="s">
        <v>1039</v>
      </c>
      <c r="P68" s="1930" t="s">
        <v>1577</v>
      </c>
      <c r="Q68" s="1883">
        <f ca="1">ROUND(Q69-Q70*Q71,0)</f>
        <v>77</v>
      </c>
      <c r="R68" s="1883" t="s">
        <v>1047</v>
      </c>
    </row>
    <row r="69" spans="1:18" s="1839" customFormat="1" ht="13.8" thickBot="1">
      <c r="A69" s="1167"/>
      <c r="B69" s="1168"/>
      <c r="C69" s="350"/>
      <c r="D69" s="1186" t="s">
        <v>1467</v>
      </c>
      <c r="E69" s="1166" t="s">
        <v>1468</v>
      </c>
      <c r="F69" s="378">
        <f ca="1">F41</f>
        <v>40</v>
      </c>
      <c r="O69" s="1891" t="s">
        <v>1044</v>
      </c>
      <c r="P69" s="1930" t="s">
        <v>1578</v>
      </c>
      <c r="Q69" s="1883">
        <f ca="1">C39</f>
        <v>95</v>
      </c>
      <c r="R69" s="1883" t="s">
        <v>1523</v>
      </c>
    </row>
    <row r="70" spans="1:18" s="1839" customFormat="1" ht="13.8" thickBot="1">
      <c r="A70" s="1170"/>
      <c r="B70" s="1171"/>
      <c r="C70" s="354"/>
      <c r="D70" s="1182"/>
      <c r="E70" s="1166" t="s">
        <v>1471</v>
      </c>
      <c r="F70" s="1272"/>
      <c r="O70" s="1891" t="s">
        <v>1045</v>
      </c>
      <c r="P70" s="1930" t="s">
        <v>1579</v>
      </c>
      <c r="Q70" s="1883">
        <f ca="1">C13</f>
        <v>213</v>
      </c>
      <c r="R70" s="1883" t="s">
        <v>1523</v>
      </c>
    </row>
    <row r="71" spans="1:18" s="1839" customFormat="1" ht="13.8" thickBot="1">
      <c r="A71" s="1187" t="s">
        <v>1029</v>
      </c>
      <c r="B71" s="1188" t="s">
        <v>1481</v>
      </c>
      <c r="C71" s="381">
        <f ca="1">ROUND(C68*10000/F71,0)</f>
        <v>-16636</v>
      </c>
      <c r="D71" s="1189" t="s">
        <v>1482</v>
      </c>
      <c r="E71" s="1190" t="s">
        <v>1483</v>
      </c>
      <c r="F71" s="384">
        <f ca="1">F43</f>
        <v>443.61</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18</v>
      </c>
      <c r="D75" s="1839"/>
      <c r="E75" s="1839"/>
      <c r="F75" s="1839"/>
      <c r="K75" s="1865"/>
      <c r="L75" s="1839"/>
      <c r="O75" s="1881" t="s">
        <v>1042</v>
      </c>
      <c r="P75" s="1882" t="s">
        <v>1543</v>
      </c>
      <c r="Q75" s="1883">
        <f ca="1">Q65+Q66</f>
        <v>2344</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0.81099999999999994</v>
      </c>
    </row>
    <row r="80" spans="1:18">
      <c r="B80" s="385" t="s">
        <v>1505</v>
      </c>
      <c r="C80" s="317">
        <f ca="1">ROUND(C75/C39,3)</f>
        <v>0.189</v>
      </c>
    </row>
    <row r="81" spans="2:3">
      <c r="B81" s="313" t="s">
        <v>1506</v>
      </c>
      <c r="C81" s="281"/>
    </row>
    <row r="82" spans="2:3">
      <c r="B82" s="316" t="s">
        <v>1507</v>
      </c>
      <c r="C82" s="318">
        <f ca="1">1-C83</f>
        <v>0.90900000000000003</v>
      </c>
    </row>
    <row r="83" spans="2:3">
      <c r="B83" s="316" t="s">
        <v>1508</v>
      </c>
      <c r="C83" s="317">
        <f ca="1">ROUND(C13/C40,3)</f>
        <v>9.0999999999999998E-2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1605</v>
      </c>
    </row>
    <row r="2" spans="1:1">
      <c r="A2" s="1942"/>
    </row>
    <row r="3" spans="1:1" ht="17.399999999999999">
      <c r="A3" s="1943" t="str">
        <f>项目基本情况!B5&amp;"："</f>
        <v>：</v>
      </c>
    </row>
    <row r="4" spans="1:1" ht="17.399999999999999">
      <c r="A4" s="1944" t="str">
        <f>"受贵公司委托，我公司对"&amp;项目基本情况!S1&amp;"进行了预评估。"</f>
        <v>受贵公司委托，我公司对房地产抵押价值进行了预评估。</v>
      </c>
    </row>
    <row r="5" spans="1:1" ht="17.399999999999999">
      <c r="A5" s="1945" t="s">
        <v>1606</v>
      </c>
    </row>
    <row r="6" spans="1:1" ht="17.399999999999999">
      <c r="A6" s="1946" t="s">
        <v>1607</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估价对象为房地产，为所有。根据《国有土地使用证》[]，估价对象（分摊）出让国有建设用地使用权面积为14543平方米，建筑面积为499.07平方米。</v>
      </c>
    </row>
    <row r="8" spans="1:1" ht="54.6">
      <c r="A8" s="1947" t="s">
        <v>1608</v>
      </c>
    </row>
    <row r="9" spans="1:1" ht="17.399999999999999">
      <c r="A9" s="1946" t="s">
        <v>1609</v>
      </c>
    </row>
    <row r="10" spans="1:1" ht="52.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估价对象为房地产,属开发建设的，该项目尚在开发建设中。根据《国有土地使用证》[]，估价对象（分摊）出让国有建设用地使用权面积为14543平方米，规划建筑面积为499.07平方米。</v>
      </c>
    </row>
    <row r="11" spans="1:1" ht="72">
      <c r="A11" s="1947" t="s">
        <v>1610</v>
      </c>
    </row>
    <row r="12" spans="1:1" ht="17.399999999999999">
      <c r="A12" s="1945" t="s">
        <v>1611</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9" t="s">
        <v>1612</v>
      </c>
    </row>
    <row r="15" spans="1:1" ht="17.399999999999999">
      <c r="A15" s="1950" t="str">
        <f>TEXT(项目基本情况!D3,"yyyy年m月d日;;")&amp;IF(项目基本情况!D3=项目基本情况!B3,"（评估专业人员实地查勘之日）","")</f>
        <v>2020年1月15日（评估专业人员实地查勘之日）</v>
      </c>
    </row>
    <row r="16" spans="1:1" ht="17.399999999999999">
      <c r="A16" s="1949" t="s">
        <v>1613</v>
      </c>
    </row>
    <row r="17" spans="1:1" ht="69.599999999999994">
      <c r="A17" s="1944" t="s">
        <v>1614</v>
      </c>
    </row>
    <row r="18" spans="1:1" ht="52.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本次估价的“房地产价值”是指在正常市场情况下，在价值时点2020年1月15日，估价对象规划用途为，土地取得方式为划拨，假定未设立法定优先受偿款下的房地产市场价值。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1603</v>
      </c>
    </row>
    <row r="24" spans="1:1" ht="17.399999999999999">
      <c r="A24" s="1951" t="str">
        <f>"本次评估采用的主估价方法为"&amp;结果表!K4&amp;"和"&amp;结果表!L4&amp;"。"</f>
        <v>本次评估采用的主估价方法为比较法和收益法。</v>
      </c>
    </row>
    <row r="25" spans="1:1" ht="17.399999999999999">
      <c r="A25" s="1951"/>
    </row>
    <row r="26" spans="1:1" ht="17.399999999999999">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S524"/>
  <sheetViews>
    <sheetView zoomScale="90" zoomScaleNormal="90" workbookViewId="0">
      <pane ySplit="24" topLeftCell="A25" activePane="bottomLeft" state="frozen"/>
      <selection activeCell="C50" sqref="C50"/>
      <selection pane="bottomLeft" activeCell="T31" sqref="T31"/>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2"/>
    <col min="46" max="16384" width="9" style="138"/>
  </cols>
  <sheetData>
    <row r="1" spans="1:45" ht="14.25" customHeight="1" thickBot="1">
      <c r="A1" s="154"/>
      <c r="B1" s="1201" t="s">
        <v>3004</v>
      </c>
      <c r="C1" s="3302" t="s">
        <v>3005</v>
      </c>
      <c r="D1" s="3303"/>
      <c r="E1" s="3303"/>
      <c r="F1" s="3303"/>
      <c r="G1" s="3303"/>
      <c r="H1" s="3303"/>
      <c r="I1" s="3303"/>
      <c r="J1" s="3303"/>
      <c r="K1" s="3303"/>
      <c r="L1" s="3303"/>
      <c r="M1" s="3303"/>
      <c r="N1" s="3303"/>
      <c r="O1" s="3303"/>
      <c r="P1" s="3303"/>
      <c r="Q1" s="3303"/>
      <c r="R1" s="3303"/>
      <c r="S1" s="3304"/>
      <c r="T1" s="1201" t="s">
        <v>2877</v>
      </c>
    </row>
    <row r="2" spans="1:45" s="705" customFormat="1" ht="39.6">
      <c r="A2" s="1202"/>
      <c r="B2" s="701" t="s">
        <v>1868</v>
      </c>
      <c r="C2" s="702" t="str">
        <f t="shared" ref="C2:R2" si="0">C3&amp;"(含)"&amp;"-"&amp;D3</f>
        <v>0(含)-100</v>
      </c>
      <c r="D2" s="703" t="str">
        <f t="shared" si="0"/>
        <v>100(含)-200</v>
      </c>
      <c r="E2" s="703" t="str">
        <f t="shared" si="0"/>
        <v>200(含)-500</v>
      </c>
      <c r="F2" s="703" t="str">
        <f t="shared" si="0"/>
        <v>500(含)-1000</v>
      </c>
      <c r="G2" s="703" t="str">
        <f t="shared" si="0"/>
        <v>1000(含)-</v>
      </c>
      <c r="H2" s="703" t="str">
        <f t="shared" si="0"/>
        <v>(含)-</v>
      </c>
      <c r="I2" s="703" t="str">
        <f t="shared" si="0"/>
        <v>(含)-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1">
        <v>500</v>
      </c>
      <c r="G3" s="1701">
        <v>1000</v>
      </c>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99</v>
      </c>
      <c r="E4" s="1207">
        <v>98</v>
      </c>
      <c r="F4" s="1208">
        <v>97</v>
      </c>
      <c r="G4" s="1207">
        <v>96</v>
      </c>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85" t="s">
        <v>3102</v>
      </c>
      <c r="C5" s="2991" t="s">
        <v>3107</v>
      </c>
      <c r="D5" s="1214" t="s">
        <v>3104</v>
      </c>
      <c r="E5" s="1214"/>
      <c r="F5" s="1708"/>
      <c r="G5" s="1708"/>
      <c r="H5" s="1708"/>
      <c r="I5" s="1708"/>
      <c r="J5" s="1708"/>
      <c r="K5" s="1708"/>
      <c r="L5" s="1709"/>
      <c r="M5" s="1710"/>
      <c r="N5" s="1710"/>
      <c r="O5" s="1708"/>
      <c r="P5" s="1708"/>
      <c r="Q5" s="1708"/>
      <c r="R5" s="1708"/>
      <c r="S5" s="1711"/>
      <c r="T5" s="1216">
        <v>20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80</v>
      </c>
      <c r="E6" s="1116">
        <f t="shared" ref="E6:S6" si="1">D6-$T5</f>
        <v>60</v>
      </c>
      <c r="F6" s="1712">
        <f t="shared" si="1"/>
        <v>40</v>
      </c>
      <c r="G6" s="1712">
        <f t="shared" si="1"/>
        <v>20</v>
      </c>
      <c r="H6" s="1712">
        <f t="shared" si="1"/>
        <v>0</v>
      </c>
      <c r="I6" s="1712">
        <f t="shared" si="1"/>
        <v>-20</v>
      </c>
      <c r="J6" s="1712">
        <f t="shared" si="1"/>
        <v>-40</v>
      </c>
      <c r="K6" s="1712">
        <f t="shared" si="1"/>
        <v>-60</v>
      </c>
      <c r="L6" s="1712">
        <f t="shared" si="1"/>
        <v>-80</v>
      </c>
      <c r="M6" s="1712">
        <f t="shared" si="1"/>
        <v>-100</v>
      </c>
      <c r="N6" s="1712">
        <f t="shared" si="1"/>
        <v>-120</v>
      </c>
      <c r="O6" s="1712">
        <f t="shared" si="1"/>
        <v>-140</v>
      </c>
      <c r="P6" s="1712">
        <f t="shared" si="1"/>
        <v>-160</v>
      </c>
      <c r="Q6" s="1712">
        <f t="shared" si="1"/>
        <v>-180</v>
      </c>
      <c r="R6" s="1712">
        <f t="shared" si="1"/>
        <v>-200</v>
      </c>
      <c r="S6" s="1712">
        <f t="shared" si="1"/>
        <v>-220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3009</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2">
        <f t="shared" si="2"/>
        <v>100</v>
      </c>
      <c r="G8" s="1712">
        <f t="shared" si="2"/>
        <v>100</v>
      </c>
      <c r="H8" s="1712">
        <f t="shared" si="2"/>
        <v>100</v>
      </c>
      <c r="I8" s="1712">
        <f t="shared" si="2"/>
        <v>100</v>
      </c>
      <c r="J8" s="1712">
        <f t="shared" si="2"/>
        <v>100</v>
      </c>
      <c r="K8" s="1712">
        <f t="shared" si="2"/>
        <v>100</v>
      </c>
      <c r="L8" s="1712">
        <f t="shared" si="2"/>
        <v>100</v>
      </c>
      <c r="M8" s="1712">
        <f t="shared" si="2"/>
        <v>100</v>
      </c>
      <c r="N8" s="1712">
        <f t="shared" si="2"/>
        <v>100</v>
      </c>
      <c r="O8" s="1712">
        <f t="shared" si="2"/>
        <v>100</v>
      </c>
      <c r="P8" s="1712">
        <f t="shared" si="2"/>
        <v>100</v>
      </c>
      <c r="Q8" s="1712">
        <f t="shared" si="2"/>
        <v>100</v>
      </c>
      <c r="R8" s="1712">
        <f t="shared" si="2"/>
        <v>100</v>
      </c>
      <c r="S8" s="1712">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3010</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3011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3012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3013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3014</v>
      </c>
      <c r="B17" s="2908" t="s">
        <v>3015</v>
      </c>
      <c r="C17" s="2990" t="s">
        <v>3103</v>
      </c>
      <c r="D17" s="1229" t="s">
        <v>3105</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v>100</v>
      </c>
      <c r="D18" s="1241">
        <v>80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9" t="s">
        <v>3016</v>
      </c>
      <c r="E19" s="1789"/>
      <c r="F19" s="1789"/>
      <c r="G19" s="1789"/>
      <c r="H19" s="1277"/>
      <c r="I19" s="167"/>
      <c r="J19" s="167"/>
      <c r="K19" s="167"/>
      <c r="L19" s="167"/>
      <c r="M19" s="167"/>
      <c r="N19" s="167"/>
      <c r="O19" s="167"/>
      <c r="P19" s="167"/>
      <c r="Q19" s="167"/>
      <c r="R19" s="785"/>
      <c r="S19" s="137"/>
    </row>
    <row r="20" spans="1:45" ht="16.2" thickBot="1">
      <c r="A20" s="713" t="s">
        <v>3017</v>
      </c>
      <c r="B20" s="337">
        <f ca="1">IF(D20="——",S22,S22-F20)</f>
        <v>24941</v>
      </c>
      <c r="C20" s="167"/>
      <c r="D20" s="2910" t="s">
        <v>70</v>
      </c>
      <c r="E20" s="1790"/>
      <c r="F20" s="1201" t="e">
        <f ca="1">SUMIF(INDIRECT("'"&amp;H20&amp;"'"&amp;"!A:A"),"承租人权益价值",INDIRECT("'"&amp;H20&amp;"'"&amp;"!c:c"))</f>
        <v>#REF!</v>
      </c>
      <c r="G20" s="1201" t="s">
        <v>3018</v>
      </c>
      <c r="H20" s="2911"/>
      <c r="I20" s="167"/>
      <c r="J20" s="167"/>
      <c r="K20" s="167"/>
      <c r="L20" s="167"/>
      <c r="M20" s="167"/>
      <c r="N20" s="167"/>
      <c r="O20" s="167"/>
      <c r="P20" s="167"/>
      <c r="Q20" s="167"/>
      <c r="R20" s="785"/>
      <c r="S20" s="137"/>
    </row>
    <row r="21" spans="1:45" ht="15.6">
      <c r="A21" s="713" t="s">
        <v>3019</v>
      </c>
      <c r="B21" s="337">
        <f ca="1">R22</f>
        <v>52345</v>
      </c>
      <c r="C21" s="167"/>
      <c r="D21" s="167"/>
      <c r="E21" s="167"/>
      <c r="F21" s="167"/>
      <c r="G21" s="167"/>
      <c r="H21" s="167"/>
      <c r="I21" s="167"/>
      <c r="J21" s="167"/>
      <c r="K21" s="167"/>
      <c r="L21" s="167"/>
      <c r="M21" s="167"/>
      <c r="N21" s="167"/>
      <c r="O21" s="167"/>
      <c r="P21" s="167"/>
      <c r="Q21" s="167"/>
      <c r="R21" s="785"/>
      <c r="S21" s="137"/>
    </row>
    <row r="22" spans="1:45">
      <c r="A22" s="360" t="s">
        <v>3020</v>
      </c>
      <c r="B22" s="24">
        <f>SUM(B24:B10000)</f>
        <v>4764.72</v>
      </c>
      <c r="C22" s="3215" t="s">
        <v>33</v>
      </c>
      <c r="D22" s="3216"/>
      <c r="E22" s="3216"/>
      <c r="F22" s="3216"/>
      <c r="G22" s="3216"/>
      <c r="H22" s="3216"/>
      <c r="I22" s="3216"/>
      <c r="J22" s="3216"/>
      <c r="K22" s="3216"/>
      <c r="L22" s="3216"/>
      <c r="M22" s="3216"/>
      <c r="N22" s="3216"/>
      <c r="O22" s="3216"/>
      <c r="P22" s="3216"/>
      <c r="Q22" s="3305"/>
      <c r="R22" s="714">
        <f ca="1">ROUND(S22*10000/B22,0)</f>
        <v>52345</v>
      </c>
      <c r="S22" s="24">
        <f ca="1">SUM(S24:S10000)</f>
        <v>24941</v>
      </c>
    </row>
    <row r="23" spans="1:45" s="12" customFormat="1" ht="24">
      <c r="A23" s="11" t="s">
        <v>3021</v>
      </c>
      <c r="B23" s="11" t="s">
        <v>3022</v>
      </c>
      <c r="C23" s="11" t="s">
        <v>3023</v>
      </c>
      <c r="D23" s="11" t="str">
        <f>B5</f>
        <v>类型</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ht="15.6">
      <c r="A24" s="2988" t="s">
        <v>3069</v>
      </c>
      <c r="B24" s="2986">
        <v>443.61</v>
      </c>
      <c r="C24" s="717">
        <v>1</v>
      </c>
      <c r="D24" s="718"/>
      <c r="E24" s="717">
        <v>1</v>
      </c>
      <c r="F24" s="718"/>
      <c r="G24" s="717">
        <v>1</v>
      </c>
      <c r="H24" s="718"/>
      <c r="I24" s="717">
        <v>1</v>
      </c>
      <c r="J24" s="718"/>
      <c r="K24" s="717">
        <v>1</v>
      </c>
      <c r="L24" s="718"/>
      <c r="M24" s="717">
        <v>1</v>
      </c>
      <c r="N24" s="718"/>
      <c r="O24" s="717">
        <v>1</v>
      </c>
      <c r="P24" s="718" t="s">
        <v>3106</v>
      </c>
      <c r="Q24" s="717">
        <v>1</v>
      </c>
      <c r="R24" s="719">
        <f ca="1">结果表!G20</f>
        <v>52577</v>
      </c>
      <c r="S24" s="717">
        <f t="shared" ref="S24:S87" ca="1" si="5">ROUND(R24*B24/10000,0)</f>
        <v>2332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5.6">
      <c r="A25" s="2988" t="s">
        <v>3072</v>
      </c>
      <c r="B25" s="2983">
        <v>299.77999999999997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3106</v>
      </c>
      <c r="Q25" s="24">
        <f>(SUMIF($17:$17,P25,$18:$18)-SUMIF($17:$17,$P$24,$18:$18)+100)/100</f>
        <v>1</v>
      </c>
      <c r="R25" s="714">
        <f ca="1">IF(B25="",0,ROUND($R$24*C25*E25*G25*I25*K25*M25*O25*Q25,0))</f>
        <v>52577</v>
      </c>
      <c r="S25" s="360">
        <f t="shared" ca="1" si="5"/>
        <v>1576</v>
      </c>
    </row>
    <row r="26" spans="1:45" ht="15.6">
      <c r="A26" s="2988" t="s">
        <v>3073</v>
      </c>
      <c r="B26" s="2983">
        <v>309.8</v>
      </c>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3106</v>
      </c>
      <c r="Q26" s="24">
        <f t="shared" ref="Q26:Q89" si="13">(SUMIF($17:$17,P26,$18:$18)-SUMIF($17:$17,$P$24,$18:$18)+100)/100</f>
        <v>1</v>
      </c>
      <c r="R26" s="714">
        <f t="shared" ref="R26:R89" ca="1" si="14">IF(B26="",0,ROUND($R$24*C26*E26*G26*I26*K26*M26*O26*Q26,0))</f>
        <v>52577</v>
      </c>
      <c r="S26" s="360">
        <f t="shared" ca="1" si="5"/>
        <v>1629</v>
      </c>
    </row>
    <row r="27" spans="1:45" ht="15.6">
      <c r="A27" s="2988" t="s">
        <v>3074</v>
      </c>
      <c r="B27" s="2983">
        <v>454.19</v>
      </c>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t="s">
        <v>3106</v>
      </c>
      <c r="Q27" s="24">
        <f t="shared" si="13"/>
        <v>1</v>
      </c>
      <c r="R27" s="714">
        <f t="shared" ca="1" si="14"/>
        <v>52577</v>
      </c>
      <c r="S27" s="360">
        <f t="shared" ca="1" si="5"/>
        <v>2388</v>
      </c>
    </row>
    <row r="28" spans="1:45" ht="15.6">
      <c r="A28" s="2988" t="s">
        <v>3075</v>
      </c>
      <c r="B28" s="2983">
        <v>371.73</v>
      </c>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t="s">
        <v>3106</v>
      </c>
      <c r="Q28" s="24">
        <f t="shared" si="13"/>
        <v>1</v>
      </c>
      <c r="R28" s="714">
        <f t="shared" ca="1" si="14"/>
        <v>52577</v>
      </c>
      <c r="S28" s="360">
        <f t="shared" ca="1" si="5"/>
        <v>1954</v>
      </c>
    </row>
    <row r="29" spans="1:45" ht="15.6">
      <c r="A29" s="2988" t="s">
        <v>3076</v>
      </c>
      <c r="B29" s="2983">
        <v>379.79</v>
      </c>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t="s">
        <v>3106</v>
      </c>
      <c r="Q29" s="24">
        <f t="shared" si="13"/>
        <v>1</v>
      </c>
      <c r="R29" s="714">
        <f t="shared" ca="1" si="14"/>
        <v>52577</v>
      </c>
      <c r="S29" s="360">
        <f t="shared" ca="1" si="5"/>
        <v>1997</v>
      </c>
    </row>
    <row r="30" spans="1:45" ht="15.6">
      <c r="A30" s="2988" t="s">
        <v>3077</v>
      </c>
      <c r="B30" s="2983">
        <v>525.02</v>
      </c>
      <c r="C30" s="24">
        <f t="shared" si="6"/>
        <v>0.99</v>
      </c>
      <c r="D30" s="718"/>
      <c r="E30" s="24">
        <f t="shared" si="7"/>
        <v>1</v>
      </c>
      <c r="F30" s="718"/>
      <c r="G30" s="24">
        <f t="shared" si="8"/>
        <v>1</v>
      </c>
      <c r="H30" s="718"/>
      <c r="I30" s="24">
        <f t="shared" si="9"/>
        <v>1</v>
      </c>
      <c r="J30" s="718"/>
      <c r="K30" s="24">
        <f t="shared" si="10"/>
        <v>1</v>
      </c>
      <c r="L30" s="718"/>
      <c r="M30" s="24">
        <f t="shared" si="11"/>
        <v>1</v>
      </c>
      <c r="N30" s="718"/>
      <c r="O30" s="24">
        <f t="shared" si="12"/>
        <v>1</v>
      </c>
      <c r="P30" s="718" t="s">
        <v>3106</v>
      </c>
      <c r="Q30" s="24">
        <f t="shared" si="13"/>
        <v>1</v>
      </c>
      <c r="R30" s="714">
        <f t="shared" ca="1" si="14"/>
        <v>52051</v>
      </c>
      <c r="S30" s="360">
        <f t="shared" ca="1" si="5"/>
        <v>2733</v>
      </c>
    </row>
    <row r="31" spans="1:45" ht="15.6">
      <c r="A31" s="2988" t="s">
        <v>3078</v>
      </c>
      <c r="B31" s="2983">
        <v>419.8</v>
      </c>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t="s">
        <v>3106</v>
      </c>
      <c r="Q31" s="24">
        <f t="shared" si="13"/>
        <v>1</v>
      </c>
      <c r="R31" s="714">
        <f t="shared" ca="1" si="14"/>
        <v>52577</v>
      </c>
      <c r="S31" s="360">
        <f t="shared" ca="1" si="5"/>
        <v>2207</v>
      </c>
    </row>
    <row r="32" spans="1:45" ht="15.6">
      <c r="A32" s="2988" t="s">
        <v>3079</v>
      </c>
      <c r="B32" s="2983">
        <v>882.57</v>
      </c>
      <c r="C32" s="24">
        <f t="shared" si="6"/>
        <v>0.99</v>
      </c>
      <c r="D32" s="718"/>
      <c r="E32" s="24">
        <f t="shared" si="7"/>
        <v>1</v>
      </c>
      <c r="F32" s="718"/>
      <c r="G32" s="24">
        <f t="shared" si="8"/>
        <v>1</v>
      </c>
      <c r="H32" s="718"/>
      <c r="I32" s="24">
        <f t="shared" si="9"/>
        <v>1</v>
      </c>
      <c r="J32" s="718"/>
      <c r="K32" s="24">
        <f t="shared" si="10"/>
        <v>1</v>
      </c>
      <c r="L32" s="718"/>
      <c r="M32" s="24">
        <f t="shared" si="11"/>
        <v>1</v>
      </c>
      <c r="N32" s="718"/>
      <c r="O32" s="24">
        <f t="shared" si="12"/>
        <v>1</v>
      </c>
      <c r="P32" s="718" t="s">
        <v>3106</v>
      </c>
      <c r="Q32" s="24">
        <f t="shared" si="13"/>
        <v>1</v>
      </c>
      <c r="R32" s="714">
        <f t="shared" ca="1" si="14"/>
        <v>52051</v>
      </c>
      <c r="S32" s="360">
        <f t="shared" ca="1" si="5"/>
        <v>4594</v>
      </c>
    </row>
    <row r="33" spans="1:19" ht="15.6">
      <c r="A33" s="2988" t="s">
        <v>3080</v>
      </c>
      <c r="B33" s="2983">
        <v>678.43</v>
      </c>
      <c r="C33" s="24">
        <f t="shared" si="6"/>
        <v>0.99</v>
      </c>
      <c r="D33" s="718"/>
      <c r="E33" s="24">
        <f t="shared" si="7"/>
        <v>1</v>
      </c>
      <c r="F33" s="718"/>
      <c r="G33" s="24">
        <f t="shared" si="8"/>
        <v>1</v>
      </c>
      <c r="H33" s="718"/>
      <c r="I33" s="24">
        <f t="shared" si="9"/>
        <v>1</v>
      </c>
      <c r="J33" s="718"/>
      <c r="K33" s="24">
        <f t="shared" si="10"/>
        <v>1</v>
      </c>
      <c r="L33" s="718"/>
      <c r="M33" s="24">
        <f t="shared" si="11"/>
        <v>1</v>
      </c>
      <c r="N33" s="718"/>
      <c r="O33" s="24">
        <f t="shared" si="12"/>
        <v>1</v>
      </c>
      <c r="P33" s="718" t="s">
        <v>3106</v>
      </c>
      <c r="Q33" s="24">
        <f t="shared" si="13"/>
        <v>1</v>
      </c>
      <c r="R33" s="714">
        <f t="shared" ca="1" si="14"/>
        <v>52051</v>
      </c>
      <c r="S33" s="360">
        <f t="shared" ca="1" si="5"/>
        <v>3531</v>
      </c>
    </row>
    <row r="34" spans="1:19">
      <c r="A34" s="158">
        <v>505</v>
      </c>
      <c r="B34" s="59"/>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0.2</v>
      </c>
      <c r="R34" s="714">
        <f t="shared" si="14"/>
        <v>0</v>
      </c>
      <c r="S34" s="360">
        <f t="shared" si="5"/>
        <v>0</v>
      </c>
    </row>
    <row r="35" spans="1:19">
      <c r="A35" s="158">
        <v>506</v>
      </c>
      <c r="B35" s="59"/>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0.2</v>
      </c>
      <c r="R35" s="714">
        <f t="shared" si="14"/>
        <v>0</v>
      </c>
      <c r="S35" s="360">
        <f t="shared" si="5"/>
        <v>0</v>
      </c>
    </row>
    <row r="36" spans="1:19">
      <c r="A36" s="158">
        <v>507</v>
      </c>
      <c r="B36" s="59"/>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0.2</v>
      </c>
      <c r="R36" s="714">
        <f t="shared" si="14"/>
        <v>0</v>
      </c>
      <c r="S36" s="360">
        <f t="shared" si="5"/>
        <v>0</v>
      </c>
    </row>
    <row r="37" spans="1:19">
      <c r="A37" s="158">
        <v>508</v>
      </c>
      <c r="B37" s="59"/>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0.2</v>
      </c>
      <c r="R37" s="714">
        <f t="shared" si="14"/>
        <v>0</v>
      </c>
      <c r="S37" s="360">
        <f t="shared" si="5"/>
        <v>0</v>
      </c>
    </row>
    <row r="38" spans="1:19">
      <c r="A38" s="158">
        <v>601</v>
      </c>
      <c r="B38" s="59"/>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0.2</v>
      </c>
      <c r="R38" s="714">
        <f t="shared" si="14"/>
        <v>0</v>
      </c>
      <c r="S38" s="360">
        <f t="shared" si="5"/>
        <v>0</v>
      </c>
    </row>
    <row r="39" spans="1:19">
      <c r="A39" s="158">
        <v>602</v>
      </c>
      <c r="B39" s="59"/>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0.2</v>
      </c>
      <c r="R39" s="714">
        <f t="shared" si="14"/>
        <v>0</v>
      </c>
      <c r="S39" s="360">
        <f t="shared" si="5"/>
        <v>0</v>
      </c>
    </row>
    <row r="40" spans="1:19">
      <c r="A40" s="158">
        <v>603</v>
      </c>
      <c r="B40" s="59"/>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0.2</v>
      </c>
      <c r="R40" s="714">
        <f t="shared" si="14"/>
        <v>0</v>
      </c>
      <c r="S40" s="360">
        <f t="shared" si="5"/>
        <v>0</v>
      </c>
    </row>
    <row r="41" spans="1:19">
      <c r="A41" s="158">
        <v>605</v>
      </c>
      <c r="B41" s="59"/>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0.2</v>
      </c>
      <c r="R41" s="714">
        <f t="shared" si="14"/>
        <v>0</v>
      </c>
      <c r="S41" s="360">
        <f t="shared" si="5"/>
        <v>0</v>
      </c>
    </row>
    <row r="42" spans="1:19">
      <c r="A42" s="158">
        <v>606</v>
      </c>
      <c r="B42" s="59"/>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0.2</v>
      </c>
      <c r="R42" s="714">
        <f t="shared" si="14"/>
        <v>0</v>
      </c>
      <c r="S42" s="360">
        <f t="shared" si="5"/>
        <v>0</v>
      </c>
    </row>
    <row r="43" spans="1:19">
      <c r="A43" s="158">
        <v>607</v>
      </c>
      <c r="B43" s="59"/>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0.2</v>
      </c>
      <c r="R43" s="714">
        <f t="shared" si="14"/>
        <v>0</v>
      </c>
      <c r="S43" s="360">
        <f t="shared" si="5"/>
        <v>0</v>
      </c>
    </row>
    <row r="44" spans="1:19">
      <c r="A44" s="158">
        <v>608</v>
      </c>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0.2</v>
      </c>
      <c r="R44" s="714">
        <f t="shared" si="14"/>
        <v>0</v>
      </c>
      <c r="S44" s="360">
        <f t="shared" si="5"/>
        <v>0</v>
      </c>
    </row>
    <row r="45" spans="1:19">
      <c r="A45" s="158">
        <v>701</v>
      </c>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0.2</v>
      </c>
      <c r="R45" s="714">
        <f t="shared" si="14"/>
        <v>0</v>
      </c>
      <c r="S45" s="360">
        <f t="shared" si="5"/>
        <v>0</v>
      </c>
    </row>
    <row r="46" spans="1:19">
      <c r="A46" s="158">
        <v>702</v>
      </c>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0.2</v>
      </c>
      <c r="R46" s="714">
        <f t="shared" si="14"/>
        <v>0</v>
      </c>
      <c r="S46" s="360">
        <f t="shared" si="5"/>
        <v>0</v>
      </c>
    </row>
    <row r="47" spans="1:19">
      <c r="A47" s="158">
        <v>703</v>
      </c>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0.2</v>
      </c>
      <c r="R47" s="714">
        <f t="shared" si="14"/>
        <v>0</v>
      </c>
      <c r="S47" s="360">
        <f t="shared" si="5"/>
        <v>0</v>
      </c>
    </row>
    <row r="48" spans="1:19">
      <c r="A48" s="158">
        <v>705</v>
      </c>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0.2</v>
      </c>
      <c r="R48" s="714">
        <f t="shared" si="14"/>
        <v>0</v>
      </c>
      <c r="S48" s="360">
        <f t="shared" si="5"/>
        <v>0</v>
      </c>
    </row>
    <row r="49" spans="1:19">
      <c r="A49" s="158">
        <v>706</v>
      </c>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0.2</v>
      </c>
      <c r="R49" s="714">
        <f t="shared" si="14"/>
        <v>0</v>
      </c>
      <c r="S49" s="360">
        <f t="shared" si="5"/>
        <v>0</v>
      </c>
    </row>
    <row r="50" spans="1:19">
      <c r="A50" s="158">
        <v>707</v>
      </c>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0.2</v>
      </c>
      <c r="R50" s="714">
        <f t="shared" si="14"/>
        <v>0</v>
      </c>
      <c r="S50" s="360">
        <f t="shared" si="5"/>
        <v>0</v>
      </c>
    </row>
    <row r="51" spans="1:19">
      <c r="A51" s="158">
        <v>708</v>
      </c>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0.2</v>
      </c>
      <c r="R51" s="714">
        <f t="shared" si="14"/>
        <v>0</v>
      </c>
      <c r="S51" s="360">
        <f t="shared" si="5"/>
        <v>0</v>
      </c>
    </row>
    <row r="52" spans="1:19">
      <c r="A52" s="158">
        <v>801</v>
      </c>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0.2</v>
      </c>
      <c r="R52" s="714">
        <f t="shared" si="14"/>
        <v>0</v>
      </c>
      <c r="S52" s="360">
        <f t="shared" si="5"/>
        <v>0</v>
      </c>
    </row>
    <row r="53" spans="1:19">
      <c r="A53" s="158">
        <v>802</v>
      </c>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0.2</v>
      </c>
      <c r="R53" s="714">
        <f t="shared" si="14"/>
        <v>0</v>
      </c>
      <c r="S53" s="360">
        <f t="shared" si="5"/>
        <v>0</v>
      </c>
    </row>
    <row r="54" spans="1:19">
      <c r="A54" s="158">
        <v>803</v>
      </c>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0.2</v>
      </c>
      <c r="R54" s="714">
        <f t="shared" si="14"/>
        <v>0</v>
      </c>
      <c r="S54" s="360">
        <f t="shared" si="5"/>
        <v>0</v>
      </c>
    </row>
    <row r="55" spans="1:19">
      <c r="A55" s="158">
        <v>805</v>
      </c>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0.2</v>
      </c>
      <c r="R55" s="714">
        <f t="shared" si="14"/>
        <v>0</v>
      </c>
      <c r="S55" s="360">
        <f t="shared" si="5"/>
        <v>0</v>
      </c>
    </row>
    <row r="56" spans="1:19">
      <c r="A56" s="158">
        <v>806</v>
      </c>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0.2</v>
      </c>
      <c r="R56" s="714">
        <f t="shared" si="14"/>
        <v>0</v>
      </c>
      <c r="S56" s="360">
        <f t="shared" si="5"/>
        <v>0</v>
      </c>
    </row>
    <row r="57" spans="1:19">
      <c r="A57" s="158">
        <v>807</v>
      </c>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0.2</v>
      </c>
      <c r="R57" s="714">
        <f t="shared" si="14"/>
        <v>0</v>
      </c>
      <c r="S57" s="360">
        <f t="shared" si="5"/>
        <v>0</v>
      </c>
    </row>
    <row r="58" spans="1:19">
      <c r="A58" s="158">
        <v>808</v>
      </c>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0.2</v>
      </c>
      <c r="R58" s="714">
        <f t="shared" si="14"/>
        <v>0</v>
      </c>
      <c r="S58" s="360">
        <f t="shared" si="5"/>
        <v>0</v>
      </c>
    </row>
    <row r="59" spans="1:19">
      <c r="A59" s="158">
        <v>901</v>
      </c>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0.2</v>
      </c>
      <c r="R59" s="714">
        <f t="shared" si="14"/>
        <v>0</v>
      </c>
      <c r="S59" s="360">
        <f t="shared" si="5"/>
        <v>0</v>
      </c>
    </row>
    <row r="60" spans="1:19">
      <c r="A60" s="158">
        <v>902</v>
      </c>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0.2</v>
      </c>
      <c r="R60" s="714">
        <f t="shared" si="14"/>
        <v>0</v>
      </c>
      <c r="S60" s="360">
        <f t="shared" si="5"/>
        <v>0</v>
      </c>
    </row>
    <row r="61" spans="1:19">
      <c r="A61" s="158">
        <v>903</v>
      </c>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0.2</v>
      </c>
      <c r="R61" s="714">
        <f t="shared" si="14"/>
        <v>0</v>
      </c>
      <c r="S61" s="360">
        <f t="shared" si="5"/>
        <v>0</v>
      </c>
    </row>
    <row r="62" spans="1:19">
      <c r="A62" s="158">
        <v>905</v>
      </c>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0.2</v>
      </c>
      <c r="R62" s="714">
        <f t="shared" si="14"/>
        <v>0</v>
      </c>
      <c r="S62" s="360">
        <f t="shared" si="5"/>
        <v>0</v>
      </c>
    </row>
    <row r="63" spans="1:19">
      <c r="A63" s="158">
        <v>906</v>
      </c>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0.2</v>
      </c>
      <c r="R63" s="714">
        <f t="shared" si="14"/>
        <v>0</v>
      </c>
      <c r="S63" s="360">
        <f t="shared" si="5"/>
        <v>0</v>
      </c>
    </row>
    <row r="64" spans="1:19">
      <c r="A64" s="158">
        <v>907</v>
      </c>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0.2</v>
      </c>
      <c r="R64" s="714">
        <f t="shared" si="14"/>
        <v>0</v>
      </c>
      <c r="S64" s="360">
        <f t="shared" si="5"/>
        <v>0</v>
      </c>
    </row>
    <row r="65" spans="1:19">
      <c r="A65" s="158">
        <v>908</v>
      </c>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0.2</v>
      </c>
      <c r="R65" s="714">
        <f t="shared" si="14"/>
        <v>0</v>
      </c>
      <c r="S65" s="360">
        <f t="shared" si="5"/>
        <v>0</v>
      </c>
    </row>
    <row r="66" spans="1:19">
      <c r="A66" s="158">
        <v>1001</v>
      </c>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0.2</v>
      </c>
      <c r="R66" s="714">
        <f t="shared" si="14"/>
        <v>0</v>
      </c>
      <c r="S66" s="360">
        <f t="shared" si="5"/>
        <v>0</v>
      </c>
    </row>
    <row r="67" spans="1:19">
      <c r="A67" s="158">
        <v>1002</v>
      </c>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0.2</v>
      </c>
      <c r="R67" s="714">
        <f t="shared" si="14"/>
        <v>0</v>
      </c>
      <c r="S67" s="360">
        <f t="shared" si="5"/>
        <v>0</v>
      </c>
    </row>
    <row r="68" spans="1:19">
      <c r="A68" s="158">
        <v>1003</v>
      </c>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0.2</v>
      </c>
      <c r="R68" s="714">
        <f t="shared" si="14"/>
        <v>0</v>
      </c>
      <c r="S68" s="360">
        <f t="shared" si="5"/>
        <v>0</v>
      </c>
    </row>
    <row r="69" spans="1:19">
      <c r="A69" s="158">
        <v>1005</v>
      </c>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0.2</v>
      </c>
      <c r="R69" s="714">
        <f t="shared" si="14"/>
        <v>0</v>
      </c>
      <c r="S69" s="360">
        <f t="shared" si="5"/>
        <v>0</v>
      </c>
    </row>
    <row r="70" spans="1:19">
      <c r="A70" s="158">
        <v>1006</v>
      </c>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0.2</v>
      </c>
      <c r="R70" s="714">
        <f t="shared" si="14"/>
        <v>0</v>
      </c>
      <c r="S70" s="360">
        <f t="shared" si="5"/>
        <v>0</v>
      </c>
    </row>
    <row r="71" spans="1:19">
      <c r="A71" s="158">
        <v>1007</v>
      </c>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0.2</v>
      </c>
      <c r="R71" s="714">
        <f t="shared" si="14"/>
        <v>0</v>
      </c>
      <c r="S71" s="360">
        <f t="shared" si="5"/>
        <v>0</v>
      </c>
    </row>
    <row r="72" spans="1:19">
      <c r="A72" s="158">
        <v>1008</v>
      </c>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0.2</v>
      </c>
      <c r="R72" s="714">
        <f t="shared" si="14"/>
        <v>0</v>
      </c>
      <c r="S72" s="360">
        <f t="shared" si="5"/>
        <v>0</v>
      </c>
    </row>
    <row r="73" spans="1:19">
      <c r="A73" s="158">
        <v>1101</v>
      </c>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0.2</v>
      </c>
      <c r="R73" s="714">
        <f t="shared" si="14"/>
        <v>0</v>
      </c>
      <c r="S73" s="360">
        <f t="shared" si="5"/>
        <v>0</v>
      </c>
    </row>
    <row r="74" spans="1:19">
      <c r="A74" s="158">
        <v>1102</v>
      </c>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0.2</v>
      </c>
      <c r="R74" s="714">
        <f t="shared" si="14"/>
        <v>0</v>
      </c>
      <c r="S74" s="360">
        <f t="shared" si="5"/>
        <v>0</v>
      </c>
    </row>
    <row r="75" spans="1:19">
      <c r="A75" s="158">
        <v>1103</v>
      </c>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0.2</v>
      </c>
      <c r="R75" s="714">
        <f t="shared" si="14"/>
        <v>0</v>
      </c>
      <c r="S75" s="360">
        <f t="shared" si="5"/>
        <v>0</v>
      </c>
    </row>
    <row r="76" spans="1:19">
      <c r="A76" s="158">
        <v>1105</v>
      </c>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0.2</v>
      </c>
      <c r="R76" s="714">
        <f t="shared" si="14"/>
        <v>0</v>
      </c>
      <c r="S76" s="360">
        <f t="shared" si="5"/>
        <v>0</v>
      </c>
    </row>
    <row r="77" spans="1:19">
      <c r="A77" s="158">
        <v>1106</v>
      </c>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0.2</v>
      </c>
      <c r="R77" s="714">
        <f t="shared" si="14"/>
        <v>0</v>
      </c>
      <c r="S77" s="360">
        <f t="shared" si="5"/>
        <v>0</v>
      </c>
    </row>
    <row r="78" spans="1:19">
      <c r="A78" s="158">
        <v>1107</v>
      </c>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0.2</v>
      </c>
      <c r="R78" s="714">
        <f t="shared" si="14"/>
        <v>0</v>
      </c>
      <c r="S78" s="360">
        <f t="shared" si="5"/>
        <v>0</v>
      </c>
    </row>
    <row r="79" spans="1:19">
      <c r="A79" s="158">
        <v>1108</v>
      </c>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0.2</v>
      </c>
      <c r="R79" s="714">
        <f t="shared" si="14"/>
        <v>0</v>
      </c>
      <c r="S79" s="360">
        <f t="shared" si="5"/>
        <v>0</v>
      </c>
    </row>
    <row r="80" spans="1:19">
      <c r="A80" s="158">
        <v>1201</v>
      </c>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0.2</v>
      </c>
      <c r="R80" s="714">
        <f t="shared" si="14"/>
        <v>0</v>
      </c>
      <c r="S80" s="360">
        <f t="shared" si="5"/>
        <v>0</v>
      </c>
    </row>
    <row r="81" spans="1:19">
      <c r="A81" s="158">
        <v>1202</v>
      </c>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0.2</v>
      </c>
      <c r="R81" s="714">
        <f t="shared" si="14"/>
        <v>0</v>
      </c>
      <c r="S81" s="360">
        <f t="shared" si="5"/>
        <v>0</v>
      </c>
    </row>
    <row r="82" spans="1:19">
      <c r="A82" s="158">
        <v>1203</v>
      </c>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0.2</v>
      </c>
      <c r="R82" s="714">
        <f t="shared" si="14"/>
        <v>0</v>
      </c>
      <c r="S82" s="360">
        <f t="shared" si="5"/>
        <v>0</v>
      </c>
    </row>
    <row r="83" spans="1:19">
      <c r="A83" s="158">
        <v>1205</v>
      </c>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0.2</v>
      </c>
      <c r="R83" s="714">
        <f t="shared" si="14"/>
        <v>0</v>
      </c>
      <c r="S83" s="360">
        <f t="shared" si="5"/>
        <v>0</v>
      </c>
    </row>
    <row r="84" spans="1:19">
      <c r="A84" s="158">
        <v>1206</v>
      </c>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0.2</v>
      </c>
      <c r="R84" s="714">
        <f t="shared" si="14"/>
        <v>0</v>
      </c>
      <c r="S84" s="360">
        <f t="shared" si="5"/>
        <v>0</v>
      </c>
    </row>
    <row r="85" spans="1:19">
      <c r="A85" s="158">
        <v>1207</v>
      </c>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0.2</v>
      </c>
      <c r="R85" s="714">
        <f t="shared" si="14"/>
        <v>0</v>
      </c>
      <c r="S85" s="360">
        <f t="shared" si="5"/>
        <v>0</v>
      </c>
    </row>
    <row r="86" spans="1:19">
      <c r="A86" s="158">
        <v>1208</v>
      </c>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0.2</v>
      </c>
      <c r="R86" s="714">
        <f t="shared" si="14"/>
        <v>0</v>
      </c>
      <c r="S86" s="360">
        <f t="shared" si="5"/>
        <v>0</v>
      </c>
    </row>
    <row r="87" spans="1:19">
      <c r="A87" s="158">
        <v>1301</v>
      </c>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0.2</v>
      </c>
      <c r="R87" s="714">
        <f t="shared" si="14"/>
        <v>0</v>
      </c>
      <c r="S87" s="360">
        <f t="shared" si="5"/>
        <v>0</v>
      </c>
    </row>
    <row r="88" spans="1:19">
      <c r="A88" s="158">
        <v>1302</v>
      </c>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0.2</v>
      </c>
      <c r="R88" s="714">
        <f t="shared" si="14"/>
        <v>0</v>
      </c>
      <c r="S88" s="360">
        <f t="shared" ref="S88:S151" si="15">ROUND(R88*B88/10000,0)</f>
        <v>0</v>
      </c>
    </row>
    <row r="89" spans="1:19">
      <c r="A89" s="158">
        <v>1303</v>
      </c>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0.2</v>
      </c>
      <c r="R89" s="714">
        <f t="shared" si="14"/>
        <v>0</v>
      </c>
      <c r="S89" s="360">
        <f t="shared" si="15"/>
        <v>0</v>
      </c>
    </row>
    <row r="90" spans="1:19">
      <c r="A90" s="158">
        <v>1305</v>
      </c>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0.2</v>
      </c>
      <c r="R90" s="714">
        <f t="shared" ref="R90:R153" si="24">IF(B90="",0,ROUND($R$24*C90*E90*G90*I90*K90*M90*O90*Q90,0))</f>
        <v>0</v>
      </c>
      <c r="S90" s="360">
        <f t="shared" si="15"/>
        <v>0</v>
      </c>
    </row>
    <row r="91" spans="1:19">
      <c r="A91" s="158">
        <v>1306</v>
      </c>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0.2</v>
      </c>
      <c r="R91" s="714">
        <f t="shared" si="24"/>
        <v>0</v>
      </c>
      <c r="S91" s="360">
        <f t="shared" si="15"/>
        <v>0</v>
      </c>
    </row>
    <row r="92" spans="1:19">
      <c r="A92" s="158">
        <v>1307</v>
      </c>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0.2</v>
      </c>
      <c r="R92" s="714">
        <f t="shared" si="24"/>
        <v>0</v>
      </c>
      <c r="S92" s="360">
        <f t="shared" si="15"/>
        <v>0</v>
      </c>
    </row>
    <row r="93" spans="1:19">
      <c r="A93" s="158">
        <v>1308</v>
      </c>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0.2</v>
      </c>
      <c r="R93" s="714">
        <f t="shared" si="24"/>
        <v>0</v>
      </c>
      <c r="S93" s="360">
        <f t="shared" si="15"/>
        <v>0</v>
      </c>
    </row>
    <row r="94" spans="1:19">
      <c r="A94" s="158">
        <v>1501</v>
      </c>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0.2</v>
      </c>
      <c r="R94" s="714">
        <f t="shared" si="24"/>
        <v>0</v>
      </c>
      <c r="S94" s="360">
        <f t="shared" si="15"/>
        <v>0</v>
      </c>
    </row>
    <row r="95" spans="1:19">
      <c r="A95" s="158">
        <v>1502</v>
      </c>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0.2</v>
      </c>
      <c r="R95" s="714">
        <f t="shared" si="24"/>
        <v>0</v>
      </c>
      <c r="S95" s="360">
        <f t="shared" si="15"/>
        <v>0</v>
      </c>
    </row>
    <row r="96" spans="1:19">
      <c r="A96" s="158">
        <v>1503</v>
      </c>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0.2</v>
      </c>
      <c r="R96" s="714">
        <f t="shared" si="24"/>
        <v>0</v>
      </c>
      <c r="S96" s="360">
        <f t="shared" si="15"/>
        <v>0</v>
      </c>
    </row>
    <row r="97" spans="1:19">
      <c r="A97" s="158">
        <v>1505</v>
      </c>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0.2</v>
      </c>
      <c r="R97" s="714">
        <f t="shared" si="24"/>
        <v>0</v>
      </c>
      <c r="S97" s="360">
        <f t="shared" si="15"/>
        <v>0</v>
      </c>
    </row>
    <row r="98" spans="1:19">
      <c r="A98" s="158">
        <v>1506</v>
      </c>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0.2</v>
      </c>
      <c r="R98" s="714">
        <f t="shared" si="24"/>
        <v>0</v>
      </c>
      <c r="S98" s="360">
        <f t="shared" si="15"/>
        <v>0</v>
      </c>
    </row>
    <row r="99" spans="1:19">
      <c r="A99" s="158">
        <v>1507</v>
      </c>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0.2</v>
      </c>
      <c r="R99" s="714">
        <f t="shared" si="24"/>
        <v>0</v>
      </c>
      <c r="S99" s="360">
        <f t="shared" si="15"/>
        <v>0</v>
      </c>
    </row>
    <row r="100" spans="1:19">
      <c r="A100" s="158">
        <v>1508</v>
      </c>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0.2</v>
      </c>
      <c r="R100" s="714">
        <f t="shared" si="24"/>
        <v>0</v>
      </c>
      <c r="S100" s="360">
        <f t="shared" si="15"/>
        <v>0</v>
      </c>
    </row>
    <row r="101" spans="1:19">
      <c r="A101" s="158">
        <v>1601</v>
      </c>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0.2</v>
      </c>
      <c r="R101" s="714">
        <f t="shared" si="24"/>
        <v>0</v>
      </c>
      <c r="S101" s="360">
        <f t="shared" si="15"/>
        <v>0</v>
      </c>
    </row>
    <row r="102" spans="1:19">
      <c r="A102" s="158">
        <v>1602</v>
      </c>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0.2</v>
      </c>
      <c r="R102" s="714">
        <f t="shared" si="24"/>
        <v>0</v>
      </c>
      <c r="S102" s="360">
        <f t="shared" si="15"/>
        <v>0</v>
      </c>
    </row>
    <row r="103" spans="1:19">
      <c r="A103" s="158">
        <v>1603</v>
      </c>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0.2</v>
      </c>
      <c r="R103" s="714">
        <f t="shared" si="24"/>
        <v>0</v>
      </c>
      <c r="S103" s="360">
        <f t="shared" si="15"/>
        <v>0</v>
      </c>
    </row>
    <row r="104" spans="1:19">
      <c r="A104" s="158">
        <v>1605</v>
      </c>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0.2</v>
      </c>
      <c r="R104" s="714">
        <f t="shared" si="24"/>
        <v>0</v>
      </c>
      <c r="S104" s="360">
        <f t="shared" si="15"/>
        <v>0</v>
      </c>
    </row>
    <row r="105" spans="1:19">
      <c r="A105" s="158">
        <v>1606</v>
      </c>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0.2</v>
      </c>
      <c r="R105" s="714">
        <f t="shared" si="24"/>
        <v>0</v>
      </c>
      <c r="S105" s="360">
        <f t="shared" si="15"/>
        <v>0</v>
      </c>
    </row>
    <row r="106" spans="1:19">
      <c r="A106" s="158">
        <v>1607</v>
      </c>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0.2</v>
      </c>
      <c r="R106" s="714">
        <f t="shared" si="24"/>
        <v>0</v>
      </c>
      <c r="S106" s="360">
        <f t="shared" si="15"/>
        <v>0</v>
      </c>
    </row>
    <row r="107" spans="1:19">
      <c r="A107" s="158">
        <v>1608</v>
      </c>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0.2</v>
      </c>
      <c r="R107" s="714">
        <f t="shared" si="24"/>
        <v>0</v>
      </c>
      <c r="S107" s="360">
        <f t="shared" si="15"/>
        <v>0</v>
      </c>
    </row>
    <row r="108" spans="1:19">
      <c r="A108" s="158">
        <v>1701</v>
      </c>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0.2</v>
      </c>
      <c r="R108" s="714">
        <f t="shared" si="24"/>
        <v>0</v>
      </c>
      <c r="S108" s="360">
        <f t="shared" si="15"/>
        <v>0</v>
      </c>
    </row>
    <row r="109" spans="1:19">
      <c r="A109" s="158">
        <v>1702</v>
      </c>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0.2</v>
      </c>
      <c r="R109" s="714">
        <f t="shared" si="24"/>
        <v>0</v>
      </c>
      <c r="S109" s="360">
        <f t="shared" si="15"/>
        <v>0</v>
      </c>
    </row>
    <row r="110" spans="1:19">
      <c r="A110" s="158">
        <v>1703</v>
      </c>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0.2</v>
      </c>
      <c r="R110" s="714">
        <f t="shared" si="24"/>
        <v>0</v>
      </c>
      <c r="S110" s="360">
        <f t="shared" si="15"/>
        <v>0</v>
      </c>
    </row>
    <row r="111" spans="1:19">
      <c r="A111" s="158">
        <v>1705</v>
      </c>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0.2</v>
      </c>
      <c r="R111" s="714">
        <f t="shared" si="24"/>
        <v>0</v>
      </c>
      <c r="S111" s="360">
        <f t="shared" si="15"/>
        <v>0</v>
      </c>
    </row>
    <row r="112" spans="1:19">
      <c r="A112" s="158">
        <v>1706</v>
      </c>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0.2</v>
      </c>
      <c r="R112" s="714">
        <f t="shared" si="24"/>
        <v>0</v>
      </c>
      <c r="S112" s="360">
        <f t="shared" si="15"/>
        <v>0</v>
      </c>
    </row>
    <row r="113" spans="1:19">
      <c r="A113" s="158">
        <v>1707</v>
      </c>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0.2</v>
      </c>
      <c r="R113" s="714">
        <f t="shared" si="24"/>
        <v>0</v>
      </c>
      <c r="S113" s="360">
        <f t="shared" si="15"/>
        <v>0</v>
      </c>
    </row>
    <row r="114" spans="1:19">
      <c r="A114" s="158">
        <v>1708</v>
      </c>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0.2</v>
      </c>
      <c r="R114" s="714">
        <f t="shared" si="24"/>
        <v>0</v>
      </c>
      <c r="S114" s="360">
        <f t="shared" si="15"/>
        <v>0</v>
      </c>
    </row>
    <row r="115" spans="1:19">
      <c r="A115" s="158">
        <v>1801</v>
      </c>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0.2</v>
      </c>
      <c r="R115" s="714">
        <f t="shared" si="24"/>
        <v>0</v>
      </c>
      <c r="S115" s="360">
        <f t="shared" si="15"/>
        <v>0</v>
      </c>
    </row>
    <row r="116" spans="1:19">
      <c r="A116" s="158">
        <v>1802</v>
      </c>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0.2</v>
      </c>
      <c r="R116" s="714">
        <f t="shared" si="24"/>
        <v>0</v>
      </c>
      <c r="S116" s="360">
        <f t="shared" si="15"/>
        <v>0</v>
      </c>
    </row>
    <row r="117" spans="1:19">
      <c r="A117" s="158">
        <v>1803</v>
      </c>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0.2</v>
      </c>
      <c r="R117" s="714">
        <f t="shared" si="24"/>
        <v>0</v>
      </c>
      <c r="S117" s="360">
        <f t="shared" si="15"/>
        <v>0</v>
      </c>
    </row>
    <row r="118" spans="1:19">
      <c r="A118" s="158">
        <v>1805</v>
      </c>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0.2</v>
      </c>
      <c r="R118" s="714">
        <f t="shared" si="24"/>
        <v>0</v>
      </c>
      <c r="S118" s="360">
        <f t="shared" si="15"/>
        <v>0</v>
      </c>
    </row>
    <row r="119" spans="1:19">
      <c r="A119" s="158">
        <v>1806</v>
      </c>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0.2</v>
      </c>
      <c r="R119" s="714">
        <f t="shared" si="24"/>
        <v>0</v>
      </c>
      <c r="S119" s="360">
        <f t="shared" si="15"/>
        <v>0</v>
      </c>
    </row>
    <row r="120" spans="1:19">
      <c r="A120" s="158">
        <v>1807</v>
      </c>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0.2</v>
      </c>
      <c r="R120" s="714">
        <f t="shared" si="24"/>
        <v>0</v>
      </c>
      <c r="S120" s="360">
        <f t="shared" si="15"/>
        <v>0</v>
      </c>
    </row>
    <row r="121" spans="1:19">
      <c r="A121" s="158">
        <v>1808</v>
      </c>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0.2</v>
      </c>
      <c r="R121" s="714">
        <f t="shared" si="24"/>
        <v>0</v>
      </c>
      <c r="S121" s="360">
        <f t="shared" si="15"/>
        <v>0</v>
      </c>
    </row>
    <row r="122" spans="1:19">
      <c r="A122" s="158">
        <v>1901</v>
      </c>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0.2</v>
      </c>
      <c r="R122" s="714">
        <f t="shared" si="24"/>
        <v>0</v>
      </c>
      <c r="S122" s="360">
        <f t="shared" si="15"/>
        <v>0</v>
      </c>
    </row>
    <row r="123" spans="1:19">
      <c r="A123" s="158">
        <v>1902</v>
      </c>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0.2</v>
      </c>
      <c r="R123" s="714">
        <f t="shared" si="24"/>
        <v>0</v>
      </c>
      <c r="S123" s="360">
        <f t="shared" si="15"/>
        <v>0</v>
      </c>
    </row>
    <row r="124" spans="1:19">
      <c r="A124" s="158">
        <v>1903</v>
      </c>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0.2</v>
      </c>
      <c r="R124" s="714">
        <f t="shared" si="24"/>
        <v>0</v>
      </c>
      <c r="S124" s="360">
        <f t="shared" si="15"/>
        <v>0</v>
      </c>
    </row>
    <row r="125" spans="1:19">
      <c r="A125" s="158">
        <v>1905</v>
      </c>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0.2</v>
      </c>
      <c r="R125" s="714">
        <f t="shared" si="24"/>
        <v>0</v>
      </c>
      <c r="S125" s="360">
        <f t="shared" si="15"/>
        <v>0</v>
      </c>
    </row>
    <row r="126" spans="1:19">
      <c r="A126" s="158">
        <v>1906</v>
      </c>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0.2</v>
      </c>
      <c r="R126" s="714">
        <f t="shared" si="24"/>
        <v>0</v>
      </c>
      <c r="S126" s="360">
        <f t="shared" si="15"/>
        <v>0</v>
      </c>
    </row>
    <row r="127" spans="1:19">
      <c r="A127" s="158">
        <v>1907</v>
      </c>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0.2</v>
      </c>
      <c r="R127" s="714">
        <f t="shared" si="24"/>
        <v>0</v>
      </c>
      <c r="S127" s="360">
        <f t="shared" si="15"/>
        <v>0</v>
      </c>
    </row>
    <row r="128" spans="1:19">
      <c r="A128" s="158">
        <v>1908</v>
      </c>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0.2</v>
      </c>
      <c r="R128" s="714">
        <f t="shared" si="24"/>
        <v>0</v>
      </c>
      <c r="S128" s="360">
        <f t="shared" si="15"/>
        <v>0</v>
      </c>
    </row>
    <row r="129" spans="1:19">
      <c r="A129" s="158">
        <v>2001</v>
      </c>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0.2</v>
      </c>
      <c r="R129" s="714">
        <f t="shared" si="24"/>
        <v>0</v>
      </c>
      <c r="S129" s="360">
        <f t="shared" si="15"/>
        <v>0</v>
      </c>
    </row>
    <row r="130" spans="1:19">
      <c r="A130" s="158">
        <v>2002</v>
      </c>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0.2</v>
      </c>
      <c r="R130" s="714">
        <f t="shared" si="24"/>
        <v>0</v>
      </c>
      <c r="S130" s="360">
        <f t="shared" si="15"/>
        <v>0</v>
      </c>
    </row>
    <row r="131" spans="1:19">
      <c r="A131" s="158">
        <v>2003</v>
      </c>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0.2</v>
      </c>
      <c r="R131" s="714">
        <f t="shared" si="24"/>
        <v>0</v>
      </c>
      <c r="S131" s="360">
        <f t="shared" si="15"/>
        <v>0</v>
      </c>
    </row>
    <row r="132" spans="1:19">
      <c r="A132" s="158">
        <v>2005</v>
      </c>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0.2</v>
      </c>
      <c r="R132" s="714">
        <f t="shared" si="24"/>
        <v>0</v>
      </c>
      <c r="S132" s="360">
        <f t="shared" si="15"/>
        <v>0</v>
      </c>
    </row>
    <row r="133" spans="1:19">
      <c r="A133" s="158">
        <v>2006</v>
      </c>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0.2</v>
      </c>
      <c r="R133" s="714">
        <f t="shared" si="24"/>
        <v>0</v>
      </c>
      <c r="S133" s="360">
        <f t="shared" si="15"/>
        <v>0</v>
      </c>
    </row>
    <row r="134" spans="1:19">
      <c r="A134" s="158">
        <v>2007</v>
      </c>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0.2</v>
      </c>
      <c r="R134" s="714">
        <f t="shared" si="24"/>
        <v>0</v>
      </c>
      <c r="S134" s="360">
        <f t="shared" si="15"/>
        <v>0</v>
      </c>
    </row>
    <row r="135" spans="1:19">
      <c r="A135" s="158">
        <v>2008</v>
      </c>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0.2</v>
      </c>
      <c r="R135" s="714">
        <f t="shared" si="24"/>
        <v>0</v>
      </c>
      <c r="S135" s="360">
        <f t="shared" si="15"/>
        <v>0</v>
      </c>
    </row>
    <row r="136" spans="1:19">
      <c r="A136" s="158">
        <v>2101</v>
      </c>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0.2</v>
      </c>
      <c r="R136" s="714">
        <f t="shared" si="24"/>
        <v>0</v>
      </c>
      <c r="S136" s="360">
        <f t="shared" si="15"/>
        <v>0</v>
      </c>
    </row>
    <row r="137" spans="1:19">
      <c r="A137" s="158">
        <v>2102</v>
      </c>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0.2</v>
      </c>
      <c r="R137" s="714">
        <f t="shared" si="24"/>
        <v>0</v>
      </c>
      <c r="S137" s="360">
        <f t="shared" si="15"/>
        <v>0</v>
      </c>
    </row>
    <row r="138" spans="1:19">
      <c r="A138" s="158">
        <v>2103</v>
      </c>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0.2</v>
      </c>
      <c r="R138" s="714">
        <f t="shared" si="24"/>
        <v>0</v>
      </c>
      <c r="S138" s="360">
        <f t="shared" si="15"/>
        <v>0</v>
      </c>
    </row>
    <row r="139" spans="1:19">
      <c r="A139" s="158">
        <v>2105</v>
      </c>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0.2</v>
      </c>
      <c r="R139" s="714">
        <f t="shared" si="24"/>
        <v>0</v>
      </c>
      <c r="S139" s="360">
        <f t="shared" si="15"/>
        <v>0</v>
      </c>
    </row>
    <row r="140" spans="1:19">
      <c r="A140" s="158">
        <v>2106</v>
      </c>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0.2</v>
      </c>
      <c r="R140" s="714">
        <f t="shared" si="24"/>
        <v>0</v>
      </c>
      <c r="S140" s="360">
        <f t="shared" si="15"/>
        <v>0</v>
      </c>
    </row>
    <row r="141" spans="1:19">
      <c r="A141" s="158">
        <v>2107</v>
      </c>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0.2</v>
      </c>
      <c r="R141" s="714">
        <f t="shared" si="24"/>
        <v>0</v>
      </c>
      <c r="S141" s="360">
        <f t="shared" si="15"/>
        <v>0</v>
      </c>
    </row>
    <row r="142" spans="1:19">
      <c r="A142" s="158">
        <v>2108</v>
      </c>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0.2</v>
      </c>
      <c r="R142" s="714">
        <f t="shared" si="24"/>
        <v>0</v>
      </c>
      <c r="S142" s="360">
        <f t="shared" si="15"/>
        <v>0</v>
      </c>
    </row>
    <row r="143" spans="1:19">
      <c r="A143" s="158">
        <v>2201</v>
      </c>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0.2</v>
      </c>
      <c r="R143" s="714">
        <f t="shared" si="24"/>
        <v>0</v>
      </c>
      <c r="S143" s="360">
        <f t="shared" si="15"/>
        <v>0</v>
      </c>
    </row>
    <row r="144" spans="1:19">
      <c r="A144" s="158">
        <v>2202</v>
      </c>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0.2</v>
      </c>
      <c r="R144" s="714">
        <f t="shared" si="24"/>
        <v>0</v>
      </c>
      <c r="S144" s="360">
        <f t="shared" si="15"/>
        <v>0</v>
      </c>
    </row>
    <row r="145" spans="1:19">
      <c r="A145" s="158">
        <v>2203</v>
      </c>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0.2</v>
      </c>
      <c r="R145" s="714">
        <f t="shared" si="24"/>
        <v>0</v>
      </c>
      <c r="S145" s="360">
        <f t="shared" si="15"/>
        <v>0</v>
      </c>
    </row>
    <row r="146" spans="1:19">
      <c r="A146" s="158">
        <v>2205</v>
      </c>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0.2</v>
      </c>
      <c r="R146" s="714">
        <f t="shared" si="24"/>
        <v>0</v>
      </c>
      <c r="S146" s="360">
        <f t="shared" si="15"/>
        <v>0</v>
      </c>
    </row>
    <row r="147" spans="1:19">
      <c r="A147" s="158">
        <v>2206</v>
      </c>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0.2</v>
      </c>
      <c r="R147" s="714">
        <f t="shared" si="24"/>
        <v>0</v>
      </c>
      <c r="S147" s="360">
        <f t="shared" si="15"/>
        <v>0</v>
      </c>
    </row>
    <row r="148" spans="1:19">
      <c r="A148" s="158">
        <v>2207</v>
      </c>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0.2</v>
      </c>
      <c r="R148" s="714">
        <f t="shared" si="24"/>
        <v>0</v>
      </c>
      <c r="S148" s="360">
        <f t="shared" si="15"/>
        <v>0</v>
      </c>
    </row>
    <row r="149" spans="1:19">
      <c r="A149" s="158">
        <v>2208</v>
      </c>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0.2</v>
      </c>
      <c r="R149" s="714">
        <f t="shared" si="24"/>
        <v>0</v>
      </c>
      <c r="S149" s="360">
        <f t="shared" si="15"/>
        <v>0</v>
      </c>
    </row>
    <row r="150" spans="1:19">
      <c r="A150" s="158">
        <v>2301</v>
      </c>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0.2</v>
      </c>
      <c r="R150" s="714">
        <f t="shared" si="24"/>
        <v>0</v>
      </c>
      <c r="S150" s="360">
        <f t="shared" si="15"/>
        <v>0</v>
      </c>
    </row>
    <row r="151" spans="1:19">
      <c r="A151" s="158">
        <v>2302</v>
      </c>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0.2</v>
      </c>
      <c r="R151" s="714">
        <f t="shared" si="24"/>
        <v>0</v>
      </c>
      <c r="S151" s="360">
        <f t="shared" si="15"/>
        <v>0</v>
      </c>
    </row>
    <row r="152" spans="1:19">
      <c r="A152" s="158">
        <v>2303</v>
      </c>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0.2</v>
      </c>
      <c r="R152" s="714">
        <f t="shared" si="24"/>
        <v>0</v>
      </c>
      <c r="S152" s="360">
        <f t="shared" ref="S152:S215" si="25">ROUND(R152*B152/10000,0)</f>
        <v>0</v>
      </c>
    </row>
    <row r="153" spans="1:19">
      <c r="A153" s="158">
        <v>2305</v>
      </c>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0.2</v>
      </c>
      <c r="R153" s="714">
        <f t="shared" si="24"/>
        <v>0</v>
      </c>
      <c r="S153" s="360">
        <f t="shared" si="25"/>
        <v>0</v>
      </c>
    </row>
    <row r="154" spans="1:19">
      <c r="A154" s="158">
        <v>2306</v>
      </c>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0.2</v>
      </c>
      <c r="R154" s="714">
        <f t="shared" ref="R154:R217" si="34">IF(B154="",0,ROUND($R$24*C154*E154*G154*I154*K154*M154*O154*Q154,0))</f>
        <v>0</v>
      </c>
      <c r="S154" s="360">
        <f t="shared" si="25"/>
        <v>0</v>
      </c>
    </row>
    <row r="155" spans="1:19">
      <c r="A155" s="158">
        <v>2307</v>
      </c>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0.2</v>
      </c>
      <c r="R155" s="714">
        <f t="shared" si="34"/>
        <v>0</v>
      </c>
      <c r="S155" s="360">
        <f t="shared" si="25"/>
        <v>0</v>
      </c>
    </row>
    <row r="156" spans="1:19">
      <c r="A156" s="158">
        <v>2308</v>
      </c>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0.2</v>
      </c>
      <c r="R156" s="714">
        <f t="shared" si="34"/>
        <v>0</v>
      </c>
      <c r="S156" s="360">
        <f t="shared" si="25"/>
        <v>0</v>
      </c>
    </row>
    <row r="157" spans="1:19">
      <c r="A157" s="158">
        <v>2501</v>
      </c>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0.2</v>
      </c>
      <c r="R157" s="714">
        <f t="shared" si="34"/>
        <v>0</v>
      </c>
      <c r="S157" s="360">
        <f t="shared" si="25"/>
        <v>0</v>
      </c>
    </row>
    <row r="158" spans="1:19">
      <c r="A158" s="158">
        <v>2502</v>
      </c>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0.2</v>
      </c>
      <c r="R158" s="714">
        <f t="shared" si="34"/>
        <v>0</v>
      </c>
      <c r="S158" s="360">
        <f t="shared" si="25"/>
        <v>0</v>
      </c>
    </row>
    <row r="159" spans="1:19">
      <c r="A159" s="158">
        <v>2503</v>
      </c>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0.2</v>
      </c>
      <c r="R159" s="714">
        <f t="shared" si="34"/>
        <v>0</v>
      </c>
      <c r="S159" s="360">
        <f t="shared" si="25"/>
        <v>0</v>
      </c>
    </row>
    <row r="160" spans="1:19">
      <c r="A160" s="158">
        <v>2505</v>
      </c>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0.2</v>
      </c>
      <c r="R160" s="714">
        <f t="shared" si="34"/>
        <v>0</v>
      </c>
      <c r="S160" s="360">
        <f t="shared" si="25"/>
        <v>0</v>
      </c>
    </row>
    <row r="161" spans="1:19">
      <c r="A161" s="158">
        <v>2506</v>
      </c>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0.2</v>
      </c>
      <c r="R161" s="714">
        <f t="shared" si="34"/>
        <v>0</v>
      </c>
      <c r="S161" s="360">
        <f t="shared" si="25"/>
        <v>0</v>
      </c>
    </row>
    <row r="162" spans="1:19">
      <c r="A162" s="158">
        <v>2507</v>
      </c>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0.2</v>
      </c>
      <c r="R162" s="714">
        <f t="shared" si="34"/>
        <v>0</v>
      </c>
      <c r="S162" s="360">
        <f t="shared" si="25"/>
        <v>0</v>
      </c>
    </row>
    <row r="163" spans="1:19">
      <c r="A163" s="158">
        <v>2508</v>
      </c>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0.2</v>
      </c>
      <c r="R163" s="714">
        <f t="shared" si="34"/>
        <v>0</v>
      </c>
      <c r="S163" s="360">
        <f t="shared" si="25"/>
        <v>0</v>
      </c>
    </row>
    <row r="164" spans="1:19">
      <c r="A164" s="158">
        <v>2601</v>
      </c>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0.2</v>
      </c>
      <c r="R164" s="714">
        <f t="shared" si="34"/>
        <v>0</v>
      </c>
      <c r="S164" s="360">
        <f t="shared" si="25"/>
        <v>0</v>
      </c>
    </row>
    <row r="165" spans="1:19">
      <c r="A165" s="158">
        <v>2602</v>
      </c>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0.2</v>
      </c>
      <c r="R165" s="714">
        <f t="shared" si="34"/>
        <v>0</v>
      </c>
      <c r="S165" s="360">
        <f t="shared" si="25"/>
        <v>0</v>
      </c>
    </row>
    <row r="166" spans="1:19">
      <c r="A166" s="158">
        <v>2603</v>
      </c>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0.2</v>
      </c>
      <c r="R166" s="714">
        <f t="shared" si="34"/>
        <v>0</v>
      </c>
      <c r="S166" s="360">
        <f t="shared" si="25"/>
        <v>0</v>
      </c>
    </row>
    <row r="167" spans="1:19">
      <c r="A167" s="158">
        <v>2605</v>
      </c>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0.2</v>
      </c>
      <c r="R167" s="714">
        <f t="shared" si="34"/>
        <v>0</v>
      </c>
      <c r="S167" s="360">
        <f t="shared" si="25"/>
        <v>0</v>
      </c>
    </row>
    <row r="168" spans="1:19">
      <c r="A168" s="158">
        <v>2606</v>
      </c>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0.2</v>
      </c>
      <c r="R168" s="714">
        <f t="shared" si="34"/>
        <v>0</v>
      </c>
      <c r="S168" s="360">
        <f t="shared" si="25"/>
        <v>0</v>
      </c>
    </row>
    <row r="169" spans="1:19">
      <c r="A169" s="158">
        <v>2607</v>
      </c>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0.2</v>
      </c>
      <c r="R169" s="714">
        <f t="shared" si="34"/>
        <v>0</v>
      </c>
      <c r="S169" s="360">
        <f t="shared" si="25"/>
        <v>0</v>
      </c>
    </row>
    <row r="170" spans="1:19">
      <c r="A170" s="158">
        <v>2608</v>
      </c>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0.2</v>
      </c>
      <c r="R170" s="714">
        <f t="shared" si="34"/>
        <v>0</v>
      </c>
      <c r="S170" s="360">
        <f t="shared" si="25"/>
        <v>0</v>
      </c>
    </row>
    <row r="171" spans="1:19">
      <c r="A171" s="158">
        <v>2701</v>
      </c>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0.2</v>
      </c>
      <c r="R171" s="714">
        <f t="shared" si="34"/>
        <v>0</v>
      </c>
      <c r="S171" s="360">
        <f t="shared" si="25"/>
        <v>0</v>
      </c>
    </row>
    <row r="172" spans="1:19">
      <c r="A172" s="158">
        <v>2702</v>
      </c>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0.2</v>
      </c>
      <c r="R172" s="714">
        <f t="shared" si="34"/>
        <v>0</v>
      </c>
      <c r="S172" s="360">
        <f t="shared" si="25"/>
        <v>0</v>
      </c>
    </row>
    <row r="173" spans="1:19">
      <c r="A173" s="158">
        <v>2703</v>
      </c>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0.2</v>
      </c>
      <c r="R173" s="714">
        <f t="shared" si="34"/>
        <v>0</v>
      </c>
      <c r="S173" s="360">
        <f t="shared" si="25"/>
        <v>0</v>
      </c>
    </row>
    <row r="174" spans="1:19">
      <c r="A174" s="158">
        <v>2705</v>
      </c>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0.2</v>
      </c>
      <c r="R174" s="714">
        <f t="shared" si="34"/>
        <v>0</v>
      </c>
      <c r="S174" s="360">
        <f t="shared" si="25"/>
        <v>0</v>
      </c>
    </row>
    <row r="175" spans="1:19">
      <c r="A175" s="158">
        <v>2706</v>
      </c>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0.2</v>
      </c>
      <c r="R175" s="714">
        <f t="shared" si="34"/>
        <v>0</v>
      </c>
      <c r="S175" s="360">
        <f t="shared" si="25"/>
        <v>0</v>
      </c>
    </row>
    <row r="176" spans="1:19">
      <c r="A176" s="158">
        <v>2707</v>
      </c>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0.2</v>
      </c>
      <c r="R176" s="714">
        <f t="shared" si="34"/>
        <v>0</v>
      </c>
      <c r="S176" s="360">
        <f t="shared" si="25"/>
        <v>0</v>
      </c>
    </row>
    <row r="177" spans="1:19">
      <c r="A177" s="158">
        <v>2708</v>
      </c>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0.2</v>
      </c>
      <c r="R177" s="714">
        <f t="shared" si="34"/>
        <v>0</v>
      </c>
      <c r="S177" s="360">
        <f t="shared" si="25"/>
        <v>0</v>
      </c>
    </row>
    <row r="178" spans="1:19">
      <c r="A178" s="158">
        <v>2801</v>
      </c>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0.2</v>
      </c>
      <c r="R178" s="714">
        <f t="shared" si="34"/>
        <v>0</v>
      </c>
      <c r="S178" s="360">
        <f t="shared" si="25"/>
        <v>0</v>
      </c>
    </row>
    <row r="179" spans="1:19">
      <c r="A179" s="158">
        <v>2802</v>
      </c>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0.2</v>
      </c>
      <c r="R179" s="714">
        <f t="shared" si="34"/>
        <v>0</v>
      </c>
      <c r="S179" s="360">
        <f t="shared" si="25"/>
        <v>0</v>
      </c>
    </row>
    <row r="180" spans="1:19">
      <c r="A180" s="158">
        <v>2803</v>
      </c>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0.2</v>
      </c>
      <c r="R180" s="714">
        <f t="shared" si="34"/>
        <v>0</v>
      </c>
      <c r="S180" s="360">
        <f t="shared" si="25"/>
        <v>0</v>
      </c>
    </row>
    <row r="181" spans="1:19">
      <c r="A181" s="158">
        <v>2805</v>
      </c>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0.2</v>
      </c>
      <c r="R181" s="714">
        <f t="shared" si="34"/>
        <v>0</v>
      </c>
      <c r="S181" s="360">
        <f t="shared" si="25"/>
        <v>0</v>
      </c>
    </row>
    <row r="182" spans="1:19">
      <c r="A182" s="158">
        <v>2806</v>
      </c>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0.2</v>
      </c>
      <c r="R182" s="714">
        <f t="shared" si="34"/>
        <v>0</v>
      </c>
      <c r="S182" s="360">
        <f t="shared" si="25"/>
        <v>0</v>
      </c>
    </row>
    <row r="183" spans="1:19">
      <c r="A183" s="158">
        <v>2807</v>
      </c>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0.2</v>
      </c>
      <c r="R183" s="714">
        <f t="shared" si="34"/>
        <v>0</v>
      </c>
      <c r="S183" s="360">
        <f t="shared" si="25"/>
        <v>0</v>
      </c>
    </row>
    <row r="184" spans="1:19">
      <c r="A184" s="158">
        <v>2808</v>
      </c>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0.2</v>
      </c>
      <c r="R184" s="714">
        <f t="shared" si="34"/>
        <v>0</v>
      </c>
      <c r="S184" s="360">
        <f t="shared" si="25"/>
        <v>0</v>
      </c>
    </row>
    <row r="185" spans="1:19">
      <c r="A185" s="158">
        <v>2901</v>
      </c>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0.2</v>
      </c>
      <c r="R185" s="714">
        <f t="shared" si="34"/>
        <v>0</v>
      </c>
      <c r="S185" s="360">
        <f t="shared" si="25"/>
        <v>0</v>
      </c>
    </row>
    <row r="186" spans="1:19">
      <c r="A186" s="158">
        <v>2902</v>
      </c>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0.2</v>
      </c>
      <c r="R186" s="714">
        <f t="shared" si="34"/>
        <v>0</v>
      </c>
      <c r="S186" s="360">
        <f t="shared" si="25"/>
        <v>0</v>
      </c>
    </row>
    <row r="187" spans="1:19">
      <c r="A187" s="158">
        <v>2903</v>
      </c>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0.2</v>
      </c>
      <c r="R187" s="714">
        <f t="shared" si="34"/>
        <v>0</v>
      </c>
      <c r="S187" s="360">
        <f t="shared" si="25"/>
        <v>0</v>
      </c>
    </row>
    <row r="188" spans="1:19">
      <c r="A188" s="158">
        <v>2905</v>
      </c>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0.2</v>
      </c>
      <c r="R188" s="714">
        <f t="shared" si="34"/>
        <v>0</v>
      </c>
      <c r="S188" s="360">
        <f t="shared" si="25"/>
        <v>0</v>
      </c>
    </row>
    <row r="189" spans="1:19">
      <c r="A189" s="158">
        <v>2906</v>
      </c>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0.2</v>
      </c>
      <c r="R189" s="714">
        <f t="shared" si="34"/>
        <v>0</v>
      </c>
      <c r="S189" s="360">
        <f t="shared" si="25"/>
        <v>0</v>
      </c>
    </row>
    <row r="190" spans="1:19">
      <c r="A190" s="158">
        <v>2907</v>
      </c>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0.2</v>
      </c>
      <c r="R190" s="714">
        <f t="shared" si="34"/>
        <v>0</v>
      </c>
      <c r="S190" s="360">
        <f t="shared" si="25"/>
        <v>0</v>
      </c>
    </row>
    <row r="191" spans="1:19">
      <c r="A191" s="158">
        <v>2908</v>
      </c>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0.2</v>
      </c>
      <c r="R191" s="714">
        <f t="shared" si="34"/>
        <v>0</v>
      </c>
      <c r="S191" s="360">
        <f t="shared" si="25"/>
        <v>0</v>
      </c>
    </row>
    <row r="192" spans="1:19">
      <c r="A192" s="158">
        <v>3001</v>
      </c>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0.2</v>
      </c>
      <c r="R192" s="714">
        <f t="shared" si="34"/>
        <v>0</v>
      </c>
      <c r="S192" s="360">
        <f t="shared" si="25"/>
        <v>0</v>
      </c>
    </row>
    <row r="193" spans="1:19">
      <c r="A193" s="158">
        <v>3002</v>
      </c>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0.2</v>
      </c>
      <c r="R193" s="714">
        <f t="shared" si="34"/>
        <v>0</v>
      </c>
      <c r="S193" s="360">
        <f t="shared" si="25"/>
        <v>0</v>
      </c>
    </row>
    <row r="194" spans="1:19">
      <c r="A194" s="158">
        <v>3003</v>
      </c>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0.2</v>
      </c>
      <c r="R194" s="714">
        <f t="shared" si="34"/>
        <v>0</v>
      </c>
      <c r="S194" s="360">
        <f t="shared" si="25"/>
        <v>0</v>
      </c>
    </row>
    <row r="195" spans="1:19">
      <c r="A195" s="158">
        <v>3005</v>
      </c>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0.2</v>
      </c>
      <c r="R195" s="714">
        <f t="shared" si="34"/>
        <v>0</v>
      </c>
      <c r="S195" s="360">
        <f t="shared" si="25"/>
        <v>0</v>
      </c>
    </row>
    <row r="196" spans="1:19">
      <c r="A196" s="158">
        <v>3006</v>
      </c>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0.2</v>
      </c>
      <c r="R196" s="714">
        <f t="shared" si="34"/>
        <v>0</v>
      </c>
      <c r="S196" s="360">
        <f t="shared" si="25"/>
        <v>0</v>
      </c>
    </row>
    <row r="197" spans="1:19">
      <c r="A197" s="158">
        <v>3007</v>
      </c>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0.2</v>
      </c>
      <c r="R197" s="714">
        <f t="shared" si="34"/>
        <v>0</v>
      </c>
      <c r="S197" s="360">
        <f t="shared" si="25"/>
        <v>0</v>
      </c>
    </row>
    <row r="198" spans="1:19">
      <c r="A198" s="158">
        <v>3008</v>
      </c>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0.2</v>
      </c>
      <c r="R198" s="714">
        <f t="shared" si="34"/>
        <v>0</v>
      </c>
      <c r="S198" s="360">
        <f t="shared" si="25"/>
        <v>0</v>
      </c>
    </row>
    <row r="199" spans="1:19">
      <c r="A199" s="158">
        <v>3101</v>
      </c>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0.2</v>
      </c>
      <c r="R199" s="714">
        <f t="shared" si="34"/>
        <v>0</v>
      </c>
      <c r="S199" s="360">
        <f t="shared" si="25"/>
        <v>0</v>
      </c>
    </row>
    <row r="200" spans="1:19">
      <c r="A200" s="158">
        <v>3102</v>
      </c>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0.2</v>
      </c>
      <c r="R200" s="714">
        <f t="shared" si="34"/>
        <v>0</v>
      </c>
      <c r="S200" s="360">
        <f t="shared" si="25"/>
        <v>0</v>
      </c>
    </row>
    <row r="201" spans="1:19">
      <c r="A201" s="158">
        <v>3103</v>
      </c>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0.2</v>
      </c>
      <c r="R201" s="714">
        <f t="shared" si="34"/>
        <v>0</v>
      </c>
      <c r="S201" s="360">
        <f t="shared" si="25"/>
        <v>0</v>
      </c>
    </row>
    <row r="202" spans="1:19">
      <c r="A202" s="158">
        <v>3105</v>
      </c>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0.2</v>
      </c>
      <c r="R202" s="714">
        <f t="shared" si="34"/>
        <v>0</v>
      </c>
      <c r="S202" s="360">
        <f t="shared" si="25"/>
        <v>0</v>
      </c>
    </row>
    <row r="203" spans="1:19">
      <c r="A203" s="158">
        <v>3106</v>
      </c>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0.2</v>
      </c>
      <c r="R203" s="714">
        <f t="shared" si="34"/>
        <v>0</v>
      </c>
      <c r="S203" s="360">
        <f t="shared" si="25"/>
        <v>0</v>
      </c>
    </row>
    <row r="204" spans="1:19">
      <c r="A204" s="158">
        <v>3107</v>
      </c>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0.2</v>
      </c>
      <c r="R204" s="714">
        <f t="shared" si="34"/>
        <v>0</v>
      </c>
      <c r="S204" s="360">
        <f t="shared" si="25"/>
        <v>0</v>
      </c>
    </row>
    <row r="205" spans="1:19">
      <c r="A205" s="158">
        <v>3108</v>
      </c>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0.2</v>
      </c>
      <c r="R205" s="714">
        <f t="shared" si="34"/>
        <v>0</v>
      </c>
      <c r="S205" s="360">
        <f t="shared" si="25"/>
        <v>0</v>
      </c>
    </row>
    <row r="206" spans="1:19">
      <c r="A206" s="158">
        <v>3201</v>
      </c>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0.2</v>
      </c>
      <c r="R206" s="714">
        <f t="shared" si="34"/>
        <v>0</v>
      </c>
      <c r="S206" s="360">
        <f t="shared" si="25"/>
        <v>0</v>
      </c>
    </row>
    <row r="207" spans="1:19">
      <c r="A207" s="158">
        <v>3202</v>
      </c>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0.2</v>
      </c>
      <c r="R207" s="714">
        <f t="shared" si="34"/>
        <v>0</v>
      </c>
      <c r="S207" s="360">
        <f t="shared" si="25"/>
        <v>0</v>
      </c>
    </row>
    <row r="208" spans="1:19">
      <c r="A208" s="158">
        <v>3203</v>
      </c>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0.2</v>
      </c>
      <c r="R208" s="714">
        <f t="shared" si="34"/>
        <v>0</v>
      </c>
      <c r="S208" s="360">
        <f t="shared" si="25"/>
        <v>0</v>
      </c>
    </row>
    <row r="209" spans="1:19">
      <c r="A209" s="158">
        <v>3205</v>
      </c>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0.2</v>
      </c>
      <c r="R209" s="714">
        <f t="shared" si="34"/>
        <v>0</v>
      </c>
      <c r="S209" s="360">
        <f t="shared" si="25"/>
        <v>0</v>
      </c>
    </row>
    <row r="210" spans="1:19">
      <c r="A210" s="158">
        <v>3206</v>
      </c>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0.2</v>
      </c>
      <c r="R210" s="714">
        <f t="shared" si="34"/>
        <v>0</v>
      </c>
      <c r="S210" s="360">
        <f t="shared" si="25"/>
        <v>0</v>
      </c>
    </row>
    <row r="211" spans="1:19">
      <c r="A211" s="158">
        <v>3207</v>
      </c>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0.2</v>
      </c>
      <c r="R211" s="714">
        <f t="shared" si="34"/>
        <v>0</v>
      </c>
      <c r="S211" s="360">
        <f t="shared" si="25"/>
        <v>0</v>
      </c>
    </row>
    <row r="212" spans="1:19">
      <c r="A212" s="158">
        <v>3208</v>
      </c>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0.2</v>
      </c>
      <c r="R212" s="714">
        <f t="shared" si="34"/>
        <v>0</v>
      </c>
      <c r="S212" s="360">
        <f t="shared" si="25"/>
        <v>0</v>
      </c>
    </row>
    <row r="213" spans="1:19">
      <c r="A213" s="158">
        <v>3301</v>
      </c>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0.2</v>
      </c>
      <c r="R213" s="714">
        <f t="shared" si="34"/>
        <v>0</v>
      </c>
      <c r="S213" s="360">
        <f t="shared" si="25"/>
        <v>0</v>
      </c>
    </row>
    <row r="214" spans="1:19">
      <c r="A214" s="158">
        <v>3302</v>
      </c>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0.2</v>
      </c>
      <c r="R214" s="714">
        <f t="shared" si="34"/>
        <v>0</v>
      </c>
      <c r="S214" s="360">
        <f t="shared" si="25"/>
        <v>0</v>
      </c>
    </row>
    <row r="215" spans="1:19">
      <c r="A215" s="158">
        <v>3303</v>
      </c>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0.2</v>
      </c>
      <c r="R215" s="714">
        <f t="shared" si="34"/>
        <v>0</v>
      </c>
      <c r="S215" s="360">
        <f t="shared" si="25"/>
        <v>0</v>
      </c>
    </row>
    <row r="216" spans="1:19">
      <c r="A216" s="158">
        <v>3305</v>
      </c>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0.2</v>
      </c>
      <c r="R216" s="714">
        <f t="shared" si="34"/>
        <v>0</v>
      </c>
      <c r="S216" s="360">
        <f t="shared" ref="S216:S279" si="35">ROUND(R216*B216/10000,0)</f>
        <v>0</v>
      </c>
    </row>
    <row r="217" spans="1:19">
      <c r="A217" s="158">
        <v>3306</v>
      </c>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0.2</v>
      </c>
      <c r="R217" s="714">
        <f t="shared" si="34"/>
        <v>0</v>
      </c>
      <c r="S217" s="360">
        <f t="shared" si="35"/>
        <v>0</v>
      </c>
    </row>
    <row r="218" spans="1:19">
      <c r="A218" s="158">
        <v>3307</v>
      </c>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0.2</v>
      </c>
      <c r="R218" s="714">
        <f t="shared" ref="R218:R281" si="44">IF(B218="",0,ROUND($R$24*C218*E218*G218*I218*K218*M218*O218*Q218,0))</f>
        <v>0</v>
      </c>
      <c r="S218" s="360">
        <f t="shared" si="35"/>
        <v>0</v>
      </c>
    </row>
    <row r="219" spans="1:19">
      <c r="A219" s="158">
        <v>3308</v>
      </c>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0.2</v>
      </c>
      <c r="R219" s="714">
        <f t="shared" si="44"/>
        <v>0</v>
      </c>
      <c r="S219" s="360">
        <f t="shared" si="35"/>
        <v>0</v>
      </c>
    </row>
    <row r="220" spans="1:19">
      <c r="A220" s="158">
        <v>3501</v>
      </c>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0.2</v>
      </c>
      <c r="R220" s="714">
        <f t="shared" si="44"/>
        <v>0</v>
      </c>
      <c r="S220" s="360">
        <f t="shared" si="35"/>
        <v>0</v>
      </c>
    </row>
    <row r="221" spans="1:19">
      <c r="A221" s="158">
        <v>3502</v>
      </c>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0.2</v>
      </c>
      <c r="R221" s="714">
        <f t="shared" si="44"/>
        <v>0</v>
      </c>
      <c r="S221" s="360">
        <f t="shared" si="35"/>
        <v>0</v>
      </c>
    </row>
    <row r="222" spans="1:19">
      <c r="A222" s="158">
        <v>3503</v>
      </c>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0.2</v>
      </c>
      <c r="R222" s="714">
        <f t="shared" si="44"/>
        <v>0</v>
      </c>
      <c r="S222" s="360">
        <f t="shared" si="35"/>
        <v>0</v>
      </c>
    </row>
    <row r="223" spans="1:19">
      <c r="A223" s="158">
        <v>3505</v>
      </c>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0.2</v>
      </c>
      <c r="R223" s="714">
        <f t="shared" si="44"/>
        <v>0</v>
      </c>
      <c r="S223" s="360">
        <f t="shared" si="35"/>
        <v>0</v>
      </c>
    </row>
    <row r="224" spans="1:19">
      <c r="A224" s="158">
        <v>3506</v>
      </c>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0.2</v>
      </c>
      <c r="R224" s="714">
        <f t="shared" si="44"/>
        <v>0</v>
      </c>
      <c r="S224" s="360">
        <f t="shared" si="35"/>
        <v>0</v>
      </c>
    </row>
    <row r="225" spans="1:19">
      <c r="A225" s="158">
        <v>3507</v>
      </c>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0.2</v>
      </c>
      <c r="R225" s="714">
        <f t="shared" si="44"/>
        <v>0</v>
      </c>
      <c r="S225" s="360">
        <f t="shared" si="35"/>
        <v>0</v>
      </c>
    </row>
    <row r="226" spans="1:19">
      <c r="A226" s="158">
        <v>3508</v>
      </c>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0.2</v>
      </c>
      <c r="R226" s="714">
        <f t="shared" si="44"/>
        <v>0</v>
      </c>
      <c r="S226" s="360">
        <f t="shared" si="35"/>
        <v>0</v>
      </c>
    </row>
    <row r="227" spans="1:19">
      <c r="A227" s="158">
        <v>3601</v>
      </c>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0.2</v>
      </c>
      <c r="R227" s="714">
        <f t="shared" si="44"/>
        <v>0</v>
      </c>
      <c r="S227" s="360">
        <f t="shared" si="35"/>
        <v>0</v>
      </c>
    </row>
    <row r="228" spans="1:19">
      <c r="A228" s="158">
        <v>3602</v>
      </c>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0.2</v>
      </c>
      <c r="R228" s="714">
        <f t="shared" si="44"/>
        <v>0</v>
      </c>
      <c r="S228" s="360">
        <f t="shared" si="35"/>
        <v>0</v>
      </c>
    </row>
    <row r="229" spans="1:19">
      <c r="A229" s="158">
        <v>3603</v>
      </c>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0.2</v>
      </c>
      <c r="R229" s="714">
        <f t="shared" si="44"/>
        <v>0</v>
      </c>
      <c r="S229" s="360">
        <f t="shared" si="35"/>
        <v>0</v>
      </c>
    </row>
    <row r="230" spans="1:19">
      <c r="A230" s="158">
        <v>3605</v>
      </c>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0.2</v>
      </c>
      <c r="R230" s="714">
        <f t="shared" si="44"/>
        <v>0</v>
      </c>
      <c r="S230" s="360">
        <f t="shared" si="35"/>
        <v>0</v>
      </c>
    </row>
    <row r="231" spans="1:19">
      <c r="A231" s="158">
        <v>3606</v>
      </c>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0.2</v>
      </c>
      <c r="R231" s="714">
        <f t="shared" si="44"/>
        <v>0</v>
      </c>
      <c r="S231" s="360">
        <f t="shared" si="35"/>
        <v>0</v>
      </c>
    </row>
    <row r="232" spans="1:19">
      <c r="A232" s="158">
        <v>3607</v>
      </c>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0.2</v>
      </c>
      <c r="R232" s="714">
        <f t="shared" si="44"/>
        <v>0</v>
      </c>
      <c r="S232" s="360">
        <f t="shared" si="35"/>
        <v>0</v>
      </c>
    </row>
    <row r="233" spans="1:19">
      <c r="A233" s="158">
        <v>3608</v>
      </c>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0.2</v>
      </c>
      <c r="R233" s="714">
        <f t="shared" si="44"/>
        <v>0</v>
      </c>
      <c r="S233" s="360">
        <f t="shared" si="35"/>
        <v>0</v>
      </c>
    </row>
    <row r="234" spans="1:19">
      <c r="A234" s="158">
        <v>3701</v>
      </c>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0.2</v>
      </c>
      <c r="R234" s="714">
        <f t="shared" si="44"/>
        <v>0</v>
      </c>
      <c r="S234" s="360">
        <f t="shared" si="35"/>
        <v>0</v>
      </c>
    </row>
    <row r="235" spans="1:19">
      <c r="A235" s="158">
        <v>3702</v>
      </c>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0.2</v>
      </c>
      <c r="R235" s="714">
        <f t="shared" si="44"/>
        <v>0</v>
      </c>
      <c r="S235" s="360">
        <f t="shared" si="35"/>
        <v>0</v>
      </c>
    </row>
    <row r="236" spans="1:19">
      <c r="A236" s="158">
        <v>3703</v>
      </c>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0.2</v>
      </c>
      <c r="R236" s="714">
        <f t="shared" si="44"/>
        <v>0</v>
      </c>
      <c r="S236" s="360">
        <f t="shared" si="35"/>
        <v>0</v>
      </c>
    </row>
    <row r="237" spans="1:19">
      <c r="A237" s="158">
        <v>3705</v>
      </c>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0.2</v>
      </c>
      <c r="R237" s="714">
        <f t="shared" si="44"/>
        <v>0</v>
      </c>
      <c r="S237" s="360">
        <f t="shared" si="35"/>
        <v>0</v>
      </c>
    </row>
    <row r="238" spans="1:19">
      <c r="A238" s="158">
        <v>3706</v>
      </c>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0.2</v>
      </c>
      <c r="R238" s="714">
        <f t="shared" si="44"/>
        <v>0</v>
      </c>
      <c r="S238" s="360">
        <f t="shared" si="35"/>
        <v>0</v>
      </c>
    </row>
    <row r="239" spans="1:19">
      <c r="A239" s="158">
        <v>3707</v>
      </c>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0.2</v>
      </c>
      <c r="R239" s="714">
        <f t="shared" si="44"/>
        <v>0</v>
      </c>
      <c r="S239" s="360">
        <f t="shared" si="35"/>
        <v>0</v>
      </c>
    </row>
    <row r="240" spans="1:19">
      <c r="A240" s="158">
        <v>3708</v>
      </c>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0.2</v>
      </c>
      <c r="R240" s="714">
        <f t="shared" si="44"/>
        <v>0</v>
      </c>
      <c r="S240" s="360">
        <f t="shared" si="35"/>
        <v>0</v>
      </c>
    </row>
    <row r="241" spans="1:19">
      <c r="A241" s="158"/>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0.2</v>
      </c>
      <c r="R241" s="714">
        <f t="shared" si="44"/>
        <v>0</v>
      </c>
      <c r="S241" s="360">
        <f t="shared" si="35"/>
        <v>0</v>
      </c>
    </row>
    <row r="242" spans="1:19">
      <c r="A242" s="158"/>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0.2</v>
      </c>
      <c r="R242" s="714">
        <f t="shared" si="44"/>
        <v>0</v>
      </c>
      <c r="S242" s="360">
        <f t="shared" si="35"/>
        <v>0</v>
      </c>
    </row>
    <row r="243" spans="1:19">
      <c r="A243" s="158"/>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0.2</v>
      </c>
      <c r="R243" s="714">
        <f t="shared" si="44"/>
        <v>0</v>
      </c>
      <c r="S243" s="360">
        <f t="shared" si="35"/>
        <v>0</v>
      </c>
    </row>
    <row r="244" spans="1:19">
      <c r="A244" s="158"/>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0.2</v>
      </c>
      <c r="R244" s="714">
        <f t="shared" si="44"/>
        <v>0</v>
      </c>
      <c r="S244" s="360">
        <f t="shared" si="35"/>
        <v>0</v>
      </c>
    </row>
    <row r="245" spans="1:19">
      <c r="A245" s="158"/>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0.2</v>
      </c>
      <c r="R245" s="714">
        <f t="shared" si="44"/>
        <v>0</v>
      </c>
      <c r="S245" s="360">
        <f t="shared" si="35"/>
        <v>0</v>
      </c>
    </row>
    <row r="246" spans="1:19">
      <c r="A246" s="158"/>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0.2</v>
      </c>
      <c r="R246" s="714">
        <f t="shared" si="44"/>
        <v>0</v>
      </c>
      <c r="S246" s="360">
        <f t="shared" si="35"/>
        <v>0</v>
      </c>
    </row>
    <row r="247" spans="1:19">
      <c r="A247" s="158"/>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0.2</v>
      </c>
      <c r="R247" s="714">
        <f t="shared" si="44"/>
        <v>0</v>
      </c>
      <c r="S247" s="360">
        <f t="shared" si="35"/>
        <v>0</v>
      </c>
    </row>
    <row r="248" spans="1:19">
      <c r="A248" s="158"/>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0.2</v>
      </c>
      <c r="R248" s="714">
        <f t="shared" si="44"/>
        <v>0</v>
      </c>
      <c r="S248" s="360">
        <f t="shared" si="35"/>
        <v>0</v>
      </c>
    </row>
    <row r="249" spans="1:19">
      <c r="A249" s="158"/>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0.2</v>
      </c>
      <c r="R249" s="714">
        <f t="shared" si="44"/>
        <v>0</v>
      </c>
      <c r="S249" s="360">
        <f t="shared" si="35"/>
        <v>0</v>
      </c>
    </row>
    <row r="250" spans="1:19">
      <c r="A250" s="158"/>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0.2</v>
      </c>
      <c r="R250" s="714">
        <f t="shared" si="44"/>
        <v>0</v>
      </c>
      <c r="S250" s="360">
        <f t="shared" si="35"/>
        <v>0</v>
      </c>
    </row>
    <row r="251" spans="1:19">
      <c r="A251" s="158"/>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0.2</v>
      </c>
      <c r="R251" s="714">
        <f t="shared" si="44"/>
        <v>0</v>
      </c>
      <c r="S251" s="360">
        <f t="shared" si="35"/>
        <v>0</v>
      </c>
    </row>
    <row r="252" spans="1:19">
      <c r="A252" s="158"/>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0.2</v>
      </c>
      <c r="R252" s="714">
        <f t="shared" si="44"/>
        <v>0</v>
      </c>
      <c r="S252" s="360">
        <f t="shared" si="35"/>
        <v>0</v>
      </c>
    </row>
    <row r="253" spans="1:19">
      <c r="A253" s="158"/>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0.2</v>
      </c>
      <c r="R253" s="714">
        <f t="shared" si="44"/>
        <v>0</v>
      </c>
      <c r="S253" s="360">
        <f t="shared" si="35"/>
        <v>0</v>
      </c>
    </row>
    <row r="254" spans="1:19">
      <c r="A254" s="158"/>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0.2</v>
      </c>
      <c r="R254" s="714">
        <f t="shared" si="44"/>
        <v>0</v>
      </c>
      <c r="S254" s="360">
        <f t="shared" si="35"/>
        <v>0</v>
      </c>
    </row>
    <row r="255" spans="1:19">
      <c r="A255" s="158"/>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0.2</v>
      </c>
      <c r="R255" s="714">
        <f t="shared" si="44"/>
        <v>0</v>
      </c>
      <c r="S255" s="360">
        <f t="shared" si="35"/>
        <v>0</v>
      </c>
    </row>
    <row r="256" spans="1:19">
      <c r="A256" s="158"/>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0.2</v>
      </c>
      <c r="R256" s="714">
        <f t="shared" si="44"/>
        <v>0</v>
      </c>
      <c r="S256" s="360">
        <f t="shared" si="35"/>
        <v>0</v>
      </c>
    </row>
    <row r="257" spans="1:19">
      <c r="A257" s="158"/>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0.2</v>
      </c>
      <c r="R257" s="714">
        <f t="shared" si="44"/>
        <v>0</v>
      </c>
      <c r="S257" s="360">
        <f t="shared" si="35"/>
        <v>0</v>
      </c>
    </row>
    <row r="258" spans="1:19">
      <c r="A258" s="158"/>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0.2</v>
      </c>
      <c r="R258" s="714">
        <f t="shared" si="44"/>
        <v>0</v>
      </c>
      <c r="S258" s="360">
        <f t="shared" si="35"/>
        <v>0</v>
      </c>
    </row>
    <row r="259" spans="1:19">
      <c r="A259" s="158"/>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0.2</v>
      </c>
      <c r="R259" s="714">
        <f t="shared" si="44"/>
        <v>0</v>
      </c>
      <c r="S259" s="360">
        <f t="shared" si="35"/>
        <v>0</v>
      </c>
    </row>
    <row r="260" spans="1:19">
      <c r="A260" s="158"/>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0.2</v>
      </c>
      <c r="R260" s="714">
        <f t="shared" si="44"/>
        <v>0</v>
      </c>
      <c r="S260" s="360">
        <f t="shared" si="35"/>
        <v>0</v>
      </c>
    </row>
    <row r="261" spans="1:19">
      <c r="A261" s="158"/>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0.2</v>
      </c>
      <c r="R261" s="714">
        <f t="shared" si="44"/>
        <v>0</v>
      </c>
      <c r="S261" s="360">
        <f t="shared" si="35"/>
        <v>0</v>
      </c>
    </row>
    <row r="262" spans="1:19">
      <c r="A262" s="158"/>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0.2</v>
      </c>
      <c r="R262" s="714">
        <f t="shared" si="44"/>
        <v>0</v>
      </c>
      <c r="S262" s="360">
        <f t="shared" si="35"/>
        <v>0</v>
      </c>
    </row>
    <row r="263" spans="1:19">
      <c r="A263" s="158"/>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0.2</v>
      </c>
      <c r="R263" s="714">
        <f t="shared" si="44"/>
        <v>0</v>
      </c>
      <c r="S263" s="360">
        <f t="shared" si="35"/>
        <v>0</v>
      </c>
    </row>
    <row r="264" spans="1:19">
      <c r="A264" s="158"/>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0.2</v>
      </c>
      <c r="R264" s="714">
        <f t="shared" si="44"/>
        <v>0</v>
      </c>
      <c r="S264" s="360">
        <f t="shared" si="35"/>
        <v>0</v>
      </c>
    </row>
    <row r="265" spans="1:19">
      <c r="A265" s="158"/>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0.2</v>
      </c>
      <c r="R265" s="714">
        <f t="shared" si="44"/>
        <v>0</v>
      </c>
      <c r="S265" s="360">
        <f t="shared" si="35"/>
        <v>0</v>
      </c>
    </row>
    <row r="266" spans="1:19">
      <c r="A266" s="158"/>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0.2</v>
      </c>
      <c r="R266" s="714">
        <f t="shared" si="44"/>
        <v>0</v>
      </c>
      <c r="S266" s="360">
        <f t="shared" si="35"/>
        <v>0</v>
      </c>
    </row>
    <row r="267" spans="1:19">
      <c r="A267" s="158"/>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0.2</v>
      </c>
      <c r="R267" s="714">
        <f t="shared" si="44"/>
        <v>0</v>
      </c>
      <c r="S267" s="360">
        <f t="shared" si="35"/>
        <v>0</v>
      </c>
    </row>
    <row r="268" spans="1:19">
      <c r="A268" s="158"/>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0.2</v>
      </c>
      <c r="R268" s="714">
        <f t="shared" si="44"/>
        <v>0</v>
      </c>
      <c r="S268" s="360">
        <f t="shared" si="35"/>
        <v>0</v>
      </c>
    </row>
    <row r="269" spans="1:19">
      <c r="A269" s="158"/>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0.2</v>
      </c>
      <c r="R269" s="714">
        <f t="shared" si="44"/>
        <v>0</v>
      </c>
      <c r="S269" s="360">
        <f t="shared" si="35"/>
        <v>0</v>
      </c>
    </row>
    <row r="270" spans="1:19">
      <c r="A270" s="158"/>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0.2</v>
      </c>
      <c r="R270" s="714">
        <f t="shared" si="44"/>
        <v>0</v>
      </c>
      <c r="S270" s="360">
        <f t="shared" si="35"/>
        <v>0</v>
      </c>
    </row>
    <row r="271" spans="1:19">
      <c r="A271" s="158"/>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0.2</v>
      </c>
      <c r="R271" s="714">
        <f t="shared" si="44"/>
        <v>0</v>
      </c>
      <c r="S271" s="360">
        <f t="shared" si="35"/>
        <v>0</v>
      </c>
    </row>
    <row r="272" spans="1:19">
      <c r="A272" s="158"/>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0.2</v>
      </c>
      <c r="R272" s="714">
        <f t="shared" si="44"/>
        <v>0</v>
      </c>
      <c r="S272" s="360">
        <f t="shared" si="35"/>
        <v>0</v>
      </c>
    </row>
    <row r="273" spans="1:19">
      <c r="A273" s="158"/>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0.2</v>
      </c>
      <c r="R273" s="714">
        <f t="shared" si="44"/>
        <v>0</v>
      </c>
      <c r="S273" s="360">
        <f t="shared" si="35"/>
        <v>0</v>
      </c>
    </row>
    <row r="274" spans="1:19">
      <c r="A274" s="158"/>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0.2</v>
      </c>
      <c r="R274" s="714">
        <f t="shared" si="44"/>
        <v>0</v>
      </c>
      <c r="S274" s="360">
        <f t="shared" si="35"/>
        <v>0</v>
      </c>
    </row>
    <row r="275" spans="1:19">
      <c r="A275" s="158"/>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0.2</v>
      </c>
      <c r="R275" s="714">
        <f t="shared" si="44"/>
        <v>0</v>
      </c>
      <c r="S275" s="360">
        <f t="shared" si="35"/>
        <v>0</v>
      </c>
    </row>
    <row r="276" spans="1:19">
      <c r="A276" s="158"/>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0.2</v>
      </c>
      <c r="R276" s="714">
        <f t="shared" si="44"/>
        <v>0</v>
      </c>
      <c r="S276" s="360">
        <f t="shared" si="35"/>
        <v>0</v>
      </c>
    </row>
    <row r="277" spans="1:19">
      <c r="A277" s="158"/>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0.2</v>
      </c>
      <c r="R277" s="714">
        <f t="shared" si="44"/>
        <v>0</v>
      </c>
      <c r="S277" s="360">
        <f t="shared" si="35"/>
        <v>0</v>
      </c>
    </row>
    <row r="278" spans="1:19">
      <c r="A278" s="158"/>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0.2</v>
      </c>
      <c r="R278" s="714">
        <f t="shared" si="44"/>
        <v>0</v>
      </c>
      <c r="S278" s="360">
        <f t="shared" si="35"/>
        <v>0</v>
      </c>
    </row>
    <row r="279" spans="1:19">
      <c r="A279" s="158"/>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0.2</v>
      </c>
      <c r="R279" s="714">
        <f t="shared" si="44"/>
        <v>0</v>
      </c>
      <c r="S279" s="360">
        <f t="shared" si="35"/>
        <v>0</v>
      </c>
    </row>
    <row r="280" spans="1:19">
      <c r="A280" s="158"/>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0.2</v>
      </c>
      <c r="R280" s="714">
        <f t="shared" si="44"/>
        <v>0</v>
      </c>
      <c r="S280" s="360">
        <f t="shared" ref="S280:S343" si="45">ROUND(R280*B280/10000,0)</f>
        <v>0</v>
      </c>
    </row>
    <row r="281" spans="1:19">
      <c r="A281" s="158"/>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0.2</v>
      </c>
      <c r="R281" s="714">
        <f t="shared" si="44"/>
        <v>0</v>
      </c>
      <c r="S281" s="360">
        <f t="shared" si="45"/>
        <v>0</v>
      </c>
    </row>
    <row r="282" spans="1:19">
      <c r="A282" s="158"/>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0.2</v>
      </c>
      <c r="R282" s="714">
        <f t="shared" ref="R282:R345" si="54">IF(B282="",0,ROUND($R$24*C282*E282*G282*I282*K282*M282*O282*Q282,0))</f>
        <v>0</v>
      </c>
      <c r="S282" s="360">
        <f t="shared" si="45"/>
        <v>0</v>
      </c>
    </row>
    <row r="283" spans="1:19">
      <c r="A283" s="158"/>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0.2</v>
      </c>
      <c r="R283" s="714">
        <f t="shared" si="54"/>
        <v>0</v>
      </c>
      <c r="S283" s="360">
        <f t="shared" si="45"/>
        <v>0</v>
      </c>
    </row>
    <row r="284" spans="1:19">
      <c r="A284" s="158"/>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0.2</v>
      </c>
      <c r="R284" s="714">
        <f t="shared" si="54"/>
        <v>0</v>
      </c>
      <c r="S284" s="360">
        <f t="shared" si="45"/>
        <v>0</v>
      </c>
    </row>
    <row r="285" spans="1:19">
      <c r="A285" s="158"/>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0.2</v>
      </c>
      <c r="R285" s="714">
        <f t="shared" si="54"/>
        <v>0</v>
      </c>
      <c r="S285" s="360">
        <f t="shared" si="45"/>
        <v>0</v>
      </c>
    </row>
    <row r="286" spans="1:19">
      <c r="A286" s="158"/>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0.2</v>
      </c>
      <c r="R286" s="714">
        <f t="shared" si="54"/>
        <v>0</v>
      </c>
      <c r="S286" s="360">
        <f t="shared" si="45"/>
        <v>0</v>
      </c>
    </row>
    <row r="287" spans="1:19">
      <c r="A287" s="158"/>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0.2</v>
      </c>
      <c r="R287" s="714">
        <f t="shared" si="54"/>
        <v>0</v>
      </c>
      <c r="S287" s="360">
        <f t="shared" si="45"/>
        <v>0</v>
      </c>
    </row>
    <row r="288" spans="1:19">
      <c r="A288" s="158"/>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0.2</v>
      </c>
      <c r="R288" s="714">
        <f t="shared" si="54"/>
        <v>0</v>
      </c>
      <c r="S288" s="360">
        <f t="shared" si="45"/>
        <v>0</v>
      </c>
    </row>
    <row r="289" spans="1:19">
      <c r="A289" s="158"/>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0.2</v>
      </c>
      <c r="R289" s="714">
        <f t="shared" si="54"/>
        <v>0</v>
      </c>
      <c r="S289" s="360">
        <f t="shared" si="45"/>
        <v>0</v>
      </c>
    </row>
    <row r="290" spans="1:19">
      <c r="A290" s="158"/>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0.2</v>
      </c>
      <c r="R290" s="714">
        <f t="shared" si="54"/>
        <v>0</v>
      </c>
      <c r="S290" s="360">
        <f t="shared" si="45"/>
        <v>0</v>
      </c>
    </row>
    <row r="291" spans="1:19">
      <c r="A291" s="158"/>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0.2</v>
      </c>
      <c r="R291" s="714">
        <f t="shared" si="54"/>
        <v>0</v>
      </c>
      <c r="S291" s="360">
        <f t="shared" si="45"/>
        <v>0</v>
      </c>
    </row>
    <row r="292" spans="1:19">
      <c r="A292" s="158"/>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0.2</v>
      </c>
      <c r="R292" s="714">
        <f t="shared" si="54"/>
        <v>0</v>
      </c>
      <c r="S292" s="360">
        <f t="shared" si="45"/>
        <v>0</v>
      </c>
    </row>
    <row r="293" spans="1:19">
      <c r="A293" s="158"/>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0.2</v>
      </c>
      <c r="R293" s="714">
        <f t="shared" si="54"/>
        <v>0</v>
      </c>
      <c r="S293" s="360">
        <f t="shared" si="45"/>
        <v>0</v>
      </c>
    </row>
    <row r="294" spans="1:19">
      <c r="A294" s="158"/>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0.2</v>
      </c>
      <c r="R294" s="714">
        <f t="shared" si="54"/>
        <v>0</v>
      </c>
      <c r="S294" s="360">
        <f t="shared" si="45"/>
        <v>0</v>
      </c>
    </row>
    <row r="295" spans="1:19">
      <c r="A295" s="158"/>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0.2</v>
      </c>
      <c r="R295" s="714">
        <f t="shared" si="54"/>
        <v>0</v>
      </c>
      <c r="S295" s="360">
        <f t="shared" si="45"/>
        <v>0</v>
      </c>
    </row>
    <row r="296" spans="1:19">
      <c r="A296" s="158"/>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0.2</v>
      </c>
      <c r="R296" s="714">
        <f t="shared" si="54"/>
        <v>0</v>
      </c>
      <c r="S296" s="360">
        <f t="shared" si="45"/>
        <v>0</v>
      </c>
    </row>
    <row r="297" spans="1:19">
      <c r="A297" s="158"/>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0.2</v>
      </c>
      <c r="R297" s="714">
        <f t="shared" si="54"/>
        <v>0</v>
      </c>
      <c r="S297" s="360">
        <f t="shared" si="45"/>
        <v>0</v>
      </c>
    </row>
    <row r="298" spans="1:19">
      <c r="A298" s="158"/>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0.2</v>
      </c>
      <c r="R298" s="714">
        <f t="shared" si="54"/>
        <v>0</v>
      </c>
      <c r="S298" s="360">
        <f t="shared" si="45"/>
        <v>0</v>
      </c>
    </row>
    <row r="299" spans="1:19">
      <c r="A299" s="158"/>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0.2</v>
      </c>
      <c r="R299" s="714">
        <f t="shared" si="54"/>
        <v>0</v>
      </c>
      <c r="S299" s="360">
        <f t="shared" si="45"/>
        <v>0</v>
      </c>
    </row>
    <row r="300" spans="1:19">
      <c r="A300" s="158"/>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0.2</v>
      </c>
      <c r="R300" s="714">
        <f t="shared" si="54"/>
        <v>0</v>
      </c>
      <c r="S300" s="360">
        <f t="shared" si="45"/>
        <v>0</v>
      </c>
    </row>
    <row r="301" spans="1:19">
      <c r="A301" s="158"/>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0.2</v>
      </c>
      <c r="R301" s="714">
        <f t="shared" si="54"/>
        <v>0</v>
      </c>
      <c r="S301" s="360">
        <f t="shared" si="45"/>
        <v>0</v>
      </c>
    </row>
    <row r="302" spans="1:19">
      <c r="A302" s="158"/>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0.2</v>
      </c>
      <c r="R302" s="714">
        <f t="shared" si="54"/>
        <v>0</v>
      </c>
      <c r="S302" s="360">
        <f t="shared" si="45"/>
        <v>0</v>
      </c>
    </row>
    <row r="303" spans="1:19">
      <c r="A303" s="158"/>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0.2</v>
      </c>
      <c r="R303" s="714">
        <f t="shared" si="54"/>
        <v>0</v>
      </c>
      <c r="S303" s="360">
        <f t="shared" si="45"/>
        <v>0</v>
      </c>
    </row>
    <row r="304" spans="1:19">
      <c r="A304" s="158"/>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0.2</v>
      </c>
      <c r="R304" s="714">
        <f t="shared" si="54"/>
        <v>0</v>
      </c>
      <c r="S304" s="360">
        <f t="shared" si="45"/>
        <v>0</v>
      </c>
    </row>
    <row r="305" spans="1:19">
      <c r="A305" s="158"/>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0.2</v>
      </c>
      <c r="R305" s="714">
        <f t="shared" si="54"/>
        <v>0</v>
      </c>
      <c r="S305" s="360">
        <f t="shared" si="45"/>
        <v>0</v>
      </c>
    </row>
    <row r="306" spans="1:19">
      <c r="A306" s="158"/>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0.2</v>
      </c>
      <c r="R306" s="714">
        <f t="shared" si="54"/>
        <v>0</v>
      </c>
      <c r="S306" s="360">
        <f t="shared" si="45"/>
        <v>0</v>
      </c>
    </row>
    <row r="307" spans="1:19">
      <c r="A307" s="158"/>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0.2</v>
      </c>
      <c r="R307" s="714">
        <f t="shared" si="54"/>
        <v>0</v>
      </c>
      <c r="S307" s="360">
        <f t="shared" si="45"/>
        <v>0</v>
      </c>
    </row>
    <row r="308" spans="1:19">
      <c r="A308" s="158"/>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0.2</v>
      </c>
      <c r="R308" s="714">
        <f t="shared" si="54"/>
        <v>0</v>
      </c>
      <c r="S308" s="360">
        <f t="shared" si="45"/>
        <v>0</v>
      </c>
    </row>
    <row r="309" spans="1:19">
      <c r="A309" s="158"/>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0.2</v>
      </c>
      <c r="R309" s="714">
        <f t="shared" si="54"/>
        <v>0</v>
      </c>
      <c r="S309" s="360">
        <f t="shared" si="45"/>
        <v>0</v>
      </c>
    </row>
    <row r="310" spans="1:19">
      <c r="A310" s="158"/>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0.2</v>
      </c>
      <c r="R310" s="714">
        <f t="shared" si="54"/>
        <v>0</v>
      </c>
      <c r="S310" s="360">
        <f t="shared" si="45"/>
        <v>0</v>
      </c>
    </row>
    <row r="311" spans="1:19">
      <c r="A311" s="158"/>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0.2</v>
      </c>
      <c r="R311" s="714">
        <f t="shared" si="54"/>
        <v>0</v>
      </c>
      <c r="S311" s="360">
        <f t="shared" si="45"/>
        <v>0</v>
      </c>
    </row>
    <row r="312" spans="1:19">
      <c r="A312" s="158"/>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0.2</v>
      </c>
      <c r="R312" s="714">
        <f t="shared" si="54"/>
        <v>0</v>
      </c>
      <c r="S312" s="360">
        <f t="shared" si="45"/>
        <v>0</v>
      </c>
    </row>
    <row r="313" spans="1:19">
      <c r="A313" s="158"/>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0.2</v>
      </c>
      <c r="R313" s="714">
        <f t="shared" si="54"/>
        <v>0</v>
      </c>
      <c r="S313" s="360">
        <f t="shared" si="45"/>
        <v>0</v>
      </c>
    </row>
    <row r="314" spans="1:19">
      <c r="A314" s="158"/>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0.2</v>
      </c>
      <c r="R314" s="714">
        <f t="shared" si="54"/>
        <v>0</v>
      </c>
      <c r="S314" s="360">
        <f t="shared" si="45"/>
        <v>0</v>
      </c>
    </row>
    <row r="315" spans="1:19">
      <c r="A315" s="158"/>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0.2</v>
      </c>
      <c r="R315" s="714">
        <f t="shared" si="54"/>
        <v>0</v>
      </c>
      <c r="S315" s="360">
        <f t="shared" si="45"/>
        <v>0</v>
      </c>
    </row>
    <row r="316" spans="1:19">
      <c r="A316" s="158"/>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0.2</v>
      </c>
      <c r="R316" s="714">
        <f t="shared" si="54"/>
        <v>0</v>
      </c>
      <c r="S316" s="360">
        <f t="shared" si="45"/>
        <v>0</v>
      </c>
    </row>
    <row r="317" spans="1:19">
      <c r="A317" s="158"/>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0.2</v>
      </c>
      <c r="R317" s="714">
        <f t="shared" si="54"/>
        <v>0</v>
      </c>
      <c r="S317" s="360">
        <f t="shared" si="45"/>
        <v>0</v>
      </c>
    </row>
    <row r="318" spans="1:19">
      <c r="A318" s="158"/>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0.2</v>
      </c>
      <c r="R318" s="714">
        <f t="shared" si="54"/>
        <v>0</v>
      </c>
      <c r="S318" s="360">
        <f t="shared" si="45"/>
        <v>0</v>
      </c>
    </row>
    <row r="319" spans="1:19">
      <c r="A319" s="158"/>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0.2</v>
      </c>
      <c r="R319" s="714">
        <f t="shared" si="54"/>
        <v>0</v>
      </c>
      <c r="S319" s="360">
        <f t="shared" si="45"/>
        <v>0</v>
      </c>
    </row>
    <row r="320" spans="1:19">
      <c r="A320" s="158"/>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0.2</v>
      </c>
      <c r="R320" s="714">
        <f t="shared" si="54"/>
        <v>0</v>
      </c>
      <c r="S320" s="360">
        <f t="shared" si="45"/>
        <v>0</v>
      </c>
    </row>
    <row r="321" spans="1:19">
      <c r="A321" s="158"/>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0.2</v>
      </c>
      <c r="R321" s="714">
        <f t="shared" si="54"/>
        <v>0</v>
      </c>
      <c r="S321" s="360">
        <f t="shared" si="45"/>
        <v>0</v>
      </c>
    </row>
    <row r="322" spans="1:19">
      <c r="A322" s="158"/>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0.2</v>
      </c>
      <c r="R322" s="714">
        <f t="shared" si="54"/>
        <v>0</v>
      </c>
      <c r="S322" s="360">
        <f t="shared" si="45"/>
        <v>0</v>
      </c>
    </row>
    <row r="323" spans="1:19">
      <c r="A323" s="158"/>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0.2</v>
      </c>
      <c r="R323" s="714">
        <f t="shared" si="54"/>
        <v>0</v>
      </c>
      <c r="S323" s="360">
        <f t="shared" si="45"/>
        <v>0</v>
      </c>
    </row>
    <row r="324" spans="1:19">
      <c r="A324" s="158"/>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0.2</v>
      </c>
      <c r="R324" s="714">
        <f t="shared" si="54"/>
        <v>0</v>
      </c>
      <c r="S324" s="360">
        <f t="shared" si="45"/>
        <v>0</v>
      </c>
    </row>
    <row r="325" spans="1:19">
      <c r="A325" s="158"/>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0.2</v>
      </c>
      <c r="R325" s="714">
        <f t="shared" si="54"/>
        <v>0</v>
      </c>
      <c r="S325" s="360">
        <f t="shared" si="45"/>
        <v>0</v>
      </c>
    </row>
    <row r="326" spans="1:19">
      <c r="A326" s="158"/>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0.2</v>
      </c>
      <c r="R326" s="714">
        <f t="shared" si="54"/>
        <v>0</v>
      </c>
      <c r="S326" s="360">
        <f t="shared" si="45"/>
        <v>0</v>
      </c>
    </row>
    <row r="327" spans="1:19">
      <c r="A327" s="158"/>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0.2</v>
      </c>
      <c r="R327" s="714">
        <f t="shared" si="54"/>
        <v>0</v>
      </c>
      <c r="S327" s="360">
        <f t="shared" si="45"/>
        <v>0</v>
      </c>
    </row>
    <row r="328" spans="1:19">
      <c r="A328" s="158"/>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0.2</v>
      </c>
      <c r="R328" s="714">
        <f t="shared" si="54"/>
        <v>0</v>
      </c>
      <c r="S328" s="360">
        <f t="shared" si="45"/>
        <v>0</v>
      </c>
    </row>
    <row r="329" spans="1:19">
      <c r="A329" s="158"/>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0.2</v>
      </c>
      <c r="R329" s="714">
        <f t="shared" si="54"/>
        <v>0</v>
      </c>
      <c r="S329" s="360">
        <f t="shared" si="45"/>
        <v>0</v>
      </c>
    </row>
    <row r="330" spans="1:19">
      <c r="A330" s="158"/>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0.2</v>
      </c>
      <c r="R330" s="714">
        <f t="shared" si="54"/>
        <v>0</v>
      </c>
      <c r="S330" s="360">
        <f t="shared" si="45"/>
        <v>0</v>
      </c>
    </row>
    <row r="331" spans="1:19">
      <c r="A331" s="158"/>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0.2</v>
      </c>
      <c r="R331" s="714">
        <f t="shared" si="54"/>
        <v>0</v>
      </c>
      <c r="S331" s="360">
        <f t="shared" si="45"/>
        <v>0</v>
      </c>
    </row>
    <row r="332" spans="1:19">
      <c r="A332" s="158"/>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0.2</v>
      </c>
      <c r="R332" s="714">
        <f t="shared" si="54"/>
        <v>0</v>
      </c>
      <c r="S332" s="360">
        <f t="shared" si="45"/>
        <v>0</v>
      </c>
    </row>
    <row r="333" spans="1:19">
      <c r="A333" s="158"/>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0.2</v>
      </c>
      <c r="R333" s="714">
        <f t="shared" si="54"/>
        <v>0</v>
      </c>
      <c r="S333" s="360">
        <f t="shared" si="45"/>
        <v>0</v>
      </c>
    </row>
    <row r="334" spans="1:19">
      <c r="A334" s="158"/>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0.2</v>
      </c>
      <c r="R334" s="714">
        <f t="shared" si="54"/>
        <v>0</v>
      </c>
      <c r="S334" s="360">
        <f t="shared" si="45"/>
        <v>0</v>
      </c>
    </row>
    <row r="335" spans="1:19">
      <c r="A335" s="158"/>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0.2</v>
      </c>
      <c r="R335" s="714">
        <f t="shared" si="54"/>
        <v>0</v>
      </c>
      <c r="S335" s="360">
        <f t="shared" si="45"/>
        <v>0</v>
      </c>
    </row>
    <row r="336" spans="1:19">
      <c r="A336" s="158"/>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0.2</v>
      </c>
      <c r="R336" s="714">
        <f t="shared" si="54"/>
        <v>0</v>
      </c>
      <c r="S336" s="360">
        <f t="shared" si="45"/>
        <v>0</v>
      </c>
    </row>
    <row r="337" spans="1:19">
      <c r="A337" s="158"/>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0.2</v>
      </c>
      <c r="R337" s="714">
        <f t="shared" si="54"/>
        <v>0</v>
      </c>
      <c r="S337" s="360">
        <f t="shared" si="45"/>
        <v>0</v>
      </c>
    </row>
    <row r="338" spans="1:19">
      <c r="A338" s="158"/>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0.2</v>
      </c>
      <c r="R338" s="714">
        <f t="shared" si="54"/>
        <v>0</v>
      </c>
      <c r="S338" s="360">
        <f t="shared" si="45"/>
        <v>0</v>
      </c>
    </row>
    <row r="339" spans="1:19">
      <c r="A339" s="158"/>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0.2</v>
      </c>
      <c r="R339" s="714">
        <f t="shared" si="54"/>
        <v>0</v>
      </c>
      <c r="S339" s="360">
        <f t="shared" si="45"/>
        <v>0</v>
      </c>
    </row>
    <row r="340" spans="1:19">
      <c r="A340" s="158"/>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0.2</v>
      </c>
      <c r="R340" s="714">
        <f t="shared" si="54"/>
        <v>0</v>
      </c>
      <c r="S340" s="360">
        <f t="shared" si="45"/>
        <v>0</v>
      </c>
    </row>
    <row r="341" spans="1:19">
      <c r="A341" s="158"/>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0.2</v>
      </c>
      <c r="R341" s="714">
        <f t="shared" si="54"/>
        <v>0</v>
      </c>
      <c r="S341" s="360">
        <f t="shared" si="45"/>
        <v>0</v>
      </c>
    </row>
    <row r="342" spans="1:19">
      <c r="A342" s="158"/>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0.2</v>
      </c>
      <c r="R342" s="714">
        <f t="shared" si="54"/>
        <v>0</v>
      </c>
      <c r="S342" s="360">
        <f t="shared" si="45"/>
        <v>0</v>
      </c>
    </row>
    <row r="343" spans="1:19">
      <c r="A343" s="158"/>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0.2</v>
      </c>
      <c r="R343" s="714">
        <f t="shared" si="54"/>
        <v>0</v>
      </c>
      <c r="S343" s="360">
        <f t="shared" si="45"/>
        <v>0</v>
      </c>
    </row>
    <row r="344" spans="1:19">
      <c r="A344" s="158"/>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0.2</v>
      </c>
      <c r="R344" s="714">
        <f t="shared" si="54"/>
        <v>0</v>
      </c>
      <c r="S344" s="360">
        <f t="shared" ref="S344:S407" si="55">ROUND(R344*B344/10000,0)</f>
        <v>0</v>
      </c>
    </row>
    <row r="345" spans="1:19">
      <c r="A345" s="158"/>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0.2</v>
      </c>
      <c r="R345" s="714">
        <f t="shared" si="54"/>
        <v>0</v>
      </c>
      <c r="S345" s="360">
        <f t="shared" si="55"/>
        <v>0</v>
      </c>
    </row>
    <row r="346" spans="1:19">
      <c r="A346" s="158"/>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0.2</v>
      </c>
      <c r="R346" s="714">
        <f t="shared" ref="R346:R409" si="64">IF(B346="",0,ROUND($R$24*C346*E346*G346*I346*K346*M346*O346*Q346,0))</f>
        <v>0</v>
      </c>
      <c r="S346" s="360">
        <f t="shared" si="55"/>
        <v>0</v>
      </c>
    </row>
    <row r="347" spans="1:19">
      <c r="A347" s="158"/>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0.2</v>
      </c>
      <c r="R347" s="714">
        <f t="shared" si="64"/>
        <v>0</v>
      </c>
      <c r="S347" s="360">
        <f t="shared" si="55"/>
        <v>0</v>
      </c>
    </row>
    <row r="348" spans="1:19">
      <c r="A348" s="158"/>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0.2</v>
      </c>
      <c r="R348" s="714">
        <f t="shared" si="64"/>
        <v>0</v>
      </c>
      <c r="S348" s="360">
        <f t="shared" si="55"/>
        <v>0</v>
      </c>
    </row>
    <row r="349" spans="1:19">
      <c r="A349" s="158"/>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0.2</v>
      </c>
      <c r="R349" s="714">
        <f t="shared" si="64"/>
        <v>0</v>
      </c>
      <c r="S349" s="360">
        <f t="shared" si="55"/>
        <v>0</v>
      </c>
    </row>
    <row r="350" spans="1:19">
      <c r="A350" s="158"/>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0.2</v>
      </c>
      <c r="R350" s="714">
        <f t="shared" si="64"/>
        <v>0</v>
      </c>
      <c r="S350" s="360">
        <f t="shared" si="55"/>
        <v>0</v>
      </c>
    </row>
    <row r="351" spans="1:19">
      <c r="A351" s="158"/>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0.2</v>
      </c>
      <c r="R351" s="714">
        <f t="shared" si="64"/>
        <v>0</v>
      </c>
      <c r="S351" s="360">
        <f t="shared" si="55"/>
        <v>0</v>
      </c>
    </row>
    <row r="352" spans="1:19">
      <c r="A352" s="158"/>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0.2</v>
      </c>
      <c r="R352" s="714">
        <f t="shared" si="64"/>
        <v>0</v>
      </c>
      <c r="S352" s="360">
        <f t="shared" si="55"/>
        <v>0</v>
      </c>
    </row>
    <row r="353" spans="1:19">
      <c r="A353" s="158"/>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0.2</v>
      </c>
      <c r="R353" s="714">
        <f t="shared" si="64"/>
        <v>0</v>
      </c>
      <c r="S353" s="360">
        <f t="shared" si="55"/>
        <v>0</v>
      </c>
    </row>
    <row r="354" spans="1:19">
      <c r="A354" s="158"/>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0.2</v>
      </c>
      <c r="R354" s="714">
        <f t="shared" si="64"/>
        <v>0</v>
      </c>
      <c r="S354" s="360">
        <f t="shared" si="55"/>
        <v>0</v>
      </c>
    </row>
    <row r="355" spans="1:19">
      <c r="A355" s="158"/>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0.2</v>
      </c>
      <c r="R355" s="714">
        <f t="shared" si="64"/>
        <v>0</v>
      </c>
      <c r="S355" s="360">
        <f t="shared" si="55"/>
        <v>0</v>
      </c>
    </row>
    <row r="356" spans="1:19">
      <c r="A356" s="158"/>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0.2</v>
      </c>
      <c r="R356" s="714">
        <f t="shared" si="64"/>
        <v>0</v>
      </c>
      <c r="S356" s="360">
        <f t="shared" si="55"/>
        <v>0</v>
      </c>
    </row>
    <row r="357" spans="1:19">
      <c r="A357" s="158"/>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0.2</v>
      </c>
      <c r="R357" s="714">
        <f t="shared" si="64"/>
        <v>0</v>
      </c>
      <c r="S357" s="360">
        <f t="shared" si="55"/>
        <v>0</v>
      </c>
    </row>
    <row r="358" spans="1:19">
      <c r="A358" s="158"/>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0.2</v>
      </c>
      <c r="R358" s="714">
        <f t="shared" si="64"/>
        <v>0</v>
      </c>
      <c r="S358" s="360">
        <f t="shared" si="55"/>
        <v>0</v>
      </c>
    </row>
    <row r="359" spans="1:19">
      <c r="A359" s="158"/>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0.2</v>
      </c>
      <c r="R359" s="714">
        <f t="shared" si="64"/>
        <v>0</v>
      </c>
      <c r="S359" s="360">
        <f t="shared" si="55"/>
        <v>0</v>
      </c>
    </row>
    <row r="360" spans="1:19">
      <c r="A360" s="158"/>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0.2</v>
      </c>
      <c r="R360" s="714">
        <f t="shared" si="64"/>
        <v>0</v>
      </c>
      <c r="S360" s="360">
        <f t="shared" si="55"/>
        <v>0</v>
      </c>
    </row>
    <row r="361" spans="1:19">
      <c r="A361" s="158"/>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0.2</v>
      </c>
      <c r="R361" s="714">
        <f t="shared" si="64"/>
        <v>0</v>
      </c>
      <c r="S361" s="360">
        <f t="shared" si="55"/>
        <v>0</v>
      </c>
    </row>
    <row r="362" spans="1:19">
      <c r="A362" s="158"/>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0.2</v>
      </c>
      <c r="R362" s="714">
        <f t="shared" si="64"/>
        <v>0</v>
      </c>
      <c r="S362" s="360">
        <f t="shared" si="55"/>
        <v>0</v>
      </c>
    </row>
    <row r="363" spans="1:19">
      <c r="A363" s="158"/>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0.2</v>
      </c>
      <c r="R363" s="714">
        <f t="shared" si="64"/>
        <v>0</v>
      </c>
      <c r="S363" s="360">
        <f t="shared" si="55"/>
        <v>0</v>
      </c>
    </row>
    <row r="364" spans="1:19">
      <c r="A364" s="158"/>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0.2</v>
      </c>
      <c r="R364" s="714">
        <f t="shared" si="64"/>
        <v>0</v>
      </c>
      <c r="S364" s="360">
        <f t="shared" si="55"/>
        <v>0</v>
      </c>
    </row>
    <row r="365" spans="1:19">
      <c r="A365" s="158"/>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0.2</v>
      </c>
      <c r="R365" s="714">
        <f t="shared" si="64"/>
        <v>0</v>
      </c>
      <c r="S365" s="360">
        <f t="shared" si="55"/>
        <v>0</v>
      </c>
    </row>
    <row r="366" spans="1:19">
      <c r="A366" s="158"/>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0.2</v>
      </c>
      <c r="R366" s="714">
        <f t="shared" si="64"/>
        <v>0</v>
      </c>
      <c r="S366" s="360">
        <f t="shared" si="55"/>
        <v>0</v>
      </c>
    </row>
    <row r="367" spans="1:19">
      <c r="A367" s="158"/>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0.2</v>
      </c>
      <c r="R367" s="714">
        <f t="shared" si="64"/>
        <v>0</v>
      </c>
      <c r="S367" s="360">
        <f t="shared" si="55"/>
        <v>0</v>
      </c>
    </row>
    <row r="368" spans="1:19">
      <c r="A368" s="158"/>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0.2</v>
      </c>
      <c r="R368" s="714">
        <f t="shared" si="64"/>
        <v>0</v>
      </c>
      <c r="S368" s="360">
        <f t="shared" si="55"/>
        <v>0</v>
      </c>
    </row>
    <row r="369" spans="1:19">
      <c r="A369" s="158"/>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0.2</v>
      </c>
      <c r="R369" s="714">
        <f t="shared" si="64"/>
        <v>0</v>
      </c>
      <c r="S369" s="360">
        <f t="shared" si="55"/>
        <v>0</v>
      </c>
    </row>
    <row r="370" spans="1:19">
      <c r="A370" s="158"/>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0.2</v>
      </c>
      <c r="R370" s="714">
        <f t="shared" si="64"/>
        <v>0</v>
      </c>
      <c r="S370" s="360">
        <f t="shared" si="55"/>
        <v>0</v>
      </c>
    </row>
    <row r="371" spans="1:19">
      <c r="A371" s="158"/>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0.2</v>
      </c>
      <c r="R371" s="714">
        <f t="shared" si="64"/>
        <v>0</v>
      </c>
      <c r="S371" s="360">
        <f t="shared" si="55"/>
        <v>0</v>
      </c>
    </row>
    <row r="372" spans="1:19">
      <c r="A372" s="158"/>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0.2</v>
      </c>
      <c r="R372" s="714">
        <f t="shared" si="64"/>
        <v>0</v>
      </c>
      <c r="S372" s="360">
        <f t="shared" si="55"/>
        <v>0</v>
      </c>
    </row>
    <row r="373" spans="1:19">
      <c r="A373" s="158"/>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0.2</v>
      </c>
      <c r="R373" s="714">
        <f t="shared" si="64"/>
        <v>0</v>
      </c>
      <c r="S373" s="360">
        <f t="shared" si="55"/>
        <v>0</v>
      </c>
    </row>
    <row r="374" spans="1:19">
      <c r="A374" s="158"/>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0.2</v>
      </c>
      <c r="R374" s="714">
        <f t="shared" si="64"/>
        <v>0</v>
      </c>
      <c r="S374" s="360">
        <f t="shared" si="55"/>
        <v>0</v>
      </c>
    </row>
    <row r="375" spans="1:19">
      <c r="A375" s="158"/>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0.2</v>
      </c>
      <c r="R375" s="714">
        <f t="shared" si="64"/>
        <v>0</v>
      </c>
      <c r="S375" s="360">
        <f t="shared" si="55"/>
        <v>0</v>
      </c>
    </row>
    <row r="376" spans="1:19">
      <c r="A376" s="158"/>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0.2</v>
      </c>
      <c r="R376" s="714">
        <f t="shared" si="64"/>
        <v>0</v>
      </c>
      <c r="S376" s="360">
        <f t="shared" si="55"/>
        <v>0</v>
      </c>
    </row>
    <row r="377" spans="1:19">
      <c r="A377" s="158"/>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0.2</v>
      </c>
      <c r="R377" s="714">
        <f t="shared" si="64"/>
        <v>0</v>
      </c>
      <c r="S377" s="360">
        <f t="shared" si="55"/>
        <v>0</v>
      </c>
    </row>
    <row r="378" spans="1:19">
      <c r="A378" s="158"/>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0.2</v>
      </c>
      <c r="R378" s="714">
        <f t="shared" si="64"/>
        <v>0</v>
      </c>
      <c r="S378" s="360">
        <f t="shared" si="55"/>
        <v>0</v>
      </c>
    </row>
    <row r="379" spans="1:19">
      <c r="A379" s="158"/>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0.2</v>
      </c>
      <c r="R379" s="714">
        <f t="shared" si="64"/>
        <v>0</v>
      </c>
      <c r="S379" s="360">
        <f t="shared" si="55"/>
        <v>0</v>
      </c>
    </row>
    <row r="380" spans="1:19">
      <c r="A380" s="158"/>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0.2</v>
      </c>
      <c r="R380" s="714">
        <f t="shared" si="64"/>
        <v>0</v>
      </c>
      <c r="S380" s="360">
        <f t="shared" si="55"/>
        <v>0</v>
      </c>
    </row>
    <row r="381" spans="1:19">
      <c r="A381" s="158"/>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0.2</v>
      </c>
      <c r="R381" s="714">
        <f t="shared" si="64"/>
        <v>0</v>
      </c>
      <c r="S381" s="360">
        <f t="shared" si="55"/>
        <v>0</v>
      </c>
    </row>
    <row r="382" spans="1:19">
      <c r="A382" s="158"/>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0.2</v>
      </c>
      <c r="R382" s="714">
        <f t="shared" si="64"/>
        <v>0</v>
      </c>
      <c r="S382" s="360">
        <f t="shared" si="55"/>
        <v>0</v>
      </c>
    </row>
    <row r="383" spans="1:19">
      <c r="A383" s="158"/>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0.2</v>
      </c>
      <c r="R383" s="714">
        <f t="shared" si="64"/>
        <v>0</v>
      </c>
      <c r="S383" s="360">
        <f t="shared" si="55"/>
        <v>0</v>
      </c>
    </row>
    <row r="384" spans="1:19">
      <c r="A384" s="158"/>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0.2</v>
      </c>
      <c r="R384" s="714">
        <f t="shared" si="64"/>
        <v>0</v>
      </c>
      <c r="S384" s="360">
        <f t="shared" si="55"/>
        <v>0</v>
      </c>
    </row>
    <row r="385" spans="1:19">
      <c r="A385" s="158"/>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0.2</v>
      </c>
      <c r="R385" s="714">
        <f t="shared" si="64"/>
        <v>0</v>
      </c>
      <c r="S385" s="360">
        <f t="shared" si="55"/>
        <v>0</v>
      </c>
    </row>
    <row r="386" spans="1:19">
      <c r="A386" s="158"/>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0.2</v>
      </c>
      <c r="R386" s="714">
        <f t="shared" si="64"/>
        <v>0</v>
      </c>
      <c r="S386" s="360">
        <f t="shared" si="55"/>
        <v>0</v>
      </c>
    </row>
    <row r="387" spans="1:19">
      <c r="A387" s="158"/>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0.2</v>
      </c>
      <c r="R387" s="714">
        <f t="shared" si="64"/>
        <v>0</v>
      </c>
      <c r="S387" s="360">
        <f t="shared" si="55"/>
        <v>0</v>
      </c>
    </row>
    <row r="388" spans="1:19">
      <c r="A388" s="158"/>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0.2</v>
      </c>
      <c r="R388" s="714">
        <f t="shared" si="64"/>
        <v>0</v>
      </c>
      <c r="S388" s="360">
        <f t="shared" si="55"/>
        <v>0</v>
      </c>
    </row>
    <row r="389" spans="1:19">
      <c r="A389" s="158"/>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0.2</v>
      </c>
      <c r="R389" s="714">
        <f t="shared" si="64"/>
        <v>0</v>
      </c>
      <c r="S389" s="360">
        <f t="shared" si="55"/>
        <v>0</v>
      </c>
    </row>
    <row r="390" spans="1:19">
      <c r="A390" s="158"/>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0.2</v>
      </c>
      <c r="R390" s="714">
        <f t="shared" si="64"/>
        <v>0</v>
      </c>
      <c r="S390" s="360">
        <f t="shared" si="55"/>
        <v>0</v>
      </c>
    </row>
    <row r="391" spans="1:19">
      <c r="A391" s="158"/>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0.2</v>
      </c>
      <c r="R391" s="714">
        <f t="shared" si="64"/>
        <v>0</v>
      </c>
      <c r="S391" s="360">
        <f t="shared" si="55"/>
        <v>0</v>
      </c>
    </row>
    <row r="392" spans="1:19">
      <c r="A392" s="158"/>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0.2</v>
      </c>
      <c r="R392" s="714">
        <f t="shared" si="64"/>
        <v>0</v>
      </c>
      <c r="S392" s="360">
        <f t="shared" si="55"/>
        <v>0</v>
      </c>
    </row>
    <row r="393" spans="1:19">
      <c r="A393" s="158"/>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0.2</v>
      </c>
      <c r="R393" s="714">
        <f t="shared" si="64"/>
        <v>0</v>
      </c>
      <c r="S393" s="360">
        <f t="shared" si="55"/>
        <v>0</v>
      </c>
    </row>
    <row r="394" spans="1:19">
      <c r="A394" s="158"/>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0.2</v>
      </c>
      <c r="R394" s="714">
        <f t="shared" si="64"/>
        <v>0</v>
      </c>
      <c r="S394" s="360">
        <f t="shared" si="55"/>
        <v>0</v>
      </c>
    </row>
    <row r="395" spans="1:19">
      <c r="A395" s="158"/>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0.2</v>
      </c>
      <c r="R395" s="714">
        <f t="shared" si="64"/>
        <v>0</v>
      </c>
      <c r="S395" s="360">
        <f t="shared" si="55"/>
        <v>0</v>
      </c>
    </row>
    <row r="396" spans="1:19">
      <c r="A396" s="158"/>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0.2</v>
      </c>
      <c r="R396" s="714">
        <f t="shared" si="64"/>
        <v>0</v>
      </c>
      <c r="S396" s="360">
        <f t="shared" si="55"/>
        <v>0</v>
      </c>
    </row>
    <row r="397" spans="1:19">
      <c r="A397" s="158"/>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0.2</v>
      </c>
      <c r="R397" s="714">
        <f t="shared" si="64"/>
        <v>0</v>
      </c>
      <c r="S397" s="360">
        <f t="shared" si="55"/>
        <v>0</v>
      </c>
    </row>
    <row r="398" spans="1:19">
      <c r="A398" s="158"/>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0.2</v>
      </c>
      <c r="R398" s="714">
        <f t="shared" si="64"/>
        <v>0</v>
      </c>
      <c r="S398" s="360">
        <f t="shared" si="55"/>
        <v>0</v>
      </c>
    </row>
    <row r="399" spans="1:19">
      <c r="A399" s="158"/>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0.2</v>
      </c>
      <c r="R399" s="714">
        <f t="shared" si="64"/>
        <v>0</v>
      </c>
      <c r="S399" s="360">
        <f t="shared" si="55"/>
        <v>0</v>
      </c>
    </row>
    <row r="400" spans="1:19">
      <c r="A400" s="158"/>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0.2</v>
      </c>
      <c r="R400" s="714">
        <f t="shared" si="64"/>
        <v>0</v>
      </c>
      <c r="S400" s="360">
        <f t="shared" si="55"/>
        <v>0</v>
      </c>
    </row>
    <row r="401" spans="1:19">
      <c r="A401" s="158"/>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0.2</v>
      </c>
      <c r="R401" s="714">
        <f t="shared" si="64"/>
        <v>0</v>
      </c>
      <c r="S401" s="360">
        <f t="shared" si="55"/>
        <v>0</v>
      </c>
    </row>
    <row r="402" spans="1:19">
      <c r="A402" s="158"/>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0.2</v>
      </c>
      <c r="R402" s="714">
        <f t="shared" si="64"/>
        <v>0</v>
      </c>
      <c r="S402" s="360">
        <f t="shared" si="55"/>
        <v>0</v>
      </c>
    </row>
    <row r="403" spans="1:19">
      <c r="A403" s="158"/>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0.2</v>
      </c>
      <c r="R403" s="714">
        <f t="shared" si="64"/>
        <v>0</v>
      </c>
      <c r="S403" s="360">
        <f t="shared" si="55"/>
        <v>0</v>
      </c>
    </row>
    <row r="404" spans="1:19">
      <c r="A404" s="158"/>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0.2</v>
      </c>
      <c r="R404" s="714">
        <f t="shared" si="64"/>
        <v>0</v>
      </c>
      <c r="S404" s="360">
        <f t="shared" si="55"/>
        <v>0</v>
      </c>
    </row>
    <row r="405" spans="1:19">
      <c r="A405" s="158"/>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0.2</v>
      </c>
      <c r="R405" s="714">
        <f t="shared" si="64"/>
        <v>0</v>
      </c>
      <c r="S405" s="360">
        <f t="shared" si="55"/>
        <v>0</v>
      </c>
    </row>
    <row r="406" spans="1:19">
      <c r="A406" s="158"/>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0.2</v>
      </c>
      <c r="R406" s="714">
        <f t="shared" si="64"/>
        <v>0</v>
      </c>
      <c r="S406" s="360">
        <f t="shared" si="55"/>
        <v>0</v>
      </c>
    </row>
    <row r="407" spans="1:19">
      <c r="A407" s="158"/>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0.2</v>
      </c>
      <c r="R407" s="714">
        <f t="shared" si="64"/>
        <v>0</v>
      </c>
      <c r="S407" s="360">
        <f t="shared" si="55"/>
        <v>0</v>
      </c>
    </row>
    <row r="408" spans="1:19">
      <c r="A408" s="158"/>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0.2</v>
      </c>
      <c r="R408" s="714">
        <f t="shared" si="64"/>
        <v>0</v>
      </c>
      <c r="S408" s="360">
        <f t="shared" ref="S408:S471" si="65">ROUND(R408*B408/10000,0)</f>
        <v>0</v>
      </c>
    </row>
    <row r="409" spans="1:19">
      <c r="A409" s="158"/>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0.2</v>
      </c>
      <c r="R409" s="714">
        <f t="shared" si="64"/>
        <v>0</v>
      </c>
      <c r="S409" s="360">
        <f t="shared" si="65"/>
        <v>0</v>
      </c>
    </row>
    <row r="410" spans="1:19">
      <c r="A410" s="158"/>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0.2</v>
      </c>
      <c r="R410" s="714">
        <f t="shared" ref="R410:R473" si="74">IF(B410="",0,ROUND($R$24*C410*E410*G410*I410*K410*M410*O410*Q410,0))</f>
        <v>0</v>
      </c>
      <c r="S410" s="360">
        <f t="shared" si="65"/>
        <v>0</v>
      </c>
    </row>
    <row r="411" spans="1:19">
      <c r="A411" s="158"/>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0.2</v>
      </c>
      <c r="R411" s="714">
        <f t="shared" si="74"/>
        <v>0</v>
      </c>
      <c r="S411" s="360">
        <f t="shared" si="65"/>
        <v>0</v>
      </c>
    </row>
    <row r="412" spans="1:19">
      <c r="A412" s="158"/>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0.2</v>
      </c>
      <c r="R412" s="714">
        <f t="shared" si="74"/>
        <v>0</v>
      </c>
      <c r="S412" s="360">
        <f t="shared" si="65"/>
        <v>0</v>
      </c>
    </row>
    <row r="413" spans="1:19">
      <c r="A413" s="158"/>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0.2</v>
      </c>
      <c r="R413" s="714">
        <f t="shared" si="74"/>
        <v>0</v>
      </c>
      <c r="S413" s="360">
        <f t="shared" si="65"/>
        <v>0</v>
      </c>
    </row>
    <row r="414" spans="1:19">
      <c r="A414" s="158"/>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0.2</v>
      </c>
      <c r="R414" s="714">
        <f t="shared" si="74"/>
        <v>0</v>
      </c>
      <c r="S414" s="360">
        <f t="shared" si="65"/>
        <v>0</v>
      </c>
    </row>
    <row r="415" spans="1:19">
      <c r="A415" s="158"/>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0.2</v>
      </c>
      <c r="R415" s="714">
        <f t="shared" si="74"/>
        <v>0</v>
      </c>
      <c r="S415" s="360">
        <f t="shared" si="65"/>
        <v>0</v>
      </c>
    </row>
    <row r="416" spans="1:19">
      <c r="A416" s="158"/>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0.2</v>
      </c>
      <c r="R416" s="714">
        <f t="shared" si="74"/>
        <v>0</v>
      </c>
      <c r="S416" s="360">
        <f t="shared" si="65"/>
        <v>0</v>
      </c>
    </row>
    <row r="417" spans="1:19">
      <c r="A417" s="158"/>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0.2</v>
      </c>
      <c r="R417" s="714">
        <f t="shared" si="74"/>
        <v>0</v>
      </c>
      <c r="S417" s="360">
        <f t="shared" si="65"/>
        <v>0</v>
      </c>
    </row>
    <row r="418" spans="1:19">
      <c r="A418" s="158"/>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0.2</v>
      </c>
      <c r="R418" s="714">
        <f t="shared" si="74"/>
        <v>0</v>
      </c>
      <c r="S418" s="360">
        <f t="shared" si="65"/>
        <v>0</v>
      </c>
    </row>
    <row r="419" spans="1:19">
      <c r="A419" s="158"/>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0.2</v>
      </c>
      <c r="R419" s="714">
        <f t="shared" si="74"/>
        <v>0</v>
      </c>
      <c r="S419" s="360">
        <f t="shared" si="65"/>
        <v>0</v>
      </c>
    </row>
    <row r="420" spans="1:19">
      <c r="A420" s="158"/>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0.2</v>
      </c>
      <c r="R420" s="714">
        <f t="shared" si="74"/>
        <v>0</v>
      </c>
      <c r="S420" s="360">
        <f t="shared" si="65"/>
        <v>0</v>
      </c>
    </row>
    <row r="421" spans="1:19">
      <c r="A421" s="158"/>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0.2</v>
      </c>
      <c r="R421" s="714">
        <f t="shared" si="74"/>
        <v>0</v>
      </c>
      <c r="S421" s="360">
        <f t="shared" si="65"/>
        <v>0</v>
      </c>
    </row>
    <row r="422" spans="1:19">
      <c r="A422" s="158"/>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0.2</v>
      </c>
      <c r="R422" s="714">
        <f t="shared" si="74"/>
        <v>0</v>
      </c>
      <c r="S422" s="360">
        <f t="shared" si="65"/>
        <v>0</v>
      </c>
    </row>
    <row r="423" spans="1:19">
      <c r="A423" s="158"/>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0.2</v>
      </c>
      <c r="R423" s="714">
        <f t="shared" si="74"/>
        <v>0</v>
      </c>
      <c r="S423" s="360">
        <f t="shared" si="65"/>
        <v>0</v>
      </c>
    </row>
    <row r="424" spans="1:19">
      <c r="A424" s="158"/>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0.2</v>
      </c>
      <c r="R424" s="714">
        <f t="shared" si="74"/>
        <v>0</v>
      </c>
      <c r="S424" s="360">
        <f t="shared" si="65"/>
        <v>0</v>
      </c>
    </row>
    <row r="425" spans="1:19">
      <c r="A425" s="158"/>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0.2</v>
      </c>
      <c r="R425" s="714">
        <f t="shared" si="74"/>
        <v>0</v>
      </c>
      <c r="S425" s="360">
        <f t="shared" si="65"/>
        <v>0</v>
      </c>
    </row>
    <row r="426" spans="1:19">
      <c r="A426" s="158"/>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0.2</v>
      </c>
      <c r="R426" s="714">
        <f t="shared" si="74"/>
        <v>0</v>
      </c>
      <c r="S426" s="360">
        <f t="shared" si="65"/>
        <v>0</v>
      </c>
    </row>
    <row r="427" spans="1:19">
      <c r="A427" s="158"/>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0.2</v>
      </c>
      <c r="R427" s="714">
        <f t="shared" si="74"/>
        <v>0</v>
      </c>
      <c r="S427" s="360">
        <f t="shared" si="65"/>
        <v>0</v>
      </c>
    </row>
    <row r="428" spans="1:19">
      <c r="A428" s="158"/>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0.2</v>
      </c>
      <c r="R428" s="714">
        <f t="shared" si="74"/>
        <v>0</v>
      </c>
      <c r="S428" s="360">
        <f t="shared" si="65"/>
        <v>0</v>
      </c>
    </row>
    <row r="429" spans="1:19">
      <c r="A429" s="158"/>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0.2</v>
      </c>
      <c r="R429" s="714">
        <f t="shared" si="74"/>
        <v>0</v>
      </c>
      <c r="S429" s="360">
        <f t="shared" si="65"/>
        <v>0</v>
      </c>
    </row>
    <row r="430" spans="1:19">
      <c r="A430" s="158"/>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0.2</v>
      </c>
      <c r="R430" s="714">
        <f t="shared" si="74"/>
        <v>0</v>
      </c>
      <c r="S430" s="360">
        <f t="shared" si="65"/>
        <v>0</v>
      </c>
    </row>
    <row r="431" spans="1:19">
      <c r="A431" s="158"/>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0.2</v>
      </c>
      <c r="R431" s="714">
        <f t="shared" si="74"/>
        <v>0</v>
      </c>
      <c r="S431" s="360">
        <f t="shared" si="65"/>
        <v>0</v>
      </c>
    </row>
    <row r="432" spans="1:19">
      <c r="A432" s="158"/>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0.2</v>
      </c>
      <c r="R432" s="714">
        <f t="shared" si="74"/>
        <v>0</v>
      </c>
      <c r="S432" s="360">
        <f t="shared" si="65"/>
        <v>0</v>
      </c>
    </row>
    <row r="433" spans="1:19">
      <c r="A433" s="158"/>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0.2</v>
      </c>
      <c r="R433" s="714">
        <f t="shared" si="74"/>
        <v>0</v>
      </c>
      <c r="S433" s="360">
        <f t="shared" si="65"/>
        <v>0</v>
      </c>
    </row>
    <row r="434" spans="1:19">
      <c r="A434" s="158"/>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0.2</v>
      </c>
      <c r="R434" s="714">
        <f t="shared" si="74"/>
        <v>0</v>
      </c>
      <c r="S434" s="360">
        <f t="shared" si="65"/>
        <v>0</v>
      </c>
    </row>
    <row r="435" spans="1:19">
      <c r="A435" s="158"/>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0.2</v>
      </c>
      <c r="R435" s="714">
        <f t="shared" si="74"/>
        <v>0</v>
      </c>
      <c r="S435" s="360">
        <f t="shared" si="65"/>
        <v>0</v>
      </c>
    </row>
    <row r="436" spans="1:19">
      <c r="A436" s="158"/>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0.2</v>
      </c>
      <c r="R436" s="714">
        <f t="shared" si="74"/>
        <v>0</v>
      </c>
      <c r="S436" s="360">
        <f t="shared" si="65"/>
        <v>0</v>
      </c>
    </row>
    <row r="437" spans="1:19">
      <c r="A437" s="158"/>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0.2</v>
      </c>
      <c r="R437" s="714">
        <f t="shared" si="74"/>
        <v>0</v>
      </c>
      <c r="S437" s="360">
        <f t="shared" si="65"/>
        <v>0</v>
      </c>
    </row>
    <row r="438" spans="1:19">
      <c r="A438" s="158"/>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0.2</v>
      </c>
      <c r="R438" s="714">
        <f t="shared" si="74"/>
        <v>0</v>
      </c>
      <c r="S438" s="360">
        <f t="shared" si="65"/>
        <v>0</v>
      </c>
    </row>
    <row r="439" spans="1:19">
      <c r="A439" s="158"/>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0.2</v>
      </c>
      <c r="R439" s="714">
        <f t="shared" si="74"/>
        <v>0</v>
      </c>
      <c r="S439" s="360">
        <f t="shared" si="65"/>
        <v>0</v>
      </c>
    </row>
    <row r="440" spans="1:19">
      <c r="A440" s="158"/>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0.2</v>
      </c>
      <c r="R440" s="714">
        <f t="shared" si="74"/>
        <v>0</v>
      </c>
      <c r="S440" s="360">
        <f t="shared" si="65"/>
        <v>0</v>
      </c>
    </row>
    <row r="441" spans="1:19">
      <c r="A441" s="158"/>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0.2</v>
      </c>
      <c r="R441" s="714">
        <f t="shared" si="74"/>
        <v>0</v>
      </c>
      <c r="S441" s="360">
        <f t="shared" si="65"/>
        <v>0</v>
      </c>
    </row>
    <row r="442" spans="1:19">
      <c r="A442" s="158"/>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0.2</v>
      </c>
      <c r="R442" s="714">
        <f t="shared" si="74"/>
        <v>0</v>
      </c>
      <c r="S442" s="360">
        <f t="shared" si="65"/>
        <v>0</v>
      </c>
    </row>
    <row r="443" spans="1:19">
      <c r="A443" s="158"/>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0.2</v>
      </c>
      <c r="R443" s="714">
        <f t="shared" si="74"/>
        <v>0</v>
      </c>
      <c r="S443" s="360">
        <f t="shared" si="65"/>
        <v>0</v>
      </c>
    </row>
    <row r="444" spans="1:19">
      <c r="A444" s="158"/>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0.2</v>
      </c>
      <c r="R444" s="714">
        <f t="shared" si="74"/>
        <v>0</v>
      </c>
      <c r="S444" s="360">
        <f t="shared" si="65"/>
        <v>0</v>
      </c>
    </row>
    <row r="445" spans="1:19">
      <c r="A445" s="158"/>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0.2</v>
      </c>
      <c r="R445" s="714">
        <f t="shared" si="74"/>
        <v>0</v>
      </c>
      <c r="S445" s="360">
        <f t="shared" si="65"/>
        <v>0</v>
      </c>
    </row>
    <row r="446" spans="1:19">
      <c r="A446" s="158"/>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0.2</v>
      </c>
      <c r="R446" s="714">
        <f t="shared" si="74"/>
        <v>0</v>
      </c>
      <c r="S446" s="360">
        <f t="shared" si="65"/>
        <v>0</v>
      </c>
    </row>
    <row r="447" spans="1:19">
      <c r="A447" s="158"/>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0.2</v>
      </c>
      <c r="R447" s="714">
        <f t="shared" si="74"/>
        <v>0</v>
      </c>
      <c r="S447" s="360">
        <f t="shared" si="65"/>
        <v>0</v>
      </c>
    </row>
    <row r="448" spans="1:19">
      <c r="A448" s="158"/>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0.2</v>
      </c>
      <c r="R448" s="714">
        <f t="shared" si="74"/>
        <v>0</v>
      </c>
      <c r="S448" s="360">
        <f t="shared" si="65"/>
        <v>0</v>
      </c>
    </row>
    <row r="449" spans="1:19">
      <c r="A449" s="158"/>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0.2</v>
      </c>
      <c r="R449" s="714">
        <f t="shared" si="74"/>
        <v>0</v>
      </c>
      <c r="S449" s="360">
        <f t="shared" si="65"/>
        <v>0</v>
      </c>
    </row>
    <row r="450" spans="1:19">
      <c r="A450" s="158"/>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0.2</v>
      </c>
      <c r="R450" s="714">
        <f t="shared" si="74"/>
        <v>0</v>
      </c>
      <c r="S450" s="360">
        <f t="shared" si="65"/>
        <v>0</v>
      </c>
    </row>
    <row r="451" spans="1:19">
      <c r="A451" s="158"/>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0.2</v>
      </c>
      <c r="R451" s="714">
        <f t="shared" si="74"/>
        <v>0</v>
      </c>
      <c r="S451" s="360">
        <f t="shared" si="65"/>
        <v>0</v>
      </c>
    </row>
    <row r="452" spans="1:19">
      <c r="A452" s="158"/>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0.2</v>
      </c>
      <c r="R452" s="714">
        <f t="shared" si="74"/>
        <v>0</v>
      </c>
      <c r="S452" s="360">
        <f t="shared" si="65"/>
        <v>0</v>
      </c>
    </row>
    <row r="453" spans="1:19">
      <c r="A453" s="158"/>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0.2</v>
      </c>
      <c r="R453" s="714">
        <f t="shared" si="74"/>
        <v>0</v>
      </c>
      <c r="S453" s="360">
        <f t="shared" si="65"/>
        <v>0</v>
      </c>
    </row>
    <row r="454" spans="1:19">
      <c r="A454" s="158"/>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0.2</v>
      </c>
      <c r="R454" s="714">
        <f t="shared" si="74"/>
        <v>0</v>
      </c>
      <c r="S454" s="360">
        <f t="shared" si="65"/>
        <v>0</v>
      </c>
    </row>
    <row r="455" spans="1:19">
      <c r="A455" s="158"/>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0.2</v>
      </c>
      <c r="R455" s="714">
        <f t="shared" si="74"/>
        <v>0</v>
      </c>
      <c r="S455" s="360">
        <f t="shared" si="65"/>
        <v>0</v>
      </c>
    </row>
    <row r="456" spans="1:19">
      <c r="A456" s="158"/>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0.2</v>
      </c>
      <c r="R456" s="714">
        <f t="shared" si="74"/>
        <v>0</v>
      </c>
      <c r="S456" s="360">
        <f t="shared" si="65"/>
        <v>0</v>
      </c>
    </row>
    <row r="457" spans="1:19">
      <c r="A457" s="158"/>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0.2</v>
      </c>
      <c r="R457" s="714">
        <f t="shared" si="74"/>
        <v>0</v>
      </c>
      <c r="S457" s="360">
        <f t="shared" si="65"/>
        <v>0</v>
      </c>
    </row>
    <row r="458" spans="1:19">
      <c r="A458" s="158"/>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0.2</v>
      </c>
      <c r="R458" s="714">
        <f t="shared" si="74"/>
        <v>0</v>
      </c>
      <c r="S458" s="360">
        <f t="shared" si="65"/>
        <v>0</v>
      </c>
    </row>
    <row r="459" spans="1:19">
      <c r="A459" s="158"/>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0.2</v>
      </c>
      <c r="R459" s="714">
        <f t="shared" si="74"/>
        <v>0</v>
      </c>
      <c r="S459" s="360">
        <f t="shared" si="65"/>
        <v>0</v>
      </c>
    </row>
    <row r="460" spans="1:19">
      <c r="A460" s="158"/>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0.2</v>
      </c>
      <c r="R460" s="714">
        <f t="shared" si="74"/>
        <v>0</v>
      </c>
      <c r="S460" s="360">
        <f t="shared" si="65"/>
        <v>0</v>
      </c>
    </row>
    <row r="461" spans="1:19">
      <c r="A461" s="158"/>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0.2</v>
      </c>
      <c r="R461" s="714">
        <f t="shared" si="74"/>
        <v>0</v>
      </c>
      <c r="S461" s="360">
        <f t="shared" si="65"/>
        <v>0</v>
      </c>
    </row>
    <row r="462" spans="1:19">
      <c r="A462" s="158"/>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0.2</v>
      </c>
      <c r="R462" s="714">
        <f t="shared" si="74"/>
        <v>0</v>
      </c>
      <c r="S462" s="360">
        <f t="shared" si="65"/>
        <v>0</v>
      </c>
    </row>
    <row r="463" spans="1:19">
      <c r="A463" s="158"/>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0.2</v>
      </c>
      <c r="R463" s="714">
        <f t="shared" si="74"/>
        <v>0</v>
      </c>
      <c r="S463" s="360">
        <f t="shared" si="65"/>
        <v>0</v>
      </c>
    </row>
    <row r="464" spans="1:19">
      <c r="A464" s="158"/>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0.2</v>
      </c>
      <c r="R464" s="714">
        <f t="shared" si="74"/>
        <v>0</v>
      </c>
      <c r="S464" s="360">
        <f t="shared" si="65"/>
        <v>0</v>
      </c>
    </row>
    <row r="465" spans="1:19">
      <c r="A465" s="158"/>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0.2</v>
      </c>
      <c r="R465" s="714">
        <f t="shared" si="74"/>
        <v>0</v>
      </c>
      <c r="S465" s="360">
        <f t="shared" si="65"/>
        <v>0</v>
      </c>
    </row>
    <row r="466" spans="1:19">
      <c r="A466" s="158"/>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0.2</v>
      </c>
      <c r="R466" s="714">
        <f t="shared" si="74"/>
        <v>0</v>
      </c>
      <c r="S466" s="360">
        <f t="shared" si="65"/>
        <v>0</v>
      </c>
    </row>
    <row r="467" spans="1:19">
      <c r="A467" s="158"/>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0.2</v>
      </c>
      <c r="R467" s="714">
        <f t="shared" si="74"/>
        <v>0</v>
      </c>
      <c r="S467" s="360">
        <f t="shared" si="65"/>
        <v>0</v>
      </c>
    </row>
    <row r="468" spans="1:19">
      <c r="A468" s="158"/>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0.2</v>
      </c>
      <c r="R468" s="714">
        <f t="shared" si="74"/>
        <v>0</v>
      </c>
      <c r="S468" s="360">
        <f t="shared" si="65"/>
        <v>0</v>
      </c>
    </row>
    <row r="469" spans="1:19">
      <c r="A469" s="158"/>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0.2</v>
      </c>
      <c r="R469" s="714">
        <f t="shared" si="74"/>
        <v>0</v>
      </c>
      <c r="S469" s="360">
        <f t="shared" si="65"/>
        <v>0</v>
      </c>
    </row>
    <row r="470" spans="1:19">
      <c r="A470" s="158"/>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0.2</v>
      </c>
      <c r="R470" s="714">
        <f t="shared" si="74"/>
        <v>0</v>
      </c>
      <c r="S470" s="360">
        <f t="shared" si="65"/>
        <v>0</v>
      </c>
    </row>
    <row r="471" spans="1:19">
      <c r="A471" s="158"/>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0.2</v>
      </c>
      <c r="R471" s="714">
        <f t="shared" si="74"/>
        <v>0</v>
      </c>
      <c r="S471" s="360">
        <f t="shared" si="65"/>
        <v>0</v>
      </c>
    </row>
    <row r="472" spans="1:19">
      <c r="A472" s="158"/>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0.2</v>
      </c>
      <c r="R472" s="714">
        <f t="shared" si="74"/>
        <v>0</v>
      </c>
      <c r="S472" s="360">
        <f t="shared" ref="S472:S524" si="75">ROUND(R472*B472/10000,0)</f>
        <v>0</v>
      </c>
    </row>
    <row r="473" spans="1:19">
      <c r="A473" s="158"/>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0.2</v>
      </c>
      <c r="R473" s="714">
        <f t="shared" si="74"/>
        <v>0</v>
      </c>
      <c r="S473" s="360">
        <f t="shared" si="75"/>
        <v>0</v>
      </c>
    </row>
    <row r="474" spans="1:19">
      <c r="A474" s="158"/>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0.2</v>
      </c>
      <c r="R474" s="714">
        <f t="shared" ref="R474:R524" si="84">IF(B474="",0,ROUND($R$24*C474*E474*G474*I474*K474*M474*O474*Q474,0))</f>
        <v>0</v>
      </c>
      <c r="S474" s="360">
        <f t="shared" si="75"/>
        <v>0</v>
      </c>
    </row>
    <row r="475" spans="1:19">
      <c r="A475" s="158"/>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0.2</v>
      </c>
      <c r="R475" s="714">
        <f t="shared" si="84"/>
        <v>0</v>
      </c>
      <c r="S475" s="360">
        <f t="shared" si="75"/>
        <v>0</v>
      </c>
    </row>
    <row r="476" spans="1:19">
      <c r="A476" s="158"/>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0.2</v>
      </c>
      <c r="R476" s="714">
        <f t="shared" si="84"/>
        <v>0</v>
      </c>
      <c r="S476" s="360">
        <f t="shared" si="75"/>
        <v>0</v>
      </c>
    </row>
    <row r="477" spans="1:19">
      <c r="A477" s="158"/>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0.2</v>
      </c>
      <c r="R477" s="714">
        <f t="shared" si="84"/>
        <v>0</v>
      </c>
      <c r="S477" s="360">
        <f t="shared" si="75"/>
        <v>0</v>
      </c>
    </row>
    <row r="478" spans="1:19">
      <c r="A478" s="158"/>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0.2</v>
      </c>
      <c r="R478" s="714">
        <f t="shared" si="84"/>
        <v>0</v>
      </c>
      <c r="S478" s="360">
        <f t="shared" si="75"/>
        <v>0</v>
      </c>
    </row>
    <row r="479" spans="1:19">
      <c r="A479" s="158"/>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0.2</v>
      </c>
      <c r="R479" s="714">
        <f t="shared" si="84"/>
        <v>0</v>
      </c>
      <c r="S479" s="360">
        <f t="shared" si="75"/>
        <v>0</v>
      </c>
    </row>
    <row r="480" spans="1:19">
      <c r="A480" s="158"/>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0.2</v>
      </c>
      <c r="R480" s="714">
        <f t="shared" si="84"/>
        <v>0</v>
      </c>
      <c r="S480" s="360">
        <f t="shared" si="75"/>
        <v>0</v>
      </c>
    </row>
    <row r="481" spans="1:19">
      <c r="A481" s="158"/>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0.2</v>
      </c>
      <c r="R481" s="714">
        <f t="shared" si="84"/>
        <v>0</v>
      </c>
      <c r="S481" s="360">
        <f t="shared" si="75"/>
        <v>0</v>
      </c>
    </row>
    <row r="482" spans="1:19">
      <c r="A482" s="158"/>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0.2</v>
      </c>
      <c r="R482" s="714">
        <f t="shared" si="84"/>
        <v>0</v>
      </c>
      <c r="S482" s="360">
        <f t="shared" si="75"/>
        <v>0</v>
      </c>
    </row>
    <row r="483" spans="1:19">
      <c r="A483" s="158"/>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0.2</v>
      </c>
      <c r="R483" s="714">
        <f t="shared" si="84"/>
        <v>0</v>
      </c>
      <c r="S483" s="360">
        <f t="shared" si="75"/>
        <v>0</v>
      </c>
    </row>
    <row r="484" spans="1:19">
      <c r="A484" s="158"/>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0.2</v>
      </c>
      <c r="R484" s="714">
        <f t="shared" si="84"/>
        <v>0</v>
      </c>
      <c r="S484" s="360">
        <f t="shared" si="75"/>
        <v>0</v>
      </c>
    </row>
    <row r="485" spans="1:19">
      <c r="A485" s="158"/>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0.2</v>
      </c>
      <c r="R485" s="714">
        <f t="shared" si="84"/>
        <v>0</v>
      </c>
      <c r="S485" s="360">
        <f t="shared" si="75"/>
        <v>0</v>
      </c>
    </row>
    <row r="486" spans="1:19">
      <c r="A486" s="158"/>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0.2</v>
      </c>
      <c r="R486" s="714">
        <f t="shared" si="84"/>
        <v>0</v>
      </c>
      <c r="S486" s="360">
        <f t="shared" si="75"/>
        <v>0</v>
      </c>
    </row>
    <row r="487" spans="1:19">
      <c r="A487" s="158"/>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0.2</v>
      </c>
      <c r="R487" s="714">
        <f t="shared" si="84"/>
        <v>0</v>
      </c>
      <c r="S487" s="360">
        <f t="shared" si="75"/>
        <v>0</v>
      </c>
    </row>
    <row r="488" spans="1:19">
      <c r="A488" s="158"/>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0.2</v>
      </c>
      <c r="R488" s="714">
        <f t="shared" si="84"/>
        <v>0</v>
      </c>
      <c r="S488" s="360">
        <f t="shared" si="75"/>
        <v>0</v>
      </c>
    </row>
    <row r="489" spans="1:19">
      <c r="A489" s="158"/>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0.2</v>
      </c>
      <c r="R489" s="714">
        <f t="shared" si="84"/>
        <v>0</v>
      </c>
      <c r="S489" s="360">
        <f t="shared" si="75"/>
        <v>0</v>
      </c>
    </row>
    <row r="490" spans="1:19">
      <c r="A490" s="158"/>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0.2</v>
      </c>
      <c r="R490" s="714">
        <f t="shared" si="84"/>
        <v>0</v>
      </c>
      <c r="S490" s="360">
        <f t="shared" si="75"/>
        <v>0</v>
      </c>
    </row>
    <row r="491" spans="1:19">
      <c r="A491" s="158"/>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0.2</v>
      </c>
      <c r="R491" s="714">
        <f t="shared" si="84"/>
        <v>0</v>
      </c>
      <c r="S491" s="360">
        <f t="shared" si="75"/>
        <v>0</v>
      </c>
    </row>
    <row r="492" spans="1:19">
      <c r="A492" s="158"/>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0.2</v>
      </c>
      <c r="R492" s="714">
        <f t="shared" si="84"/>
        <v>0</v>
      </c>
      <c r="S492" s="360">
        <f t="shared" si="75"/>
        <v>0</v>
      </c>
    </row>
    <row r="493" spans="1:19">
      <c r="A493" s="158"/>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0.2</v>
      </c>
      <c r="R493" s="714">
        <f t="shared" si="84"/>
        <v>0</v>
      </c>
      <c r="S493" s="360">
        <f t="shared" si="75"/>
        <v>0</v>
      </c>
    </row>
    <row r="494" spans="1:19">
      <c r="A494" s="158"/>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0.2</v>
      </c>
      <c r="R494" s="714">
        <f t="shared" si="84"/>
        <v>0</v>
      </c>
      <c r="S494" s="360">
        <f t="shared" si="75"/>
        <v>0</v>
      </c>
    </row>
    <row r="495" spans="1:19">
      <c r="A495" s="158"/>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0.2</v>
      </c>
      <c r="R495" s="714">
        <f t="shared" si="84"/>
        <v>0</v>
      </c>
      <c r="S495" s="360">
        <f t="shared" si="75"/>
        <v>0</v>
      </c>
    </row>
    <row r="496" spans="1:19">
      <c r="A496" s="158"/>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0.2</v>
      </c>
      <c r="R496" s="714">
        <f t="shared" si="84"/>
        <v>0</v>
      </c>
      <c r="S496" s="360">
        <f t="shared" si="75"/>
        <v>0</v>
      </c>
    </row>
    <row r="497" spans="1:19">
      <c r="A497" s="158"/>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0.2</v>
      </c>
      <c r="R497" s="714">
        <f t="shared" si="84"/>
        <v>0</v>
      </c>
      <c r="S497" s="360">
        <f t="shared" si="75"/>
        <v>0</v>
      </c>
    </row>
    <row r="498" spans="1:19">
      <c r="A498" s="158"/>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0.2</v>
      </c>
      <c r="R498" s="714">
        <f t="shared" si="84"/>
        <v>0</v>
      </c>
      <c r="S498" s="360">
        <f t="shared" si="75"/>
        <v>0</v>
      </c>
    </row>
    <row r="499" spans="1:19">
      <c r="A499" s="158"/>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0.2</v>
      </c>
      <c r="R499" s="714">
        <f t="shared" si="84"/>
        <v>0</v>
      </c>
      <c r="S499" s="360">
        <f t="shared" si="75"/>
        <v>0</v>
      </c>
    </row>
    <row r="500" spans="1:19">
      <c r="A500" s="158"/>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0.2</v>
      </c>
      <c r="R500" s="714">
        <f t="shared" si="84"/>
        <v>0</v>
      </c>
      <c r="S500" s="360">
        <f t="shared" si="75"/>
        <v>0</v>
      </c>
    </row>
    <row r="501" spans="1:19">
      <c r="A501" s="158"/>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0.2</v>
      </c>
      <c r="R501" s="714">
        <f t="shared" si="84"/>
        <v>0</v>
      </c>
      <c r="S501" s="360">
        <f t="shared" si="75"/>
        <v>0</v>
      </c>
    </row>
    <row r="502" spans="1:19">
      <c r="A502" s="158"/>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0.2</v>
      </c>
      <c r="R502" s="714">
        <f t="shared" si="84"/>
        <v>0</v>
      </c>
      <c r="S502" s="360">
        <f t="shared" si="75"/>
        <v>0</v>
      </c>
    </row>
    <row r="503" spans="1:19">
      <c r="A503" s="158"/>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0.2</v>
      </c>
      <c r="R503" s="714">
        <f t="shared" si="84"/>
        <v>0</v>
      </c>
      <c r="S503" s="360">
        <f t="shared" si="75"/>
        <v>0</v>
      </c>
    </row>
    <row r="504" spans="1:19">
      <c r="A504" s="158"/>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0.2</v>
      </c>
      <c r="R504" s="714">
        <f t="shared" si="84"/>
        <v>0</v>
      </c>
      <c r="S504" s="360">
        <f t="shared" si="75"/>
        <v>0</v>
      </c>
    </row>
    <row r="505" spans="1:19">
      <c r="A505" s="158"/>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0.2</v>
      </c>
      <c r="R505" s="714">
        <f t="shared" si="84"/>
        <v>0</v>
      </c>
      <c r="S505" s="360">
        <f t="shared" si="75"/>
        <v>0</v>
      </c>
    </row>
    <row r="506" spans="1:19">
      <c r="A506" s="158"/>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0.2</v>
      </c>
      <c r="R506" s="714">
        <f t="shared" si="84"/>
        <v>0</v>
      </c>
      <c r="S506" s="360">
        <f t="shared" si="75"/>
        <v>0</v>
      </c>
    </row>
    <row r="507" spans="1:19">
      <c r="A507" s="158"/>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0.2</v>
      </c>
      <c r="R507" s="714">
        <f t="shared" si="84"/>
        <v>0</v>
      </c>
      <c r="S507" s="360">
        <f t="shared" si="75"/>
        <v>0</v>
      </c>
    </row>
    <row r="508" spans="1:19">
      <c r="A508" s="158"/>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0.2</v>
      </c>
      <c r="R508" s="714">
        <f t="shared" si="84"/>
        <v>0</v>
      </c>
      <c r="S508" s="360">
        <f t="shared" si="75"/>
        <v>0</v>
      </c>
    </row>
    <row r="509" spans="1:19">
      <c r="A509" s="158"/>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0.2</v>
      </c>
      <c r="R509" s="714">
        <f t="shared" si="84"/>
        <v>0</v>
      </c>
      <c r="S509" s="360">
        <f t="shared" si="75"/>
        <v>0</v>
      </c>
    </row>
    <row r="510" spans="1:19">
      <c r="A510" s="158"/>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0.2</v>
      </c>
      <c r="R510" s="714">
        <f t="shared" si="84"/>
        <v>0</v>
      </c>
      <c r="S510" s="360">
        <f t="shared" si="75"/>
        <v>0</v>
      </c>
    </row>
    <row r="511" spans="1:19">
      <c r="A511" s="158"/>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0.2</v>
      </c>
      <c r="R511" s="714">
        <f t="shared" si="84"/>
        <v>0</v>
      </c>
      <c r="S511" s="360">
        <f t="shared" si="75"/>
        <v>0</v>
      </c>
    </row>
    <row r="512" spans="1:19">
      <c r="A512" s="158"/>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0.2</v>
      </c>
      <c r="R512" s="714">
        <f t="shared" si="84"/>
        <v>0</v>
      </c>
      <c r="S512" s="360">
        <f t="shared" si="75"/>
        <v>0</v>
      </c>
    </row>
    <row r="513" spans="1:19">
      <c r="A513" s="158"/>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0.2</v>
      </c>
      <c r="R513" s="714">
        <f t="shared" si="84"/>
        <v>0</v>
      </c>
      <c r="S513" s="360">
        <f t="shared" si="75"/>
        <v>0</v>
      </c>
    </row>
    <row r="514" spans="1:19">
      <c r="A514" s="158"/>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0.2</v>
      </c>
      <c r="R514" s="714">
        <f t="shared" si="84"/>
        <v>0</v>
      </c>
      <c r="S514" s="360">
        <f t="shared" si="75"/>
        <v>0</v>
      </c>
    </row>
    <row r="515" spans="1:19">
      <c r="A515" s="158"/>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0.2</v>
      </c>
      <c r="R515" s="714">
        <f t="shared" si="84"/>
        <v>0</v>
      </c>
      <c r="S515" s="360">
        <f t="shared" si="75"/>
        <v>0</v>
      </c>
    </row>
    <row r="516" spans="1:19">
      <c r="A516" s="158"/>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0.2</v>
      </c>
      <c r="R516" s="714">
        <f t="shared" si="84"/>
        <v>0</v>
      </c>
      <c r="S516" s="360">
        <f t="shared" si="75"/>
        <v>0</v>
      </c>
    </row>
    <row r="517" spans="1:19">
      <c r="A517" s="158"/>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0.2</v>
      </c>
      <c r="R517" s="714">
        <f t="shared" si="84"/>
        <v>0</v>
      </c>
      <c r="S517" s="360">
        <f t="shared" si="75"/>
        <v>0</v>
      </c>
    </row>
    <row r="518" spans="1:19">
      <c r="A518" s="158"/>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0.2</v>
      </c>
      <c r="R518" s="714">
        <f t="shared" si="84"/>
        <v>0</v>
      </c>
      <c r="S518" s="360">
        <f t="shared" si="75"/>
        <v>0</v>
      </c>
    </row>
    <row r="519" spans="1:19">
      <c r="A519" s="158"/>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0.2</v>
      </c>
      <c r="R519" s="714">
        <f t="shared" si="84"/>
        <v>0</v>
      </c>
      <c r="S519" s="360">
        <f t="shared" si="75"/>
        <v>0</v>
      </c>
    </row>
    <row r="520" spans="1:19">
      <c r="A520" s="158"/>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0.2</v>
      </c>
      <c r="R520" s="714">
        <f t="shared" si="84"/>
        <v>0</v>
      </c>
      <c r="S520" s="360">
        <f t="shared" si="75"/>
        <v>0</v>
      </c>
    </row>
    <row r="521" spans="1:19">
      <c r="A521" s="158"/>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0.2</v>
      </c>
      <c r="R521" s="714">
        <f t="shared" si="84"/>
        <v>0</v>
      </c>
      <c r="S521" s="360">
        <f t="shared" si="75"/>
        <v>0</v>
      </c>
    </row>
    <row r="522" spans="1:19">
      <c r="A522" s="158"/>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0.2</v>
      </c>
      <c r="R522" s="714">
        <f t="shared" si="84"/>
        <v>0</v>
      </c>
      <c r="S522" s="360">
        <f t="shared" si="75"/>
        <v>0</v>
      </c>
    </row>
    <row r="523" spans="1:19">
      <c r="A523" s="158"/>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0.2</v>
      </c>
      <c r="R523" s="714">
        <f t="shared" si="84"/>
        <v>0</v>
      </c>
      <c r="S523" s="360">
        <f t="shared" si="75"/>
        <v>0</v>
      </c>
    </row>
    <row r="524" spans="1:19">
      <c r="A524" s="158"/>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0.2</v>
      </c>
      <c r="R524" s="714">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0000"/>
  </sheetPr>
  <dimension ref="A1:AI512"/>
  <sheetViews>
    <sheetView view="pageBreakPreview" zoomScaleNormal="100" zoomScaleSheetLayoutView="100" zoomScalePageLayoutView="80" workbookViewId="0">
      <selection activeCell="K24" sqref="K24"/>
    </sheetView>
  </sheetViews>
  <sheetFormatPr defaultColWidth="12.6640625" defaultRowHeight="21.75" customHeight="1"/>
  <cols>
    <col min="1" max="2" width="12.6640625" style="2421"/>
    <col min="3" max="4" width="12.6640625" style="2421" customWidth="1"/>
    <col min="5" max="9" width="12.6640625" style="2421"/>
    <col min="10" max="11" width="12.6640625" style="792" customWidth="1"/>
    <col min="12" max="12" width="12.6640625" style="792"/>
    <col min="13" max="13" width="14.109375" style="792" bestFit="1" customWidth="1"/>
    <col min="14" max="26" width="12.6640625" style="792"/>
    <col min="27" max="35" width="12.6640625" style="2420"/>
    <col min="36" max="16384" width="12.6640625" style="2421"/>
  </cols>
  <sheetData>
    <row r="1" spans="1:12" ht="21.75" customHeight="1" thickBot="1">
      <c r="A1" s="2222" t="s">
        <v>2116</v>
      </c>
      <c r="B1" s="2415"/>
      <c r="C1" s="2416"/>
      <c r="D1" s="2415"/>
      <c r="E1" s="2415"/>
      <c r="F1" s="2417" t="s">
        <v>2117</v>
      </c>
      <c r="G1" s="2067" t="s">
        <v>3116</v>
      </c>
      <c r="H1" s="2418" t="str">
        <f>IF(G1="现房","——","估价对象范围")</f>
        <v>——</v>
      </c>
      <c r="I1" s="2419"/>
    </row>
    <row r="2" spans="1:12" ht="21.75" customHeight="1" thickBot="1">
      <c r="A2" s="3160" t="str">
        <f>项目基本情况!S2</f>
        <v>房地产</v>
      </c>
      <c r="B2" s="3161"/>
      <c r="C2" s="3161"/>
      <c r="D2" s="3161"/>
      <c r="E2" s="3161"/>
      <c r="F2" s="3161"/>
      <c r="G2" s="3161"/>
      <c r="H2" s="3161"/>
      <c r="I2" s="3162"/>
    </row>
    <row r="3" spans="1:12" ht="13.2">
      <c r="A3" s="3164" t="s">
        <v>2118</v>
      </c>
      <c r="B3" s="3165"/>
      <c r="C3" s="3165"/>
      <c r="D3" s="3165"/>
      <c r="E3" s="3165"/>
      <c r="F3" s="3165"/>
      <c r="G3" s="3165"/>
      <c r="H3" s="3165"/>
      <c r="I3" s="3165"/>
    </row>
    <row r="4" spans="1:12" ht="14.4">
      <c r="A4" s="2422" t="s">
        <v>2119</v>
      </c>
      <c r="B4" s="2423" t="s">
        <v>2120</v>
      </c>
      <c r="C4" s="2424" t="s">
        <v>3159</v>
      </c>
      <c r="D4" s="2424" t="s">
        <v>3161</v>
      </c>
      <c r="E4" s="3157" t="s">
        <v>2121</v>
      </c>
      <c r="F4" s="3158"/>
      <c r="G4" s="3158"/>
      <c r="H4" s="3158"/>
      <c r="I4" s="3166"/>
      <c r="K4" s="2425" t="str">
        <f>IF(ISNUMBER(FIND("比较法",'结果表 (办公)'!C4)),"比较法",IF(ISNUMBER(FIND("成本法",'结果表 (办公)'!C4)),"成本法",IF(ISNUMBER(FIND("假设开发法",'结果表 (办公)'!C4)),"假设开发法",IF(ISNUMBER(FIND("收益法",'结果表 (办公)'!C4)),"收益法","基准地价系数修正法"))))</f>
        <v>比较法</v>
      </c>
      <c r="L4" s="2425"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3.2">
      <c r="A5" s="3140" t="s">
        <v>2122</v>
      </c>
      <c r="B5" s="3074">
        <v>25</v>
      </c>
      <c r="C5" s="3143"/>
      <c r="D5" s="3163"/>
      <c r="E5" s="139" t="s">
        <v>2123</v>
      </c>
      <c r="F5" s="2426"/>
      <c r="G5" s="2426"/>
      <c r="H5" s="2426"/>
      <c r="I5" s="1828"/>
    </row>
    <row r="6" spans="1:12" ht="13.2">
      <c r="A6" s="3140"/>
      <c r="B6" s="3074"/>
      <c r="C6" s="3144"/>
      <c r="D6" s="3163"/>
      <c r="E6" s="139" t="s">
        <v>2124</v>
      </c>
      <c r="F6" s="2426"/>
      <c r="G6" s="2426"/>
      <c r="H6" s="2426"/>
      <c r="I6" s="1828"/>
    </row>
    <row r="7" spans="1:12" ht="13.2">
      <c r="A7" s="3140"/>
      <c r="B7" s="3074"/>
      <c r="C7" s="3145"/>
      <c r="D7" s="3163"/>
      <c r="E7" s="139" t="s">
        <v>2125</v>
      </c>
      <c r="F7" s="2426"/>
      <c r="G7" s="2426"/>
      <c r="H7" s="2426"/>
      <c r="I7" s="1828"/>
    </row>
    <row r="8" spans="1:12" ht="13.2">
      <c r="A8" s="3140" t="s">
        <v>2126</v>
      </c>
      <c r="B8" s="3074">
        <v>15</v>
      </c>
      <c r="C8" s="3143"/>
      <c r="D8" s="3163"/>
      <c r="E8" s="139" t="s">
        <v>2127</v>
      </c>
      <c r="F8" s="2426"/>
      <c r="G8" s="2426"/>
      <c r="H8" s="2426"/>
      <c r="I8" s="1828"/>
    </row>
    <row r="9" spans="1:12" ht="13.2">
      <c r="A9" s="3140"/>
      <c r="B9" s="3074"/>
      <c r="C9" s="3145"/>
      <c r="D9" s="3163"/>
      <c r="E9" s="139" t="s">
        <v>2128</v>
      </c>
      <c r="F9" s="2426"/>
      <c r="G9" s="2426"/>
      <c r="H9" s="2426"/>
      <c r="I9" s="1828"/>
    </row>
    <row r="10" spans="1:12" ht="13.2">
      <c r="A10" s="3140" t="s">
        <v>2129</v>
      </c>
      <c r="B10" s="3074">
        <v>15</v>
      </c>
      <c r="C10" s="3143"/>
      <c r="D10" s="3163"/>
      <c r="E10" s="139" t="s">
        <v>2130</v>
      </c>
      <c r="F10" s="2426"/>
      <c r="G10" s="2426"/>
      <c r="H10" s="2426"/>
      <c r="I10" s="1828"/>
    </row>
    <row r="11" spans="1:12" ht="13.2">
      <c r="A11" s="3140"/>
      <c r="B11" s="3074"/>
      <c r="C11" s="3145"/>
      <c r="D11" s="3163"/>
      <c r="E11" s="139" t="s">
        <v>2131</v>
      </c>
      <c r="F11" s="2426"/>
      <c r="G11" s="2426"/>
      <c r="H11" s="2426"/>
      <c r="I11" s="1828"/>
    </row>
    <row r="12" spans="1:12" ht="13.2">
      <c r="A12" s="3140" t="s">
        <v>2132</v>
      </c>
      <c r="B12" s="3074">
        <v>15</v>
      </c>
      <c r="C12" s="3143"/>
      <c r="D12" s="3163"/>
      <c r="E12" s="139" t="s">
        <v>2133</v>
      </c>
      <c r="F12" s="2426"/>
      <c r="G12" s="2426"/>
      <c r="H12" s="2426"/>
      <c r="I12" s="1828"/>
    </row>
    <row r="13" spans="1:12" ht="13.2">
      <c r="A13" s="3140"/>
      <c r="B13" s="3074"/>
      <c r="C13" s="3145"/>
      <c r="D13" s="3163"/>
      <c r="E13" s="139" t="s">
        <v>2134</v>
      </c>
      <c r="F13" s="2426"/>
      <c r="G13" s="2426"/>
      <c r="H13" s="2426"/>
      <c r="I13" s="1828"/>
    </row>
    <row r="14" spans="1:12" ht="13.2">
      <c r="A14" s="3140" t="s">
        <v>2135</v>
      </c>
      <c r="B14" s="3074">
        <v>30</v>
      </c>
      <c r="C14" s="3143">
        <v>6</v>
      </c>
      <c r="D14" s="3163">
        <v>4</v>
      </c>
      <c r="E14" s="139" t="s">
        <v>2136</v>
      </c>
      <c r="F14" s="2426"/>
      <c r="G14" s="2426"/>
      <c r="H14" s="2426"/>
      <c r="I14" s="1828"/>
    </row>
    <row r="15" spans="1:12" ht="13.2">
      <c r="A15" s="3140"/>
      <c r="B15" s="3074"/>
      <c r="C15" s="3144"/>
      <c r="D15" s="3163"/>
      <c r="E15" s="139" t="s">
        <v>2137</v>
      </c>
      <c r="F15" s="2426"/>
      <c r="G15" s="2426"/>
      <c r="H15" s="2426"/>
      <c r="I15" s="1828"/>
    </row>
    <row r="16" spans="1:12" ht="13.2">
      <c r="A16" s="3140"/>
      <c r="B16" s="3074"/>
      <c r="C16" s="3145"/>
      <c r="D16" s="3163"/>
      <c r="E16" s="139" t="s">
        <v>2138</v>
      </c>
      <c r="F16" s="2426"/>
      <c r="G16" s="2426"/>
      <c r="H16" s="2426"/>
      <c r="I16" s="1828"/>
    </row>
    <row r="17" spans="1:35" ht="14.4">
      <c r="A17" s="2427" t="s">
        <v>2139</v>
      </c>
      <c r="B17" s="64"/>
      <c r="C17" s="140">
        <f>SUM(C5:C16)</f>
        <v>6</v>
      </c>
      <c r="D17" s="140">
        <f>SUM(D5:D16)</f>
        <v>4</v>
      </c>
      <c r="E17" s="137"/>
      <c r="F17" s="137"/>
      <c r="G17" s="137"/>
      <c r="H17" s="137"/>
      <c r="I17" s="137"/>
      <c r="K17" s="2425"/>
      <c r="L17" s="2428" t="s">
        <v>2140</v>
      </c>
      <c r="M17" s="2428" t="s">
        <v>2141</v>
      </c>
    </row>
    <row r="18" spans="1:35" ht="15" thickBot="1">
      <c r="A18" s="2429" t="s">
        <v>2142</v>
      </c>
      <c r="B18" s="2430"/>
      <c r="C18" s="141">
        <f>ROUND(C17/SUM(C17:D17),2)</f>
        <v>0.6</v>
      </c>
      <c r="D18" s="141">
        <f>1-C18</f>
        <v>0.4</v>
      </c>
      <c r="E18" s="137"/>
      <c r="F18" s="137"/>
      <c r="G18" s="137"/>
      <c r="H18" s="137"/>
      <c r="I18" s="137"/>
      <c r="K18" s="2425" t="s">
        <v>2143</v>
      </c>
      <c r="L18" s="2425">
        <f>IF(C1="",'数据-汇总表'!E3,SUMIF(项目类型,C1,'数据-汇总表'!E17:E26)+SUMIF(项目类型,C1,'数据-汇总表'!I17:I26))</f>
        <v>499.07</v>
      </c>
      <c r="M18" s="2425">
        <f>IF(C1="",'数据-汇总表'!E3,SUMIF(项目类型,C1,'数据-汇总表'!E17:E26))</f>
        <v>499.07</v>
      </c>
    </row>
    <row r="19" spans="1:35" ht="14.4">
      <c r="A19" s="2431" t="s">
        <v>2144</v>
      </c>
      <c r="B19" s="2432" t="s">
        <v>2145</v>
      </c>
      <c r="C19" s="142">
        <f ca="1">SUMIF(INDIRECT("'"&amp;C4&amp;"'"&amp;"!A:A"),'结果表 (办公)'!B19,INDIRECT("'"&amp;C4&amp;"'"&amp;"!B:B"))</f>
        <v>487</v>
      </c>
      <c r="D19" s="143">
        <f ca="1">SUMIF(INDIRECT("'"&amp;D4&amp;"'"&amp;"!A:A"),'结果表 (办公)'!B19,INDIRECT("'"&amp;D4&amp;"'"&amp;"!B:B"))</f>
        <v>275</v>
      </c>
      <c r="E19" s="2431" t="s">
        <v>2146</v>
      </c>
      <c r="F19" s="2432" t="s">
        <v>2145</v>
      </c>
      <c r="G19" s="144">
        <f ca="1">ROUND(C19*$C$18+D19*$D$18,0)</f>
        <v>402</v>
      </c>
      <c r="H19" s="2433" t="s">
        <v>2147</v>
      </c>
      <c r="I19" s="137"/>
      <c r="K19" s="2425" t="s">
        <v>2148</v>
      </c>
      <c r="L19" s="2425">
        <f>IF(C1="",'数据-汇总表'!D3,SUMIF(项目类型,C1,'数据-汇总表'!D17:D26)+SUMIF(项目类型,C1,'数据-汇总表'!H17:H27))</f>
        <v>14543</v>
      </c>
      <c r="M19" s="2425">
        <f>IF(C1="",'数据-汇总表'!D3,SUMIF(项目类型,C1,'数据-汇总表'!D17:D26))</f>
        <v>14543</v>
      </c>
    </row>
    <row r="20" spans="1:35" ht="14.4">
      <c r="A20" s="2434"/>
      <c r="B20" s="1244" t="s">
        <v>2149</v>
      </c>
      <c r="C20" s="145">
        <f ca="1">SUMIF(INDIRECT("'"&amp;C4&amp;"'"&amp;"!A:A"),'结果表 (办公)'!B20,INDIRECT("'"&amp;C4&amp;"'"&amp;"!B:B"))</f>
        <v>87794</v>
      </c>
      <c r="D20" s="146">
        <f ca="1">SUMIF(INDIRECT("'"&amp;D4&amp;"'"&amp;"!A:A"),'结果表 (办公)'!B20,INDIRECT("'"&amp;D4&amp;"'"&amp;"!B:B"))</f>
        <v>49564</v>
      </c>
      <c r="E20" s="2434"/>
      <c r="F20" s="1244" t="s">
        <v>2149</v>
      </c>
      <c r="G20" s="147">
        <f ca="1">ROUND(C20*$C$18+D20*$D$18,0)</f>
        <v>72502</v>
      </c>
      <c r="H20" s="977" t="s">
        <v>2150</v>
      </c>
      <c r="I20" s="137"/>
    </row>
    <row r="21" spans="1:35" ht="15" customHeight="1" thickBot="1">
      <c r="A21" s="997"/>
      <c r="B21" s="2435" t="s">
        <v>2151</v>
      </c>
      <c r="C21" s="786">
        <f ca="1">ROUND(C19*10000/L19,0)</f>
        <v>335</v>
      </c>
      <c r="D21" s="787">
        <f ca="1">ROUND(D19*10000/L19,0)</f>
        <v>189</v>
      </c>
      <c r="E21" s="997"/>
      <c r="F21" s="2435" t="s">
        <v>2151</v>
      </c>
      <c r="G21" s="148">
        <f ca="1">ROUND(G19*10000/L19,0)</f>
        <v>276</v>
      </c>
      <c r="H21" s="2436" t="s">
        <v>2150</v>
      </c>
      <c r="I21" s="137"/>
    </row>
    <row r="22" spans="1:35" ht="15" thickBot="1">
      <c r="A22" s="2278" t="s">
        <v>2152</v>
      </c>
      <c r="B22" s="2437"/>
      <c r="C22" s="2438"/>
      <c r="D22" s="788">
        <f ca="1">IF(C19&lt;D19,D19/C19-1,C19/D19-1)</f>
        <v>0.77090909090909099</v>
      </c>
      <c r="E22" s="137"/>
      <c r="F22" s="137"/>
      <c r="G22" s="137"/>
      <c r="H22" s="137"/>
      <c r="I22" s="137"/>
    </row>
    <row r="23" spans="1:35" ht="13.8" thickBot="1">
      <c r="A23" s="2415"/>
      <c r="B23" s="2415"/>
      <c r="C23" s="2415"/>
      <c r="D23" s="2415"/>
      <c r="E23" s="137"/>
      <c r="F23" s="137"/>
      <c r="G23" s="137"/>
      <c r="H23" s="137"/>
      <c r="I23" s="137"/>
    </row>
    <row r="24" spans="1:35" ht="14.4">
      <c r="A24" s="3134" t="s">
        <v>2153</v>
      </c>
      <c r="B24" s="2432" t="s">
        <v>2145</v>
      </c>
      <c r="C24" s="144">
        <f>IF(B30=0,0,D30)</f>
        <v>0</v>
      </c>
      <c r="D24" s="2439"/>
      <c r="E24" s="137"/>
      <c r="F24" s="137"/>
      <c r="G24" s="137"/>
      <c r="H24" s="137"/>
      <c r="I24" s="137"/>
    </row>
    <row r="25" spans="1:35" ht="14.4">
      <c r="A25" s="3135"/>
      <c r="B25" s="1244"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3033</v>
      </c>
      <c r="F30" s="137"/>
      <c r="G30" s="137"/>
      <c r="H30" s="137"/>
      <c r="I30" s="137"/>
    </row>
    <row r="31" spans="1:35" s="2443" customFormat="1" ht="14.4"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 thickBot="1">
      <c r="A32" s="2444" t="s">
        <v>2159</v>
      </c>
      <c r="B32" s="2445"/>
      <c r="C32" s="152">
        <f ca="1">IF(D32="总价",G19-C24,G20-C25)</f>
        <v>402</v>
      </c>
      <c r="D32" s="2446" t="s">
        <v>2160</v>
      </c>
      <c r="E32" s="137"/>
      <c r="F32" s="137"/>
      <c r="G32" s="137"/>
      <c r="H32" s="137"/>
      <c r="I32" s="137"/>
    </row>
    <row r="33" spans="1:15" ht="14.4">
      <c r="A33" s="954" t="s">
        <v>2161</v>
      </c>
      <c r="B33" s="2447"/>
      <c r="C33" s="2448"/>
      <c r="D33" s="2449"/>
      <c r="E33" s="2450" t="s">
        <v>2162</v>
      </c>
      <c r="F33" s="2952" t="str">
        <f>IF(D32="楼面单价","取值（单价）","取值（总价）")</f>
        <v>取值（总价）</v>
      </c>
      <c r="G33" s="137"/>
      <c r="H33" s="137"/>
      <c r="I33" s="137"/>
    </row>
    <row r="34" spans="1:15" ht="14.4">
      <c r="A34" s="2452"/>
      <c r="B34" s="2453" t="s">
        <v>2163</v>
      </c>
      <c r="C34" s="156" t="e">
        <f ca="1">IF(C33="自定义",F34,C32-C35)</f>
        <v>#REF!</v>
      </c>
      <c r="D34" s="1052" t="e">
        <f ca="1">IF(C33="自定义",ROUND(C34/C32,3),IF(C33="收益比率",SUMIF(INDIRECT("'"&amp;D33&amp;"'"&amp;"!b:b"),"土地收益比率",INDIRECT("'"&amp;D33&amp;"'"&amp;"!c:c")),SUMIF(INDIRECT("'"&amp;D33&amp;"'"&amp;"!b:b"),"土地成本比率",INDIRECT("'"&amp;D33&amp;"'"&amp;"!c:c"))))</f>
        <v>#REF!</v>
      </c>
      <c r="E34" s="2454" t="s">
        <v>2164</v>
      </c>
      <c r="F34" s="1733"/>
      <c r="G34" s="137"/>
      <c r="H34" s="137"/>
      <c r="I34" s="137"/>
    </row>
    <row r="35" spans="1:15" ht="15" thickBot="1">
      <c r="A35" s="2455"/>
      <c r="B35" s="2456"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52" t="s">
        <v>2167</v>
      </c>
      <c r="B36" s="2458" t="s">
        <v>2168</v>
      </c>
      <c r="C36" s="153"/>
      <c r="D36" s="2459"/>
      <c r="E36" s="2460"/>
      <c r="F36" s="2461"/>
      <c r="G36" s="137"/>
      <c r="H36" s="137"/>
      <c r="I36" s="137"/>
    </row>
    <row r="37" spans="1:15" ht="15" thickBot="1">
      <c r="A37" s="3153"/>
      <c r="B37" s="2264" t="s">
        <v>2169</v>
      </c>
      <c r="C37" s="155"/>
      <c r="D37" s="1389"/>
      <c r="E37" s="1389"/>
      <c r="F37" s="2461"/>
      <c r="G37" s="137"/>
      <c r="H37" s="137"/>
      <c r="I37" s="137"/>
    </row>
    <row r="38" spans="1:15" ht="15" thickBot="1">
      <c r="A38" s="3154"/>
      <c r="B38" s="2462" t="s">
        <v>2170</v>
      </c>
      <c r="C38" s="724"/>
      <c r="D38" s="2463" t="s">
        <v>2171</v>
      </c>
      <c r="E38" s="1389"/>
      <c r="F38" s="2461"/>
      <c r="G38" s="137"/>
      <c r="H38" s="137"/>
      <c r="I38" s="137"/>
    </row>
    <row r="39" spans="1:15" ht="14.4">
      <c r="A39" s="2434" t="s">
        <v>2172</v>
      </c>
      <c r="B39" s="2464" t="s">
        <v>2155</v>
      </c>
      <c r="C39" s="2465" t="s">
        <v>2156</v>
      </c>
      <c r="D39" s="2465" t="s">
        <v>2175</v>
      </c>
      <c r="E39" s="2466" t="s">
        <v>2157</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1" t="s">
        <v>2181</v>
      </c>
      <c r="B45" s="3132"/>
      <c r="C45" s="3133"/>
      <c r="D45" s="163">
        <f ca="1">ROUND(H101*F45,0)</f>
        <v>402</v>
      </c>
      <c r="E45" s="164" t="s">
        <v>2182</v>
      </c>
      <c r="F45" s="165">
        <v>1</v>
      </c>
      <c r="G45" s="166" t="s">
        <v>2183</v>
      </c>
      <c r="H45" s="137"/>
      <c r="I45" s="137"/>
      <c r="J45" s="3191" t="s">
        <v>2184</v>
      </c>
      <c r="K45" s="3191"/>
      <c r="L45" s="3191"/>
      <c r="M45" s="3191"/>
      <c r="N45" s="3191"/>
      <c r="O45" s="3191"/>
    </row>
    <row r="46" spans="1:15" ht="14.25" customHeight="1">
      <c r="A46" s="3128" t="s">
        <v>2185</v>
      </c>
      <c r="B46" s="3129"/>
      <c r="C46" s="3129"/>
      <c r="D46" s="3129"/>
      <c r="E46" s="3129"/>
      <c r="F46" s="3129"/>
      <c r="G46" s="3130"/>
      <c r="H46" s="2477"/>
      <c r="I46" s="167"/>
      <c r="J46" s="2961">
        <v>1</v>
      </c>
      <c r="K46" s="3191" t="s">
        <v>2186</v>
      </c>
      <c r="L46" s="3191"/>
      <c r="M46" s="3211"/>
      <c r="N46" s="3211"/>
      <c r="O46" s="3211"/>
    </row>
    <row r="47" spans="1:15" ht="12" customHeight="1">
      <c r="A47" s="168" t="s">
        <v>2187</v>
      </c>
      <c r="B47" s="169"/>
      <c r="C47" s="170"/>
      <c r="D47" s="171" t="s">
        <v>2188</v>
      </c>
      <c r="E47" s="24" t="s">
        <v>2189</v>
      </c>
      <c r="F47" s="172" t="s">
        <v>2190</v>
      </c>
      <c r="G47" s="173" t="s">
        <v>2191</v>
      </c>
      <c r="H47" s="2477"/>
      <c r="I47" s="167"/>
      <c r="J47" s="2961">
        <v>2</v>
      </c>
      <c r="K47" s="3191" t="s">
        <v>2192</v>
      </c>
      <c r="L47" s="3191"/>
      <c r="M47" s="3212">
        <f>'数据-取费表'!B2</f>
        <v>43845</v>
      </c>
      <c r="N47" s="3212"/>
      <c r="O47" s="3212"/>
    </row>
    <row r="48" spans="1:15" ht="26.4">
      <c r="A48" s="3159" t="s">
        <v>2193</v>
      </c>
      <c r="B48" s="3142"/>
      <c r="C48" s="3142"/>
      <c r="D48" s="139">
        <f>IF(H48="情况1",0,IF(H48="情况2",D52,IF(H48="情况3",D53,IF(H48="情况4",D54))))</f>
        <v>0</v>
      </c>
      <c r="E48" s="2970" t="str">
        <f>IF(H48="情况4","(销售额-原购置价)×税（费）率","销售额×税（费）率")</f>
        <v>销售额×税（费）率</v>
      </c>
      <c r="F48" s="174" t="str">
        <f>IF(H48="情况1","免征",'数据-取费表'!B41)</f>
        <v>免征</v>
      </c>
      <c r="G48" s="2478" t="s">
        <v>2194</v>
      </c>
      <c r="H48" s="2479" t="s">
        <v>2195</v>
      </c>
      <c r="I48" s="2477"/>
      <c r="J48" s="2961">
        <v>3</v>
      </c>
      <c r="K48" s="3191" t="s">
        <v>2196</v>
      </c>
      <c r="L48" s="3191"/>
      <c r="M48" s="3213">
        <f ca="1">H101</f>
        <v>402</v>
      </c>
      <c r="N48" s="3213"/>
      <c r="O48" s="3213"/>
    </row>
    <row r="49" spans="1:35" ht="25.5" customHeight="1">
      <c r="A49" s="175" t="s">
        <v>2197</v>
      </c>
      <c r="B49" s="3127" t="s">
        <v>2198</v>
      </c>
      <c r="C49" s="3127"/>
      <c r="D49" s="176">
        <v>0</v>
      </c>
      <c r="E49" s="23" t="s">
        <v>2199</v>
      </c>
      <c r="F49" s="28" t="s">
        <v>34</v>
      </c>
      <c r="G49" s="3197"/>
      <c r="H49" s="137"/>
      <c r="I49" s="2480"/>
      <c r="J49" s="2961">
        <v>4</v>
      </c>
      <c r="K49" s="3191" t="str">
        <f>IF(项目基本情况!E8="房地产抵押价值","房地产抵押价值","抵押担保权已注销时的房地产抵押价值")</f>
        <v>房地产抵押价值</v>
      </c>
      <c r="L49" s="3191"/>
      <c r="M49" s="3213">
        <f ca="1">IF(项目基本情况!E8="房地产抵押价值",H107,H109)</f>
        <v>402</v>
      </c>
      <c r="N49" s="3213"/>
      <c r="O49" s="3213"/>
    </row>
    <row r="50" spans="1:35" ht="25.5" customHeight="1">
      <c r="A50" s="177"/>
      <c r="B50" s="3127" t="s">
        <v>2200</v>
      </c>
      <c r="C50" s="3127"/>
      <c r="D50" s="178"/>
      <c r="E50" s="31"/>
      <c r="F50" s="179"/>
      <c r="G50" s="3198"/>
      <c r="H50" s="137"/>
      <c r="I50" s="2480"/>
      <c r="J50" s="3191" t="s">
        <v>2201</v>
      </c>
      <c r="K50" s="3191"/>
      <c r="L50" s="3191"/>
      <c r="M50" s="3191"/>
      <c r="N50" s="3191"/>
      <c r="O50" s="3191"/>
    </row>
    <row r="51" spans="1:35" ht="12" customHeight="1">
      <c r="A51" s="180"/>
      <c r="B51" s="3127" t="s">
        <v>2202</v>
      </c>
      <c r="C51" s="3127"/>
      <c r="D51" s="181"/>
      <c r="E51" s="30"/>
      <c r="F51" s="179"/>
      <c r="G51" s="3199"/>
      <c r="H51" s="137"/>
      <c r="I51" s="2480"/>
      <c r="J51" s="2954" t="s">
        <v>2203</v>
      </c>
      <c r="K51" s="3191" t="s">
        <v>2204</v>
      </c>
      <c r="L51" s="3191"/>
      <c r="M51" s="2954" t="s">
        <v>2205</v>
      </c>
      <c r="N51" s="2954" t="s">
        <v>2206</v>
      </c>
      <c r="O51" s="2954" t="s">
        <v>2207</v>
      </c>
    </row>
    <row r="52" spans="1:35" ht="24" customHeight="1">
      <c r="A52" s="182" t="s">
        <v>2208</v>
      </c>
      <c r="B52" s="3127" t="s">
        <v>2209</v>
      </c>
      <c r="C52" s="3127"/>
      <c r="D52" s="181">
        <f ca="1">ROUND(D45*'数据-取费表'!B41/(1+'数据-取费表'!C42),0)</f>
        <v>21</v>
      </c>
      <c r="E52" s="11" t="s">
        <v>2210</v>
      </c>
      <c r="F52" s="183">
        <f>'数据-取费表'!B41</f>
        <v>5.6000000000000001E-2</v>
      </c>
      <c r="G52" s="2482"/>
      <c r="H52" s="137"/>
      <c r="I52" s="2480"/>
      <c r="J52" s="2961">
        <v>1</v>
      </c>
      <c r="K52" s="3192" t="s">
        <v>2211</v>
      </c>
      <c r="L52" s="3192"/>
      <c r="M52" s="1748">
        <f>D48</f>
        <v>0</v>
      </c>
      <c r="N52" s="2961" t="str">
        <f>E48</f>
        <v>销售额×税（费）率</v>
      </c>
      <c r="O52" s="1749" t="str">
        <f>F48</f>
        <v>免征</v>
      </c>
    </row>
    <row r="53" spans="1:35" ht="12" customHeight="1">
      <c r="A53" s="182" t="s">
        <v>2212</v>
      </c>
      <c r="B53" s="3150" t="s">
        <v>2213</v>
      </c>
      <c r="C53" s="3151"/>
      <c r="D53" s="181">
        <f ca="1">ROUND(D45*'数据-取费表'!B41/(1+'数据-取费表'!C42),0)</f>
        <v>21</v>
      </c>
      <c r="E53" s="11" t="s">
        <v>2210</v>
      </c>
      <c r="F53" s="183">
        <f>'数据-取费表'!B41</f>
        <v>5.6000000000000001E-2</v>
      </c>
      <c r="G53" s="2482"/>
      <c r="H53" s="137"/>
      <c r="I53" s="2480"/>
      <c r="J53" s="2961">
        <v>2</v>
      </c>
      <c r="K53" s="3192" t="s">
        <v>2214</v>
      </c>
      <c r="L53" s="3192"/>
      <c r="M53" s="1748">
        <f t="shared" ref="M53:O54" ca="1" si="0">D55</f>
        <v>0</v>
      </c>
      <c r="N53" s="2961" t="str">
        <f t="shared" si="0"/>
        <v>销售额×税（费）率</v>
      </c>
      <c r="O53" s="1749">
        <f t="shared" si="0"/>
        <v>5.0000000000000001E-4</v>
      </c>
    </row>
    <row r="54" spans="1:35" ht="12" customHeight="1">
      <c r="A54" s="182" t="s">
        <v>2215</v>
      </c>
      <c r="B54" s="3150" t="s">
        <v>2216</v>
      </c>
      <c r="C54" s="3151"/>
      <c r="D54" s="181">
        <f ca="1">C68</f>
        <v>21</v>
      </c>
      <c r="E54" s="30" t="s">
        <v>2217</v>
      </c>
      <c r="F54" s="183">
        <f>'数据-取费表'!B41</f>
        <v>5.6000000000000001E-2</v>
      </c>
      <c r="G54" s="2482"/>
      <c r="H54" s="2483"/>
      <c r="I54" s="2480"/>
      <c r="J54" s="2961">
        <v>3</v>
      </c>
      <c r="K54" s="3192" t="s">
        <v>2218</v>
      </c>
      <c r="L54" s="3192"/>
      <c r="M54" s="1748">
        <f t="shared" ca="1" si="0"/>
        <v>228</v>
      </c>
      <c r="N54" s="2961" t="str">
        <f t="shared" si="0"/>
        <v>增值额×税（费）率</v>
      </c>
      <c r="O54" s="1750" t="str">
        <f t="shared" si="0"/>
        <v>——</v>
      </c>
    </row>
    <row r="55" spans="1:35" ht="24" customHeight="1">
      <c r="A55" s="3141" t="s">
        <v>2219</v>
      </c>
      <c r="B55" s="3142"/>
      <c r="C55" s="3142"/>
      <c r="D55" s="184">
        <f ca="1">IF(H55="个人住宅",0,ROUND(D45*I55,0))</f>
        <v>0</v>
      </c>
      <c r="E55" s="11" t="s">
        <v>2220</v>
      </c>
      <c r="F55" s="183">
        <f>IF(H55="正常",I55,"免征")</f>
        <v>5.0000000000000001E-4</v>
      </c>
      <c r="G55" s="2482"/>
      <c r="H55" s="2479" t="s">
        <v>2221</v>
      </c>
      <c r="I55" s="185">
        <f>'数据-取费表'!B49</f>
        <v>5.0000000000000001E-4</v>
      </c>
      <c r="J55" s="2961" t="str">
        <f>IF(H59="非个人房产","",4)</f>
        <v/>
      </c>
      <c r="K55" s="3192" t="str">
        <f>IF(H59="非个人房产","——","个人所得税")</f>
        <v>——</v>
      </c>
      <c r="L55" s="3192"/>
      <c r="M55" s="1751" t="str">
        <f>D59</f>
        <v>——</v>
      </c>
      <c r="N55" s="2962" t="str">
        <f>E59</f>
        <v>——</v>
      </c>
      <c r="O55" s="1752" t="str">
        <f>F59</f>
        <v>——</v>
      </c>
    </row>
    <row r="56" spans="1:35" ht="25.2">
      <c r="A56" s="3141" t="s">
        <v>2222</v>
      </c>
      <c r="B56" s="3142"/>
      <c r="C56" s="3142"/>
      <c r="D56" s="184">
        <f ca="1">IF(H56="个人住宅",D57,D58)</f>
        <v>228</v>
      </c>
      <c r="E56" s="11" t="s">
        <v>2223</v>
      </c>
      <c r="F56" s="183" t="str">
        <f>IF(H56="正常",F58,"免征")</f>
        <v>——</v>
      </c>
      <c r="G56" s="2484" t="s">
        <v>2224</v>
      </c>
      <c r="H56" s="2485" t="s">
        <v>2221</v>
      </c>
      <c r="I56" s="2486"/>
      <c r="J56" s="2961" t="str">
        <f>IF(项目基本情况!K6="上海银行",IF(J55="",4,J55+1),"")</f>
        <v/>
      </c>
      <c r="K56" s="3215" t="str">
        <f>IF(项目基本情况!K6="上海银行","其他处置费用","")</f>
        <v/>
      </c>
      <c r="L56" s="3216"/>
      <c r="M56" s="1748" t="str">
        <f>IF(项目基本情况!K6="上海银行",M69,"")</f>
        <v/>
      </c>
      <c r="N56" s="3218" t="str">
        <f>IF(项目基本情况!K6="上海银行","包含处置中涉及的律师、诉讼、拍卖、评估等费用","")</f>
        <v/>
      </c>
      <c r="O56" s="3219"/>
    </row>
    <row r="57" spans="1:35" ht="13.2">
      <c r="A57" s="182" t="s">
        <v>2197</v>
      </c>
      <c r="B57" s="3157" t="s">
        <v>2225</v>
      </c>
      <c r="C57" s="3166"/>
      <c r="D57" s="186">
        <v>0</v>
      </c>
      <c r="E57" s="23" t="s">
        <v>2199</v>
      </c>
      <c r="F57" s="154"/>
      <c r="G57" s="2482"/>
      <c r="H57" s="2486"/>
      <c r="I57" s="2486"/>
      <c r="J57" s="3192">
        <f>IF(AND(J55="",J56=""),4,IF(项目基本情况!K6="上海银行",'结果表 (办公)'!J56+1,'结果表 (办公)'!J55+1))</f>
        <v>4</v>
      </c>
      <c r="K57" s="3192" t="s">
        <v>2226</v>
      </c>
      <c r="L57" s="2487" t="s">
        <v>2227</v>
      </c>
      <c r="M57" s="1753"/>
      <c r="N57" s="1754">
        <f ca="1">SUMIF(M52:M56,"&lt;9e307")</f>
        <v>228</v>
      </c>
      <c r="O57" s="2488"/>
      <c r="P57" s="1747">
        <f ca="1">N57/M49</f>
        <v>0.56716417910447758</v>
      </c>
    </row>
    <row r="58" spans="1:35" ht="25.2">
      <c r="A58" s="182" t="s">
        <v>2208</v>
      </c>
      <c r="B58" s="3157" t="s">
        <v>2228</v>
      </c>
      <c r="C58" s="3158"/>
      <c r="D58" s="184">
        <f ca="1">IF(H58="转让取得",C81,C97)</f>
        <v>228</v>
      </c>
      <c r="E58" s="11" t="s">
        <v>2223</v>
      </c>
      <c r="F58" s="24" t="s">
        <v>34</v>
      </c>
      <c r="G58" s="2482"/>
      <c r="H58" s="2485" t="s">
        <v>2229</v>
      </c>
      <c r="I58" s="2486"/>
      <c r="J58" s="3192"/>
      <c r="K58" s="3192"/>
      <c r="L58" s="2487" t="s">
        <v>2230</v>
      </c>
      <c r="M58" s="1755"/>
      <c r="N58" s="2489" t="str">
        <f ca="1">NUMBERSTRING(INT(N57*10000),2)&amp;"元整"</f>
        <v>贰佰贰拾捌万元整</v>
      </c>
      <c r="O58" s="2490"/>
    </row>
    <row r="59" spans="1:35" ht="24.6" thickBot="1">
      <c r="A59" s="3195" t="s">
        <v>2231</v>
      </c>
      <c r="B59" s="3196"/>
      <c r="C59" s="3196"/>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93">
        <f>J57+1</f>
        <v>5</v>
      </c>
      <c r="K59" s="3192" t="s">
        <v>2233</v>
      </c>
      <c r="L59" s="2961" t="s">
        <v>2227</v>
      </c>
      <c r="M59" s="1756"/>
      <c r="N59" s="1757">
        <f ca="1">M49-N57</f>
        <v>174</v>
      </c>
      <c r="O59" s="2492"/>
    </row>
    <row r="60" spans="1:35" ht="12" customHeight="1">
      <c r="A60" s="2493"/>
      <c r="B60" s="2415"/>
      <c r="C60" s="2415"/>
      <c r="D60" s="2415"/>
      <c r="E60" s="2163"/>
      <c r="F60" s="2486"/>
      <c r="G60" s="2486"/>
      <c r="H60" s="2494"/>
      <c r="I60" s="137"/>
      <c r="J60" s="3194"/>
      <c r="K60" s="3192"/>
      <c r="L60" s="2487" t="s">
        <v>2230</v>
      </c>
      <c r="M60" s="1755"/>
      <c r="N60" s="2489" t="str">
        <f ca="1">NUMBERSTRING(INT(N59*10000),2)&amp;"元整"</f>
        <v>壹佰柒拾肆万元整</v>
      </c>
      <c r="O60" s="2490"/>
    </row>
    <row r="61" spans="1:35" ht="13.8" thickBot="1">
      <c r="A61" s="3139" t="s">
        <v>2234</v>
      </c>
      <c r="B61" s="3139"/>
      <c r="C61" s="3139"/>
      <c r="D61" s="3139"/>
      <c r="E61" s="3139"/>
      <c r="F61" s="2486"/>
      <c r="G61" s="2486"/>
      <c r="H61" s="2494"/>
      <c r="I61" s="137"/>
      <c r="J61" s="2961">
        <f>J59+1</f>
        <v>6</v>
      </c>
      <c r="K61" s="3192" t="s">
        <v>2235</v>
      </c>
      <c r="L61" s="3192"/>
      <c r="M61" s="1758"/>
      <c r="N61" s="1759">
        <f ca="1">ROUND(N59*10000/'数据-汇总表'!E3,0)</f>
        <v>3486</v>
      </c>
      <c r="O61" s="2495"/>
    </row>
    <row r="62" spans="1:35" ht="13.2">
      <c r="A62" s="3155" t="s">
        <v>2236</v>
      </c>
      <c r="B62" s="3156"/>
      <c r="C62" s="2966"/>
      <c r="D62" s="2966" t="s">
        <v>2237</v>
      </c>
      <c r="E62" s="191" t="s">
        <v>2238</v>
      </c>
      <c r="F62" s="2486"/>
      <c r="G62" s="2486"/>
      <c r="H62" s="2494"/>
      <c r="I62" s="137"/>
    </row>
    <row r="63" spans="1:35" ht="13.2">
      <c r="A63" s="202" t="s">
        <v>775</v>
      </c>
      <c r="B63" s="192" t="s">
        <v>2239</v>
      </c>
      <c r="C63" s="193">
        <f ca="1">ROUND((C64+C65)/(1+'数据-取费表'!C42),0)</f>
        <v>383</v>
      </c>
      <c r="D63" s="194"/>
      <c r="E63" s="195"/>
      <c r="F63" s="2486"/>
      <c r="G63" s="2486"/>
      <c r="H63" s="2494"/>
      <c r="I63" s="137"/>
      <c r="J63" s="3217" t="s">
        <v>2240</v>
      </c>
      <c r="K63" s="2957" t="s">
        <v>2241</v>
      </c>
      <c r="L63" s="1746">
        <f ca="1">IF(M49&gt;10000,M49*0.5%,IF(AND(M49&gt;1000,M49&lt;=10000),M49*1%,IF(AND(M49&gt;100,M49&lt;=1000),M49*3%,IF(AND(M49&gt;10,M49&lt;=100),M49*5%,M49*8%))))</f>
        <v>12.059999999999999</v>
      </c>
      <c r="M63" s="24">
        <f ca="1">ROUND(L63,1)</f>
        <v>12.1</v>
      </c>
      <c r="Z63" s="2420"/>
      <c r="AI63" s="2421"/>
    </row>
    <row r="64" spans="1:35" ht="14.25" customHeight="1">
      <c r="A64" s="196" t="s">
        <v>770</v>
      </c>
      <c r="B64" s="197" t="s">
        <v>2242</v>
      </c>
      <c r="C64" s="198">
        <f ca="1">D45</f>
        <v>402</v>
      </c>
      <c r="D64" s="199" t="s">
        <v>32</v>
      </c>
      <c r="E64" s="200"/>
      <c r="F64" s="2486"/>
      <c r="G64" s="2486"/>
      <c r="H64" s="2494"/>
      <c r="I64" s="137"/>
      <c r="J64" s="3217"/>
      <c r="K64" s="2957" t="s">
        <v>2243</v>
      </c>
      <c r="L64" s="1746">
        <f ca="1">IF(M49&gt;2000,M49*0.5%,IF(AND(M49&gt;1000,M49&lt;=2000),M49*0.6%,IF(AND(M49&gt;500,M49&lt;=1000),M49*0.7%,IF(AND(M49&gt;200,M49&lt;=500),M49*0.8%,IF(AND(M49&gt;100,M49&lt;=200),M49*0.9%,IF(AND(M49&gt;50,M49&lt;=100),M49*1%,IF(AND(M49&gt;20,M49&lt;=50),M49*1.5%,IF(AND(M49&gt;10,M49&lt;=20),M49*2%,IF(AND(M49&gt;1,M49&lt;=10),M49*2.5%)))))))))</f>
        <v>3.2160000000000002</v>
      </c>
      <c r="M64" s="24">
        <f t="shared" ref="M64:M65" ca="1" si="1">ROUND(L64,1)</f>
        <v>3.2</v>
      </c>
      <c r="N64" s="137" t="s">
        <v>2244</v>
      </c>
      <c r="Z64" s="2420"/>
      <c r="AI64" s="2421"/>
    </row>
    <row r="65" spans="1:35" ht="14.25" customHeight="1">
      <c r="A65" s="196" t="s">
        <v>771</v>
      </c>
      <c r="B65" s="197" t="s">
        <v>2245</v>
      </c>
      <c r="C65" s="201"/>
      <c r="D65" s="199"/>
      <c r="E65" s="200"/>
      <c r="F65" s="2486"/>
      <c r="G65" s="2486"/>
      <c r="H65" s="2494"/>
      <c r="I65" s="137"/>
      <c r="J65" s="3217"/>
      <c r="K65" s="2957" t="s">
        <v>2246</v>
      </c>
      <c r="L65" s="1746">
        <f ca="1">IF(M49&gt;1000,M49*0.1%,IF(AND(M49&gt;500,M49&lt;=1000),M49*0.5%,IF(AND(M49&gt;50,M49&lt;=500),M49*1%,IF(AND(M49&gt;1,M49&lt;=50),M49*1.5%))))</f>
        <v>4.0200000000000005</v>
      </c>
      <c r="M65" s="24">
        <f t="shared" ca="1" si="1"/>
        <v>4</v>
      </c>
      <c r="N65" s="137" t="s">
        <v>2244</v>
      </c>
      <c r="Z65" s="2420"/>
      <c r="AI65" s="2421"/>
    </row>
    <row r="66" spans="1:35" ht="14.25" customHeight="1">
      <c r="A66" s="202" t="s">
        <v>772</v>
      </c>
      <c r="B66" s="203" t="s">
        <v>2247</v>
      </c>
      <c r="C66" s="204"/>
      <c r="D66" s="205" t="s">
        <v>32</v>
      </c>
      <c r="E66" s="1770" t="s">
        <v>1366</v>
      </c>
      <c r="F66" s="2486"/>
      <c r="G66" s="2486"/>
      <c r="H66" s="2494"/>
      <c r="I66" s="137"/>
      <c r="J66" s="3217"/>
      <c r="K66" s="2957" t="s">
        <v>2248</v>
      </c>
      <c r="L66" s="1746">
        <f ca="1">M49*0.5%</f>
        <v>2.0100000000000002</v>
      </c>
      <c r="M66" s="24">
        <f ca="1">IF(L66&gt;0.5,0.5,ROUND(L66,0))</f>
        <v>0.5</v>
      </c>
      <c r="N66" s="137" t="s">
        <v>2249</v>
      </c>
      <c r="Z66" s="2420"/>
      <c r="AI66" s="2421"/>
    </row>
    <row r="67" spans="1:35" ht="14.25" customHeight="1">
      <c r="A67" s="202" t="s">
        <v>773</v>
      </c>
      <c r="B67" s="203" t="s">
        <v>2250</v>
      </c>
      <c r="C67" s="206">
        <f ca="1">C63-C66</f>
        <v>383</v>
      </c>
      <c r="D67" s="199" t="s">
        <v>32</v>
      </c>
      <c r="E67" s="200"/>
      <c r="F67" s="2486"/>
      <c r="G67" s="2486"/>
      <c r="H67" s="2494"/>
      <c r="I67" s="137"/>
      <c r="J67" s="3217"/>
      <c r="K67" s="2957" t="s">
        <v>2251</v>
      </c>
      <c r="L67" s="1746">
        <f ca="1">IF(M49&gt;=10000,(8.25+(M49-10000)*0.01%),IF(AND(M49&gt;=8000,M49&lt;10000),(7.85+(M49-8000)*0.02%),IF(AND(M49&gt;=5000,M49&lt;8000),(6.65+(M49-5000)*0.04%),IF(AND(M49&gt;=2000,M49&lt;5000),(4.25+(PM49-2000)*0.08%),IF(AND(M49&gt;=1000,M49&lt;2000),(2.75+(M49-1000)*0.15%),IF(AND(M49&gt;=100,M49&lt;1000),(0.5+(M49-100)*0.25%),IF(AND(M49&gt;0,M49&lt;100),M49*0.5%)))))))</f>
        <v>1.2549999999999999</v>
      </c>
      <c r="M67" s="24">
        <f ca="1">ROUND(L67*0.9,1)</f>
        <v>1.1000000000000001</v>
      </c>
      <c r="Z67" s="2420"/>
      <c r="AI67" s="2421"/>
    </row>
    <row r="68" spans="1:35" ht="14.25" customHeight="1" thickBot="1">
      <c r="A68" s="207" t="s">
        <v>774</v>
      </c>
      <c r="B68" s="208" t="s">
        <v>2252</v>
      </c>
      <c r="C68" s="209">
        <f ca="1">IF(C67&lt;=0,0,ROUND(C67*D68,0))</f>
        <v>21</v>
      </c>
      <c r="D68" s="210">
        <f>'数据-取费表'!B41</f>
        <v>5.6000000000000001E-2</v>
      </c>
      <c r="E68" s="211"/>
      <c r="F68" s="2486"/>
      <c r="G68" s="2486"/>
      <c r="H68" s="2494"/>
      <c r="I68" s="137"/>
      <c r="J68" s="3217"/>
      <c r="K68" s="2957" t="s">
        <v>2253</v>
      </c>
      <c r="L68" s="1746">
        <f ca="1">IF(M49&gt;10000,M49*0.5%,IF(AND(M49&gt;5000,M49&lt;=10000),M49*1%,IF(AND(M49&gt;1000,M49&lt;=5000),M49*2%,IF(AND(M49&gt;200,M49&lt;=1000),M49*3%,M49*5%))))</f>
        <v>12.059999999999999</v>
      </c>
      <c r="M68" s="24">
        <f ca="1">ROUND(L68,1)</f>
        <v>12.1</v>
      </c>
      <c r="Z68" s="2420"/>
      <c r="AI68" s="2421"/>
    </row>
    <row r="69" spans="1:35" s="2443" customFormat="1" ht="16.5" customHeight="1">
      <c r="A69" s="2497"/>
      <c r="B69" s="2498"/>
      <c r="C69" s="2499"/>
      <c r="D69" s="2500"/>
      <c r="E69" s="2501"/>
      <c r="F69" s="2163"/>
      <c r="G69" s="2163"/>
      <c r="H69" s="2162"/>
      <c r="I69" s="2415"/>
      <c r="J69" s="3217"/>
      <c r="K69" s="2957" t="s">
        <v>2254</v>
      </c>
      <c r="L69" s="2502"/>
      <c r="M69" s="24">
        <f ca="1">ROUND(SUM(M63:M68),0)</f>
        <v>33</v>
      </c>
      <c r="N69" s="1747">
        <f ca="1">M69/M49</f>
        <v>8.2089552238805971E-2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4.4" thickBot="1">
      <c r="A70" s="3176" t="s">
        <v>2255</v>
      </c>
      <c r="B70" s="3177"/>
      <c r="C70" s="3177"/>
      <c r="D70" s="3177"/>
      <c r="E70" s="3177"/>
      <c r="F70" s="3177"/>
      <c r="G70" s="3177"/>
      <c r="H70" s="3177"/>
      <c r="I70" s="3001"/>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55" t="s">
        <v>2236</v>
      </c>
      <c r="B71" s="3156"/>
      <c r="C71" s="2966"/>
      <c r="D71" s="2966" t="s">
        <v>2237</v>
      </c>
      <c r="E71" s="212" t="s">
        <v>2238</v>
      </c>
      <c r="F71" s="213"/>
      <c r="G71" s="213"/>
      <c r="H71" s="2993"/>
      <c r="I71" s="3003"/>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383</v>
      </c>
      <c r="D72" s="199" t="s">
        <v>32</v>
      </c>
      <c r="E72" s="2968"/>
      <c r="F72" s="2967"/>
      <c r="G72" s="2967"/>
      <c r="H72" s="2994"/>
      <c r="I72" s="3003"/>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2</v>
      </c>
      <c r="D73" s="199" t="s">
        <v>32</v>
      </c>
      <c r="E73" s="2968"/>
      <c r="F73" s="2967"/>
      <c r="G73" s="2967"/>
      <c r="H73" s="2994"/>
      <c r="I73" s="3003"/>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2968"/>
      <c r="F74" s="2967"/>
      <c r="G74" s="2967"/>
      <c r="H74" s="2994"/>
      <c r="I74" s="3003"/>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995" t="s">
        <v>2260</v>
      </c>
      <c r="F75" s="2996" t="s">
        <v>2261</v>
      </c>
      <c r="G75" s="2995"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0" t="s">
        <v>2264</v>
      </c>
      <c r="F76" s="3127"/>
      <c r="G76" s="3127"/>
      <c r="H76" s="3175"/>
      <c r="I76" s="3003"/>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2958" t="s">
        <v>2266</v>
      </c>
      <c r="F77" s="223"/>
      <c r="G77" s="2510" t="s">
        <v>2267</v>
      </c>
      <c r="H77" s="2969" t="str">
        <f>IF(G77="个人买卖住房","免征印花税"," ")</f>
        <v xml:space="preserve"> </v>
      </c>
      <c r="I77" s="3003"/>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2</v>
      </c>
      <c r="D78" s="225">
        <f>'数据-取费表'!B43</f>
        <v>6.000000000000001E-3</v>
      </c>
      <c r="E78" s="3136" t="s">
        <v>2269</v>
      </c>
      <c r="F78" s="3137"/>
      <c r="G78" s="3137"/>
      <c r="H78" s="3146"/>
      <c r="I78" s="3004"/>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773</v>
      </c>
      <c r="B79" s="203" t="s">
        <v>2270</v>
      </c>
      <c r="C79" s="206">
        <f ca="1">C72-C73</f>
        <v>381</v>
      </c>
      <c r="D79" s="199" t="s">
        <v>32</v>
      </c>
      <c r="E79" s="2968"/>
      <c r="F79" s="2967"/>
      <c r="G79" s="2967"/>
      <c r="H79" s="2994"/>
      <c r="I79" s="3003"/>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190.5</v>
      </c>
      <c r="D80" s="199"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994"/>
      <c r="I80" s="3003"/>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228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997"/>
      <c r="I81" s="3003"/>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3002"/>
      <c r="I82" s="3004"/>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76" t="s">
        <v>2273</v>
      </c>
      <c r="B83" s="3177"/>
      <c r="C83" s="3177"/>
      <c r="D83" s="3177"/>
      <c r="E83" s="3177"/>
      <c r="F83" s="3177"/>
      <c r="G83" s="3177"/>
      <c r="H83" s="317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55" t="s">
        <v>2236</v>
      </c>
      <c r="B84" s="3156"/>
      <c r="C84" s="2966"/>
      <c r="D84" s="2966" t="s">
        <v>2237</v>
      </c>
      <c r="E84" s="212" t="s">
        <v>2238</v>
      </c>
      <c r="F84" s="213"/>
      <c r="G84" s="213"/>
      <c r="H84" s="2998"/>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383</v>
      </c>
      <c r="D85" s="199" t="s">
        <v>32</v>
      </c>
      <c r="E85" s="2968"/>
      <c r="F85" s="2967"/>
      <c r="G85" s="2967"/>
      <c r="H85" s="2999"/>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2</v>
      </c>
      <c r="D86" s="234"/>
      <c r="E86" s="2968"/>
      <c r="F86" s="2967"/>
      <c r="G86" s="2967"/>
      <c r="H86" s="2999"/>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0</v>
      </c>
      <c r="D87" s="225"/>
      <c r="E87" s="2963"/>
      <c r="F87" s="2964"/>
      <c r="G87" s="2964"/>
      <c r="H87" s="296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c r="D88" s="225"/>
      <c r="E88" s="236" t="s">
        <v>2276</v>
      </c>
      <c r="F88" s="2964"/>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0</v>
      </c>
      <c r="D89" s="225">
        <f>'数据-取费表'!B48+'数据-取费表'!B49</f>
        <v>3.0499999999999999E-2</v>
      </c>
      <c r="E89" s="236" t="s">
        <v>2278</v>
      </c>
      <c r="F89" s="2964"/>
      <c r="G89" s="2964"/>
      <c r="H89" s="296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2964"/>
      <c r="G90" s="2964"/>
      <c r="H90" s="296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36" t="s">
        <v>2282</v>
      </c>
      <c r="F91" s="3137"/>
      <c r="G91" s="3137"/>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36" t="s">
        <v>2286</v>
      </c>
      <c r="F92" s="3137"/>
      <c r="G92" s="3137"/>
      <c r="H92" s="314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2</v>
      </c>
      <c r="D93" s="225">
        <f>'数据-取费表'!B43</f>
        <v>6.000000000000001E-3</v>
      </c>
      <c r="E93" s="3136" t="s">
        <v>2269</v>
      </c>
      <c r="F93" s="3137"/>
      <c r="G93" s="3137"/>
      <c r="H93" s="314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147" t="s">
        <v>2290</v>
      </c>
      <c r="F94" s="3148"/>
      <c r="G94" s="3148"/>
      <c r="H94" s="314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773</v>
      </c>
      <c r="B95" s="203" t="s">
        <v>2270</v>
      </c>
      <c r="C95" s="206">
        <f ca="1">ROUND(C85-C86,0)</f>
        <v>381</v>
      </c>
      <c r="D95" s="199" t="s">
        <v>32</v>
      </c>
      <c r="E95" s="2968"/>
      <c r="F95" s="2967"/>
      <c r="G95" s="2967"/>
      <c r="H95" s="2999"/>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190.5</v>
      </c>
      <c r="D96" s="199"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999"/>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228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00"/>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21" t="s">
        <v>2292</v>
      </c>
      <c r="B100" s="3122"/>
      <c r="C100" s="3122"/>
      <c r="D100" s="3138"/>
      <c r="E100" s="3122" t="s">
        <v>2293</v>
      </c>
      <c r="F100" s="3122"/>
      <c r="G100" s="3122"/>
      <c r="H100" s="3138"/>
      <c r="I100" s="137"/>
    </row>
    <row r="101" spans="1:35" ht="18.75" customHeight="1">
      <c r="A101" s="3200" t="s">
        <v>2294</v>
      </c>
      <c r="B101" s="3201"/>
      <c r="C101" s="733" t="str">
        <f>C4</f>
        <v>比较法-住宅</v>
      </c>
      <c r="D101" s="734" t="str">
        <f>D4</f>
        <v>收益法 (元) (公寓)</v>
      </c>
      <c r="E101" s="3214" t="s">
        <v>2295</v>
      </c>
      <c r="F101" s="3168"/>
      <c r="G101" s="2517" t="s">
        <v>2296</v>
      </c>
      <c r="H101" s="1042">
        <f ca="1">H118</f>
        <v>402</v>
      </c>
      <c r="I101" s="137"/>
    </row>
    <row r="102" spans="1:35" ht="18.75" customHeight="1">
      <c r="A102" s="3170" t="s">
        <v>2297</v>
      </c>
      <c r="B102" s="2517" t="s">
        <v>2296</v>
      </c>
      <c r="C102" s="733">
        <f ca="1">C19</f>
        <v>487</v>
      </c>
      <c r="D102" s="734">
        <f ca="1">D19</f>
        <v>275</v>
      </c>
      <c r="E102" s="3214"/>
      <c r="F102" s="3168"/>
      <c r="G102" s="2517" t="s">
        <v>2298</v>
      </c>
      <c r="H102" s="370">
        <f ca="1">I118</f>
        <v>8055</v>
      </c>
      <c r="I102" s="137"/>
    </row>
    <row r="103" spans="1:35" ht="42.75" customHeight="1">
      <c r="A103" s="3170"/>
      <c r="B103" s="2517" t="s">
        <v>2298</v>
      </c>
      <c r="C103" s="735">
        <f ca="1">C20</f>
        <v>87794</v>
      </c>
      <c r="D103" s="736">
        <f ca="1">D20</f>
        <v>49564</v>
      </c>
      <c r="E103" s="3209" t="s">
        <v>2299</v>
      </c>
      <c r="F103" s="3210"/>
      <c r="G103" s="2518" t="s">
        <v>2300</v>
      </c>
      <c r="H103" s="1042">
        <f>IF(D36="正常操作",H104+H105+H106,H105+H106)</f>
        <v>0</v>
      </c>
      <c r="I103" s="137"/>
    </row>
    <row r="104" spans="1:35" ht="18.75" customHeight="1">
      <c r="A104" s="3170" t="s">
        <v>2301</v>
      </c>
      <c r="B104" s="2519" t="s">
        <v>2296</v>
      </c>
      <c r="C104" s="737">
        <f ca="1">H118</f>
        <v>402</v>
      </c>
      <c r="D104" s="738"/>
      <c r="E104" s="2264" t="s">
        <v>2302</v>
      </c>
      <c r="F104" s="2255"/>
      <c r="G104" s="2518" t="s">
        <v>2300</v>
      </c>
      <c r="H104" s="1043">
        <f>IF(D36="同一抵押权人同一抵押物续贷",C36&amp;"（未扣减，详见特别提示）",C36)</f>
        <v>0</v>
      </c>
      <c r="I104" s="137"/>
    </row>
    <row r="105" spans="1:35" ht="18.75" customHeight="1" thickBot="1">
      <c r="A105" s="3171"/>
      <c r="B105" s="2520" t="s">
        <v>2298</v>
      </c>
      <c r="C105" s="739">
        <f ca="1">I118</f>
        <v>8055</v>
      </c>
      <c r="D105" s="740"/>
      <c r="E105" s="2264" t="s">
        <v>2303</v>
      </c>
      <c r="F105" s="2255"/>
      <c r="G105" s="2518" t="s">
        <v>2300</v>
      </c>
      <c r="H105" s="1043">
        <f>C37</f>
        <v>0</v>
      </c>
      <c r="I105" s="137"/>
    </row>
    <row r="106" spans="1:35" ht="18.75" customHeight="1">
      <c r="A106" s="2415" t="s">
        <v>2304</v>
      </c>
      <c r="B106" s="2415"/>
      <c r="C106" s="2415"/>
      <c r="D106" s="2415"/>
      <c r="E106" s="2521" t="s">
        <v>2305</v>
      </c>
      <c r="F106" s="2255"/>
      <c r="G106" s="2518" t="s">
        <v>2300</v>
      </c>
      <c r="H106" s="1043">
        <f>C38</f>
        <v>0</v>
      </c>
      <c r="I106" s="137"/>
    </row>
    <row r="107" spans="1:35" ht="18.75" customHeight="1">
      <c r="A107" s="137"/>
      <c r="B107" s="137"/>
      <c r="C107" s="137"/>
      <c r="D107" s="137"/>
      <c r="E107" s="3167" t="str">
        <f>IF(项目基本情况!E8="已注销","——","3.房地产抵押价值")</f>
        <v>3.房地产抵押价值</v>
      </c>
      <c r="F107" s="3168"/>
      <c r="G107" s="2517" t="s">
        <v>2296</v>
      </c>
      <c r="H107" s="1042">
        <f ca="1">IF(E107="——","——",H101-H103)</f>
        <v>402</v>
      </c>
      <c r="I107" s="137"/>
    </row>
    <row r="108" spans="1:35" ht="18.75" customHeight="1">
      <c r="A108" s="137"/>
      <c r="B108" s="137"/>
      <c r="C108" s="137"/>
      <c r="D108" s="137"/>
      <c r="E108" s="3167"/>
      <c r="F108" s="3168"/>
      <c r="G108" s="2517" t="s">
        <v>2298</v>
      </c>
      <c r="H108" s="370">
        <f ca="1">ROUND(H107*10000/'数据-汇总表'!E3,0)</f>
        <v>8055</v>
      </c>
      <c r="I108" s="137"/>
    </row>
    <row r="109" spans="1:35" ht="18.75" customHeight="1">
      <c r="A109" s="137"/>
      <c r="B109" s="137"/>
      <c r="C109" s="137"/>
      <c r="D109" s="137"/>
      <c r="E109" s="3167" t="str">
        <f>IF(项目基本情况!E8="已注销及未注销","4.抵押担保权已注销时的房地产抵押价值",IF(项目基本情况!E8="已注销","3.抵押担保权已注销时的房地产抵押价值","——"))</f>
        <v>——</v>
      </c>
      <c r="F109" s="3168"/>
      <c r="G109" s="2517" t="s">
        <v>2296</v>
      </c>
      <c r="H109" s="347" t="str">
        <f>IF(E109="——","——",H101-H105-H106)</f>
        <v>——</v>
      </c>
      <c r="I109" s="137"/>
    </row>
    <row r="110" spans="1:35" ht="18.75" customHeight="1">
      <c r="A110" s="137"/>
      <c r="B110" s="137"/>
      <c r="C110" s="137"/>
      <c r="D110" s="137"/>
      <c r="E110" s="3167"/>
      <c r="F110" s="3168"/>
      <c r="G110" s="2517" t="s">
        <v>2298</v>
      </c>
      <c r="H110" s="370" t="str">
        <f>IF(H109="——","——",ROUND(H109*10000/'数据-汇总表'!E3,0))</f>
        <v>——</v>
      </c>
      <c r="I110" s="137"/>
    </row>
    <row r="111" spans="1:35" ht="18.75" customHeight="1">
      <c r="A111" s="137"/>
      <c r="B111" s="137"/>
      <c r="C111" s="137"/>
      <c r="D111" s="137"/>
      <c r="E111" s="3202" t="str">
        <f>IF(项目基本情况!E9="抵押净值",IF(OR(项目基本情况!E8="已注销",项目基本情况!E8="房地产抵押价值"),"4.抵押净值","5.抵押净值"),"——")</f>
        <v>——</v>
      </c>
      <c r="F111" s="3203"/>
      <c r="G111" s="2517" t="s">
        <v>2296</v>
      </c>
      <c r="H111" s="1042" t="str">
        <f>IF(E111="——","——",N59)</f>
        <v>——</v>
      </c>
      <c r="I111" s="137"/>
    </row>
    <row r="112" spans="1:35" ht="18.75" customHeight="1" thickBot="1">
      <c r="A112" s="137"/>
      <c r="B112" s="137"/>
      <c r="C112" s="137"/>
      <c r="D112" s="137"/>
      <c r="E112" s="3204"/>
      <c r="F112" s="3205"/>
      <c r="G112" s="2522" t="s">
        <v>2298</v>
      </c>
      <c r="H112" s="787" t="str">
        <f>IF(E111="——","——",N61)</f>
        <v>——</v>
      </c>
      <c r="I112" s="137"/>
    </row>
    <row r="113" spans="1:11" ht="18.75" customHeight="1">
      <c r="A113" s="137"/>
      <c r="B113" s="137"/>
      <c r="C113" s="137"/>
      <c r="D113" s="137"/>
      <c r="E113" s="3172" t="s">
        <v>2304</v>
      </c>
      <c r="F113" s="3172"/>
      <c r="G113" s="3172"/>
      <c r="H113" s="3172"/>
      <c r="I113" s="137"/>
    </row>
    <row r="114" spans="1:11" ht="3.75" customHeight="1">
      <c r="A114" s="2415"/>
      <c r="B114" s="2415"/>
      <c r="C114" s="2415"/>
      <c r="D114" s="2415"/>
      <c r="E114" s="2493"/>
      <c r="F114" s="2493"/>
      <c r="G114" s="2493"/>
      <c r="H114" s="2493"/>
      <c r="I114" s="2415"/>
    </row>
    <row r="115" spans="1:11" ht="18.75" customHeight="1">
      <c r="A115" s="3185" t="s">
        <v>2306</v>
      </c>
      <c r="B115" s="3186"/>
      <c r="C115" s="3186"/>
      <c r="D115" s="3186"/>
      <c r="E115" s="3186"/>
      <c r="F115" s="3186"/>
      <c r="G115" s="3186"/>
      <c r="H115" s="3186"/>
      <c r="I115" s="3187"/>
    </row>
    <row r="116" spans="1:11" ht="27" customHeight="1">
      <c r="A116" s="3074" t="s">
        <v>2307</v>
      </c>
      <c r="B116" s="3173" t="s">
        <v>2308</v>
      </c>
      <c r="C116" s="3173" t="s">
        <v>2309</v>
      </c>
      <c r="D116" s="3189" t="s">
        <v>2310</v>
      </c>
      <c r="E116" s="3190"/>
      <c r="F116" s="3181" t="s">
        <v>2311</v>
      </c>
      <c r="G116" s="3181"/>
      <c r="H116" s="3074" t="s">
        <v>2312</v>
      </c>
      <c r="I116" s="3074"/>
    </row>
    <row r="117" spans="1:11" ht="18.75" customHeight="1">
      <c r="A117" s="3074"/>
      <c r="B117" s="3174"/>
      <c r="C117" s="3174"/>
      <c r="D117" s="2953" t="s">
        <v>2313</v>
      </c>
      <c r="E117" s="2953" t="s">
        <v>2314</v>
      </c>
      <c r="F117" s="2953" t="s">
        <v>2313</v>
      </c>
      <c r="G117" s="2953" t="s">
        <v>2315</v>
      </c>
      <c r="H117" s="2953" t="s">
        <v>2313</v>
      </c>
      <c r="I117" s="2953" t="s">
        <v>2315</v>
      </c>
    </row>
    <row r="118" spans="1:11" ht="24.75" customHeight="1">
      <c r="A118" s="2523" t="str">
        <f>项目基本情况!S2</f>
        <v>房地产</v>
      </c>
      <c r="B118" s="2953">
        <f>M18</f>
        <v>499.07</v>
      </c>
      <c r="C118" s="2953">
        <f>M19</f>
        <v>14543</v>
      </c>
      <c r="D118" s="2953" t="e">
        <f ca="1">ROUND(IF(D32="总价",C34,E118*B118/10000),0)</f>
        <v>#REF!</v>
      </c>
      <c r="E118" s="2953" t="e">
        <f ca="1">ROUND(IF(C33="自定义",IF(D32="楼面单价",C34,D118*10000/B118),I118-G118),0)</f>
        <v>#REF!</v>
      </c>
      <c r="F118" s="2953" t="e">
        <f ca="1">ROUND(IF(D32="总价",C35,G118*B118/10000),0)</f>
        <v>#REF!</v>
      </c>
      <c r="G118" s="2953" t="e">
        <f ca="1">ROUND(IF(D32="楼面单价",C35,F118*10000/B118),0)</f>
        <v>#REF!</v>
      </c>
      <c r="H118" s="2953">
        <f ca="1">ROUND(IF(D32="总价",C32,I118*B118/10000),0)</f>
        <v>402</v>
      </c>
      <c r="I118" s="2953">
        <f ca="1">ROUND(IF(D32="楼面单价",C32,H118*10000/B118),0)</f>
        <v>8055</v>
      </c>
    </row>
    <row r="119" spans="1:11" ht="18.75" customHeight="1">
      <c r="A119" s="3074" t="s">
        <v>2316</v>
      </c>
      <c r="B119" s="3074"/>
      <c r="C119" s="3074"/>
      <c r="D119" s="3178" t="e">
        <f ca="1">NUMBERSTRING(INT(D118*10000),2)&amp;"元整"</f>
        <v>#REF!</v>
      </c>
      <c r="E119" s="3180"/>
      <c r="F119" s="3178" t="e">
        <f ca="1">NUMBERSTRING(INT(F118*10000),2)&amp;"元整"</f>
        <v>#REF!</v>
      </c>
      <c r="G119" s="3180"/>
      <c r="H119" s="3178" t="str">
        <f ca="1">NUMBERSTRING(INT(H118*10000),2)&amp;"元整"</f>
        <v>肆佰零贰万元整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20" t="str">
        <f>IF(D120=0,"故，本次评估不存在"&amp;A120,"故，本次评估"&amp;A120&amp;"为人民币"&amp;D120&amp;"万元整。")</f>
        <v>故，本次评估不存在估价师知悉的法定优先受偿款</v>
      </c>
    </row>
    <row r="121" spans="1:11" ht="18.75" customHeight="1">
      <c r="A121" s="3182" t="s">
        <v>2316</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402</v>
      </c>
      <c r="E122" s="3207"/>
      <c r="F122" s="3207"/>
      <c r="G122" s="3207"/>
      <c r="H122" s="3207"/>
      <c r="I122" s="3208"/>
    </row>
    <row r="123" spans="1:11" ht="18.75" customHeight="1">
      <c r="A123" s="3074" t="s">
        <v>2316</v>
      </c>
      <c r="B123" s="3074"/>
      <c r="C123" s="3074"/>
      <c r="D123" s="3178" t="str">
        <f ca="1">NUMBERSTRING(INT(D122*10000),2)&amp;"元整"</f>
        <v>肆佰零贰万元整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4" t="s">
        <v>2316</v>
      </c>
      <c r="B125" s="3074"/>
      <c r="C125" s="3074"/>
      <c r="D125" s="3178" t="e">
        <f>NUMBERSTRING(INT(D124*10000),2)&amp;"元整"</f>
        <v>#VALUE!</v>
      </c>
      <c r="E125" s="3179"/>
      <c r="F125" s="3179"/>
      <c r="G125" s="3179"/>
      <c r="H125" s="3179"/>
      <c r="I125" s="3180"/>
    </row>
    <row r="126" spans="1:11" ht="18.75" customHeight="1">
      <c r="A126" s="3169" t="str">
        <f>IF(项目基本情况!B9="房地产市场价值","",MID(E111,3,LEN(E111)-2))</f>
        <v/>
      </c>
      <c r="B126" s="3169"/>
      <c r="C126" s="3169"/>
      <c r="D126" s="3206" t="str">
        <f>H111</f>
        <v>——</v>
      </c>
      <c r="E126" s="3207"/>
      <c r="F126" s="3207"/>
      <c r="G126" s="3207"/>
      <c r="H126" s="3207"/>
      <c r="I126" s="3208"/>
    </row>
    <row r="127" spans="1:11" ht="18.75" customHeight="1">
      <c r="A127" s="3074" t="s">
        <v>2316</v>
      </c>
      <c r="B127" s="3074"/>
      <c r="C127" s="3074"/>
      <c r="D127" s="3178" t="e">
        <f>NUMBERSTRING(INT(D126*10000),2)&amp;"元整"</f>
        <v>#VALUE!</v>
      </c>
      <c r="E127" s="3179"/>
      <c r="F127" s="3179"/>
      <c r="G127" s="3179"/>
      <c r="H127" s="3179"/>
      <c r="I127" s="3180"/>
    </row>
    <row r="128" spans="1:11" ht="21.75" customHeight="1">
      <c r="A128" s="3188" t="s">
        <v>2317</v>
      </c>
      <c r="B128" s="3188"/>
      <c r="C128" s="3188"/>
      <c r="D128" s="3188"/>
      <c r="E128" s="3188"/>
      <c r="F128" s="3188"/>
      <c r="G128" s="3188"/>
      <c r="H128" s="3188"/>
      <c r="I128" s="3188"/>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8"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2" priority="10" stopIfTrue="1" operator="equal">
      <formula>25</formula>
    </cfRule>
  </conditionalFormatting>
  <conditionalFormatting sqref="C8:C9">
    <cfRule type="cellIs" dxfId="111" priority="9" stopIfTrue="1" operator="equal">
      <formula>15</formula>
    </cfRule>
  </conditionalFormatting>
  <conditionalFormatting sqref="C14:C16">
    <cfRule type="cellIs" dxfId="110" priority="8" stopIfTrue="1" operator="equal">
      <formula>30</formula>
    </cfRule>
  </conditionalFormatting>
  <conditionalFormatting sqref="D5:D7">
    <cfRule type="cellIs" dxfId="109" priority="7" stopIfTrue="1" operator="equal">
      <formula>25</formula>
    </cfRule>
  </conditionalFormatting>
  <conditionalFormatting sqref="D8:D9">
    <cfRule type="cellIs" dxfId="108" priority="6" stopIfTrue="1" operator="equal">
      <formula>15</formula>
    </cfRule>
  </conditionalFormatting>
  <conditionalFormatting sqref="C10:D13">
    <cfRule type="cellIs" dxfId="107" priority="5" stopIfTrue="1" operator="equal">
      <formula>15</formula>
    </cfRule>
  </conditionalFormatting>
  <conditionalFormatting sqref="D14:D16">
    <cfRule type="cellIs" dxfId="106" priority="4" stopIfTrue="1" operator="equal">
      <formula>30</formula>
    </cfRule>
  </conditionalFormatting>
  <conditionalFormatting sqref="C90">
    <cfRule type="expression" dxfId="105" priority="3" stopIfTrue="1">
      <formula>$H$88&lt;&gt;"仅含出让金"</formula>
    </cfRule>
  </conditionalFormatting>
  <conditionalFormatting sqref="C91">
    <cfRule type="expression" dxfId="104" priority="2" stopIfTrue="1">
      <formula>$H$91="由企业提供"</formula>
    </cfRule>
  </conditionalFormatting>
  <conditionalFormatting sqref="E36">
    <cfRule type="expression" dxfId="10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18" sqref="H18"/>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581" t="s">
        <v>2528</v>
      </c>
      <c r="C1" s="1631" t="s">
        <v>2529</v>
      </c>
      <c r="D1" s="1618" t="s">
        <v>27</v>
      </c>
      <c r="E1" s="2582"/>
      <c r="F1" s="2583" t="s">
        <v>2530</v>
      </c>
      <c r="G1" s="1628" t="s">
        <v>2531</v>
      </c>
      <c r="H1" s="1627"/>
      <c r="I1" s="1627"/>
      <c r="J1" s="1627"/>
      <c r="K1" s="1629"/>
      <c r="L1" s="1630"/>
      <c r="M1" s="1631"/>
      <c r="N1" s="1631"/>
      <c r="O1" s="1631"/>
      <c r="P1" s="2584"/>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487</v>
      </c>
      <c r="C2" s="2585" t="s">
        <v>70</v>
      </c>
      <c r="D2" s="1362" t="e">
        <f ca="1">SUMIF(INDIRECT("'"&amp;F2&amp;"'"&amp;"!A:A"),"承租人权益价值",INDIRECT("'"&amp;F2&amp;"'"&amp;"!c:c"))</f>
        <v>#REF!</v>
      </c>
      <c r="E2" s="2586" t="s">
        <v>2532</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f>IF(C2="——",C49,ROUND(B2*10000/D3,0))</f>
        <v>87794</v>
      </c>
      <c r="C3" s="399" t="s">
        <v>2533</v>
      </c>
      <c r="D3" s="398">
        <f>IF(D1="",'数据-汇总表'!E3,SUMIF('数据-汇总表'!$C19:$C33,D1,'数据-汇总表'!$E19:$E33))</f>
        <v>55.46</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4.4">
      <c r="A4" s="400" t="s">
        <v>2534</v>
      </c>
      <c r="B4" s="401"/>
      <c r="C4" s="3227" t="s">
        <v>2535</v>
      </c>
      <c r="D4" s="3240"/>
      <c r="E4" s="3241" t="s">
        <v>2536</v>
      </c>
      <c r="F4" s="3242"/>
      <c r="G4" s="3227" t="s">
        <v>2537</v>
      </c>
      <c r="H4" s="3240"/>
      <c r="I4" s="3227" t="s">
        <v>2538</v>
      </c>
      <c r="J4" s="3240"/>
      <c r="K4" s="2595" t="s">
        <v>2539</v>
      </c>
      <c r="L4" s="1127"/>
      <c r="M4" s="1128"/>
      <c r="N4" s="1128"/>
      <c r="O4" s="1128"/>
      <c r="P4" s="3243" t="s">
        <v>2540</v>
      </c>
      <c r="Q4" s="3244"/>
      <c r="R4" s="3249" t="s">
        <v>2536</v>
      </c>
      <c r="S4" s="3250"/>
      <c r="T4" s="3249" t="s">
        <v>2537</v>
      </c>
      <c r="U4" s="3250"/>
      <c r="V4" s="3236" t="s">
        <v>2538</v>
      </c>
      <c r="W4" s="3236"/>
      <c r="X4" s="1810"/>
      <c r="Y4" s="3249" t="s">
        <v>2540</v>
      </c>
      <c r="Z4" s="3250"/>
      <c r="AA4" s="3237" t="s">
        <v>2536</v>
      </c>
      <c r="AB4" s="3237" t="s">
        <v>2537</v>
      </c>
      <c r="AC4" s="3237" t="s">
        <v>2538</v>
      </c>
    </row>
    <row r="5" spans="1:29">
      <c r="A5" s="403"/>
      <c r="B5" s="404"/>
      <c r="C5" s="3257" t="s">
        <v>2541</v>
      </c>
      <c r="D5" s="3258"/>
      <c r="E5" s="3296" t="s">
        <v>3138</v>
      </c>
      <c r="F5" s="3265"/>
      <c r="G5" s="3295" t="s">
        <v>3165</v>
      </c>
      <c r="H5" s="3258"/>
      <c r="I5" s="3295" t="s">
        <v>3141</v>
      </c>
      <c r="J5" s="3258"/>
      <c r="K5" s="2596"/>
      <c r="L5" s="1127"/>
      <c r="M5" s="1128"/>
      <c r="N5" s="1128"/>
      <c r="O5" s="1128"/>
      <c r="P5" s="3245"/>
      <c r="Q5" s="3246"/>
      <c r="R5" s="3251"/>
      <c r="S5" s="3252"/>
      <c r="T5" s="3251"/>
      <c r="U5" s="3252"/>
      <c r="V5" s="3236"/>
      <c r="W5" s="3236"/>
      <c r="X5" s="1810"/>
      <c r="Y5" s="3251"/>
      <c r="Z5" s="3252"/>
      <c r="AA5" s="3238"/>
      <c r="AB5" s="3238"/>
      <c r="AC5" s="3238"/>
    </row>
    <row r="6" spans="1:29" ht="15" thickBot="1">
      <c r="A6" s="405"/>
      <c r="B6" s="406"/>
      <c r="C6" s="3255" t="s">
        <v>2545</v>
      </c>
      <c r="D6" s="3256"/>
      <c r="E6" s="3262" t="s">
        <v>2545</v>
      </c>
      <c r="F6" s="3263"/>
      <c r="G6" s="3255" t="s">
        <v>2545</v>
      </c>
      <c r="H6" s="3256"/>
      <c r="I6" s="3255" t="s">
        <v>2545</v>
      </c>
      <c r="J6" s="3256"/>
      <c r="K6" s="2596" t="s">
        <v>2546</v>
      </c>
      <c r="L6" s="1127"/>
      <c r="M6" s="1128"/>
      <c r="N6" s="1128"/>
      <c r="O6" s="1128"/>
      <c r="P6" s="3247"/>
      <c r="Q6" s="3248"/>
      <c r="R6" s="3251"/>
      <c r="S6" s="3252"/>
      <c r="T6" s="3253"/>
      <c r="U6" s="3254"/>
      <c r="V6" s="3236"/>
      <c r="W6" s="3236"/>
      <c r="X6" s="1810"/>
      <c r="Y6" s="3253"/>
      <c r="Z6" s="3254"/>
      <c r="AA6" s="3239"/>
      <c r="AB6" s="3239"/>
      <c r="AC6" s="3239"/>
    </row>
    <row r="7" spans="1:29" s="117" customFormat="1" ht="15" thickBot="1">
      <c r="A7" s="407" t="s">
        <v>2547</v>
      </c>
      <c r="B7" s="408"/>
      <c r="C7" s="409">
        <f>'数据-取费表'!B2</f>
        <v>43845</v>
      </c>
      <c r="D7" s="410">
        <v>100</v>
      </c>
      <c r="E7" s="411">
        <f>C7</f>
        <v>43845</v>
      </c>
      <c r="F7" s="412">
        <f>SUMIF(58:58,YEAR(E7)&amp;"-"&amp;MONTH(E7),59:59)</f>
        <v>100</v>
      </c>
      <c r="G7" s="411">
        <f>C7</f>
        <v>43845</v>
      </c>
      <c r="H7" s="410">
        <f>SUMIF(58:58,YEAR(G7)&amp;"-"&amp;MONTH(G7),59:59)</f>
        <v>100</v>
      </c>
      <c r="I7" s="411">
        <f>C7</f>
        <v>43845</v>
      </c>
      <c r="J7" s="410">
        <f>SUMIF(58:58,YEAR(I7)&amp;"-"&amp;MONTH(I7),59:59)</f>
        <v>100</v>
      </c>
      <c r="K7" s="2597"/>
      <c r="L7" s="1129"/>
      <c r="M7" s="1130"/>
      <c r="N7" s="1130"/>
      <c r="O7" s="1130"/>
      <c r="P7" s="3259" t="s">
        <v>2548</v>
      </c>
      <c r="Q7" s="3261"/>
      <c r="R7" s="767" t="s">
        <v>23</v>
      </c>
      <c r="S7" s="768">
        <f t="shared" ref="S7:S15" si="0">F7</f>
        <v>100</v>
      </c>
      <c r="T7" s="767" t="s">
        <v>23</v>
      </c>
      <c r="U7" s="768">
        <f t="shared" ref="U7:U15" si="1">H7</f>
        <v>100</v>
      </c>
      <c r="V7" s="767" t="s">
        <v>23</v>
      </c>
      <c r="W7" s="768">
        <f t="shared" ref="W7:W15" si="2">J7</f>
        <v>100</v>
      </c>
      <c r="X7" s="769"/>
      <c r="Y7" s="3259" t="s">
        <v>2548</v>
      </c>
      <c r="Z7" s="3260"/>
      <c r="AA7" s="770">
        <f>D7/F7</f>
        <v>1</v>
      </c>
      <c r="AB7" s="770">
        <f>D7/H7</f>
        <v>1</v>
      </c>
      <c r="AC7" s="770">
        <f>D7/J7</f>
        <v>1</v>
      </c>
    </row>
    <row r="8" spans="1:29" s="117" customFormat="1" ht="15" thickBot="1">
      <c r="A8" s="407" t="s">
        <v>2549</v>
      </c>
      <c r="B8" s="408"/>
      <c r="C8" s="413" t="s">
        <v>2550</v>
      </c>
      <c r="D8" s="410">
        <v>100</v>
      </c>
      <c r="E8" s="2598" t="s">
        <v>3096</v>
      </c>
      <c r="F8" s="412">
        <f>SUMIF(61:61,E8,62:62)-SUMIF(61:61,C8,62:62)+100</f>
        <v>100</v>
      </c>
      <c r="G8" s="413" t="s">
        <v>3096</v>
      </c>
      <c r="H8" s="410">
        <f>SUMIF(61:61,G8,62:62)-SUMIF(61:61,C8,62:62)+100</f>
        <v>100</v>
      </c>
      <c r="I8" s="2598" t="s">
        <v>3096</v>
      </c>
      <c r="J8" s="410">
        <f>SUMIF(61:61,I8,62:62)-SUMIF(61:61,C8,62:62)+100</f>
        <v>100</v>
      </c>
      <c r="K8" s="2597"/>
      <c r="L8" s="1129"/>
      <c r="M8" s="1130"/>
      <c r="N8" s="1130"/>
      <c r="O8" s="1130"/>
      <c r="P8" s="3259" t="s">
        <v>2551</v>
      </c>
      <c r="Q8" s="3260"/>
      <c r="R8" s="767" t="s">
        <v>23</v>
      </c>
      <c r="S8" s="768">
        <f t="shared" si="0"/>
        <v>100</v>
      </c>
      <c r="T8" s="767" t="s">
        <v>23</v>
      </c>
      <c r="U8" s="768">
        <f t="shared" si="1"/>
        <v>100</v>
      </c>
      <c r="V8" s="767" t="s">
        <v>23</v>
      </c>
      <c r="W8" s="768">
        <f t="shared" si="2"/>
        <v>100</v>
      </c>
      <c r="X8" s="769"/>
      <c r="Y8" s="3259" t="s">
        <v>2551</v>
      </c>
      <c r="Z8" s="3260"/>
      <c r="AA8" s="770">
        <f t="shared" ref="AA8:AA19" si="3">D8/F8</f>
        <v>1</v>
      </c>
      <c r="AB8" s="770">
        <f t="shared" ref="AB8:AB19" si="4">D8/H8</f>
        <v>1</v>
      </c>
      <c r="AC8" s="770">
        <f t="shared" ref="AC8:AC19" si="5">D8/J8</f>
        <v>1</v>
      </c>
    </row>
    <row r="9" spans="1:29" s="117" customFormat="1" ht="14.4">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7"/>
      <c r="L9" s="1129"/>
      <c r="M9" s="1130"/>
      <c r="N9" s="1130"/>
      <c r="O9" s="1130"/>
      <c r="P9" s="3229"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770">
        <f t="shared" si="5"/>
        <v>1</v>
      </c>
    </row>
    <row r="10" spans="1:29" s="426" customFormat="1" ht="28.8">
      <c r="A10" s="420"/>
      <c r="B10" s="421" t="s">
        <v>2556</v>
      </c>
      <c r="C10" s="422" t="s">
        <v>3139</v>
      </c>
      <c r="D10" s="135">
        <v>100</v>
      </c>
      <c r="E10" s="423" t="s">
        <v>3139</v>
      </c>
      <c r="F10" s="424">
        <f>SUMIF(65:65,E10,66:66)-SUMIF(65:65,C10,66:66)+100</f>
        <v>100</v>
      </c>
      <c r="G10" s="422" t="s">
        <v>3139</v>
      </c>
      <c r="H10" s="135">
        <f>SUMIF(65:65,G10,66:66)-SUMIF(65:65,C10,66:66)+100</f>
        <v>100</v>
      </c>
      <c r="I10" s="422" t="s">
        <v>3139</v>
      </c>
      <c r="J10" s="135">
        <f>SUMIF(65:65,I10,66:66)-SUMIF(65:65,C10,66:66)+100</f>
        <v>100</v>
      </c>
      <c r="K10" s="425"/>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6" thickBot="1">
      <c r="A11" s="427"/>
      <c r="B11" s="421" t="s">
        <v>2557</v>
      </c>
      <c r="C11" s="3023">
        <f>ROUND(19127.08/14543,2)</f>
        <v>1.32</v>
      </c>
      <c r="D11" s="135">
        <v>100</v>
      </c>
      <c r="E11" s="429">
        <v>3.47</v>
      </c>
      <c r="F11" s="424">
        <f>LOOKUP(E11,68:68,69:69)-LOOKUP(C11,68:68,69:69)+100</f>
        <v>98</v>
      </c>
      <c r="G11" s="428">
        <v>2.4</v>
      </c>
      <c r="H11" s="135">
        <f>LOOKUP(G11,68:68,69:69)-LOOKUP(C11,68:68,69:69)+100</f>
        <v>99</v>
      </c>
      <c r="I11" s="428">
        <v>1.26</v>
      </c>
      <c r="J11" s="135">
        <f>LOOKUP(I11,68:68,69:69)-LOOKUP(C11,68:68,69:69)+100</f>
        <v>100</v>
      </c>
      <c r="K11" s="425">
        <v>1</v>
      </c>
      <c r="L11" s="1135"/>
      <c r="M11" s="1128"/>
      <c r="N11" s="1128"/>
      <c r="O11" s="1128"/>
      <c r="P11" s="3229"/>
      <c r="Q11" s="1792" t="str">
        <f t="shared" si="6"/>
        <v>容积率</v>
      </c>
      <c r="R11" s="767" t="s">
        <v>21</v>
      </c>
      <c r="S11" s="768">
        <f t="shared" si="0"/>
        <v>98</v>
      </c>
      <c r="T11" s="767" t="s">
        <v>21</v>
      </c>
      <c r="U11" s="768">
        <f t="shared" si="1"/>
        <v>99</v>
      </c>
      <c r="V11" s="767" t="s">
        <v>21</v>
      </c>
      <c r="W11" s="768">
        <f t="shared" si="2"/>
        <v>100</v>
      </c>
      <c r="X11" s="769"/>
      <c r="Y11" s="3074"/>
      <c r="Z11" s="55" t="str">
        <f t="shared" si="7"/>
        <v>容积率</v>
      </c>
      <c r="AA11" s="770">
        <f t="shared" si="3"/>
        <v>1.0204081632653061</v>
      </c>
      <c r="AB11" s="770">
        <f t="shared" si="4"/>
        <v>1.0101010101010102</v>
      </c>
      <c r="AC11" s="770">
        <f t="shared" si="5"/>
        <v>1</v>
      </c>
    </row>
    <row r="12" spans="1:29" s="117" customFormat="1" ht="15" hidden="1">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9"/>
      <c r="M12" s="1130"/>
      <c r="N12" s="1130"/>
      <c r="O12" s="1130"/>
      <c r="P12" s="3229"/>
      <c r="Q12" s="1792">
        <f t="shared" si="6"/>
        <v>111</v>
      </c>
      <c r="R12" s="767" t="s">
        <v>21</v>
      </c>
      <c r="S12" s="768">
        <f t="shared" si="0"/>
        <v>100</v>
      </c>
      <c r="T12" s="767" t="s">
        <v>21</v>
      </c>
      <c r="U12" s="768">
        <f t="shared" si="1"/>
        <v>100</v>
      </c>
      <c r="V12" s="767" t="s">
        <v>21</v>
      </c>
      <c r="W12" s="768">
        <f t="shared" si="2"/>
        <v>100</v>
      </c>
      <c r="X12" s="769"/>
      <c r="Y12" s="3074"/>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7"/>
      <c r="M13" s="1128"/>
      <c r="N13" s="1128"/>
      <c r="O13" s="1128"/>
      <c r="P13" s="3229"/>
      <c r="Q13" s="1792">
        <f t="shared" si="6"/>
        <v>111</v>
      </c>
      <c r="R13" s="767" t="s">
        <v>21</v>
      </c>
      <c r="S13" s="768">
        <f t="shared" si="0"/>
        <v>100</v>
      </c>
      <c r="T13" s="767" t="s">
        <v>21</v>
      </c>
      <c r="U13" s="768">
        <f t="shared" si="1"/>
        <v>100</v>
      </c>
      <c r="V13" s="767" t="s">
        <v>21</v>
      </c>
      <c r="W13" s="768">
        <f t="shared" si="2"/>
        <v>100</v>
      </c>
      <c r="X13" s="769"/>
      <c r="Y13" s="3074"/>
      <c r="Z13" s="55">
        <f t="shared" si="7"/>
        <v>111</v>
      </c>
      <c r="AA13" s="770">
        <f t="shared" si="3"/>
        <v>1</v>
      </c>
      <c r="AB13" s="770">
        <f t="shared" si="4"/>
        <v>1</v>
      </c>
      <c r="AC13" s="770">
        <f t="shared" si="5"/>
        <v>1</v>
      </c>
    </row>
    <row r="14" spans="1:29" ht="15.6" hidden="1"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7"/>
      <c r="M14" s="1128"/>
      <c r="N14" s="1128"/>
      <c r="O14" s="1128"/>
      <c r="P14" s="3229"/>
      <c r="Q14" s="1792">
        <f t="shared" si="6"/>
        <v>111</v>
      </c>
      <c r="R14" s="767" t="s">
        <v>21</v>
      </c>
      <c r="S14" s="768">
        <f t="shared" si="0"/>
        <v>100</v>
      </c>
      <c r="T14" s="767" t="s">
        <v>21</v>
      </c>
      <c r="U14" s="768">
        <f t="shared" si="1"/>
        <v>100</v>
      </c>
      <c r="V14" s="767" t="s">
        <v>21</v>
      </c>
      <c r="W14" s="768">
        <f t="shared" si="2"/>
        <v>100</v>
      </c>
      <c r="X14" s="769"/>
      <c r="Y14" s="3074"/>
      <c r="Z14" s="55">
        <f t="shared" si="7"/>
        <v>111</v>
      </c>
      <c r="AA14" s="770">
        <f t="shared" si="3"/>
        <v>1</v>
      </c>
      <c r="AB14" s="770">
        <f t="shared" si="4"/>
        <v>1</v>
      </c>
      <c r="AC14" s="770">
        <f t="shared" si="5"/>
        <v>1</v>
      </c>
    </row>
    <row r="15" spans="1:29" ht="96.6">
      <c r="A15" s="439" t="s">
        <v>2558</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105</v>
      </c>
      <c r="G15" s="441"/>
      <c r="H15" s="440">
        <f>SUMIF(76:76,G16,77:77)-SUMIF(76:76,C16,77:77)+100</f>
        <v>105</v>
      </c>
      <c r="I15" s="441"/>
      <c r="J15" s="440">
        <f>SUMIF(76:76,I16,77:77)-SUMIF(76:76,C16,77:77)+100</f>
        <v>105</v>
      </c>
      <c r="K15" s="444">
        <v>5</v>
      </c>
      <c r="L15" s="1137"/>
      <c r="M15" s="1128"/>
      <c r="N15" s="1128"/>
      <c r="O15" s="1128"/>
      <c r="P15" s="3289" t="s">
        <v>2559</v>
      </c>
      <c r="Q15" s="1807" t="str">
        <f t="shared" si="6"/>
        <v>居住社区成熟度</v>
      </c>
      <c r="R15" s="771" t="s">
        <v>21</v>
      </c>
      <c r="S15" s="772">
        <f t="shared" si="0"/>
        <v>105</v>
      </c>
      <c r="T15" s="771" t="s">
        <v>21</v>
      </c>
      <c r="U15" s="772">
        <f t="shared" si="1"/>
        <v>105</v>
      </c>
      <c r="V15" s="771" t="s">
        <v>21</v>
      </c>
      <c r="W15" s="772">
        <f t="shared" si="2"/>
        <v>105</v>
      </c>
      <c r="X15" s="1810"/>
      <c r="Y15" s="3232" t="s">
        <v>2559</v>
      </c>
      <c r="Z15" s="1811" t="str">
        <f t="shared" si="7"/>
        <v>居住社区成熟度</v>
      </c>
      <c r="AA15" s="1808">
        <f t="shared" si="3"/>
        <v>0.95238095238095233</v>
      </c>
      <c r="AB15" s="1808">
        <f t="shared" si="4"/>
        <v>0.95238095238095233</v>
      </c>
      <c r="AC15" s="1808">
        <f t="shared" si="5"/>
        <v>0.95238095238095233</v>
      </c>
    </row>
    <row r="16" spans="1:29" ht="15">
      <c r="A16" s="427"/>
      <c r="B16" s="445"/>
      <c r="C16" s="446" t="s">
        <v>3122</v>
      </c>
      <c r="D16" s="447"/>
      <c r="E16" s="2603" t="s">
        <v>3142</v>
      </c>
      <c r="F16" s="447"/>
      <c r="G16" s="2603" t="s">
        <v>3142</v>
      </c>
      <c r="H16" s="449"/>
      <c r="I16" s="2603" t="s">
        <v>3142</v>
      </c>
      <c r="J16" s="447"/>
      <c r="K16" s="2605"/>
      <c r="L16" s="1137"/>
      <c r="M16" s="1128"/>
      <c r="N16" s="1128"/>
      <c r="O16" s="1128"/>
      <c r="P16" s="3290"/>
      <c r="Q16" s="1807"/>
      <c r="R16" s="771"/>
      <c r="S16" s="772"/>
      <c r="T16" s="771"/>
      <c r="U16" s="772"/>
      <c r="V16" s="771"/>
      <c r="W16" s="772"/>
      <c r="X16" s="1810"/>
      <c r="Y16" s="3233"/>
      <c r="Z16" s="1811"/>
      <c r="AA16" s="1808">
        <v>1</v>
      </c>
      <c r="AB16" s="1808">
        <v>1</v>
      </c>
      <c r="AC16" s="1808">
        <v>1</v>
      </c>
    </row>
    <row r="17" spans="1:29" ht="82.8">
      <c r="A17" s="427"/>
      <c r="B17" s="450" t="s">
        <v>2095</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7"/>
      <c r="M17" s="1128"/>
      <c r="N17" s="1128"/>
      <c r="O17" s="1128"/>
      <c r="P17" s="3290"/>
      <c r="Q17" s="1807" t="str">
        <f>B17</f>
        <v>交通便捷度</v>
      </c>
      <c r="R17" s="771" t="s">
        <v>21</v>
      </c>
      <c r="S17" s="772">
        <f>F17</f>
        <v>100</v>
      </c>
      <c r="T17" s="771" t="s">
        <v>21</v>
      </c>
      <c r="U17" s="772">
        <f>H17</f>
        <v>100</v>
      </c>
      <c r="V17" s="771" t="s">
        <v>21</v>
      </c>
      <c r="W17" s="772">
        <f>J17</f>
        <v>100</v>
      </c>
      <c r="X17" s="1810"/>
      <c r="Y17" s="3233"/>
      <c r="Z17" s="1811" t="str">
        <f>Q17</f>
        <v>交通便捷度</v>
      </c>
      <c r="AA17" s="1808">
        <f t="shared" si="3"/>
        <v>1</v>
      </c>
      <c r="AB17" s="1808">
        <f t="shared" si="4"/>
        <v>1</v>
      </c>
      <c r="AC17" s="1808">
        <f t="shared" si="5"/>
        <v>1</v>
      </c>
    </row>
    <row r="18" spans="1:29" ht="15">
      <c r="A18" s="427"/>
      <c r="B18" s="455"/>
      <c r="C18" s="2607" t="s">
        <v>3122</v>
      </c>
      <c r="D18" s="449"/>
      <c r="E18" s="2608" t="s">
        <v>3122</v>
      </c>
      <c r="F18" s="449"/>
      <c r="G18" s="2609" t="s">
        <v>3122</v>
      </c>
      <c r="H18" s="447"/>
      <c r="I18" s="2609" t="s">
        <v>3122</v>
      </c>
      <c r="J18" s="447"/>
      <c r="K18" s="2605"/>
      <c r="L18" s="1137"/>
      <c r="M18" s="1128"/>
      <c r="N18" s="1128"/>
      <c r="O18" s="1128"/>
      <c r="P18" s="3290"/>
      <c r="Q18" s="1807"/>
      <c r="R18" s="771"/>
      <c r="S18" s="772"/>
      <c r="T18" s="771"/>
      <c r="U18" s="772"/>
      <c r="V18" s="771"/>
      <c r="W18" s="772"/>
      <c r="X18" s="1810"/>
      <c r="Y18" s="3233"/>
      <c r="Z18" s="1811"/>
      <c r="AA18" s="1808">
        <v>1</v>
      </c>
      <c r="AB18" s="1808">
        <v>1</v>
      </c>
      <c r="AC18" s="1808">
        <v>1</v>
      </c>
    </row>
    <row r="19" spans="1:29" ht="41.4">
      <c r="A19" s="427"/>
      <c r="B19" s="450" t="s">
        <v>2093</v>
      </c>
      <c r="C19" s="2606" t="str">
        <f>估价对象房地状况!C7</f>
        <v>估价对象所在区域公共配套设施齐备情况</v>
      </c>
      <c r="D19" s="454">
        <v>100</v>
      </c>
      <c r="E19" s="458"/>
      <c r="F19" s="454">
        <f>SUMIF(80:80,E20,81:81)-SUMIF(80:80,C20,81:81)+100</f>
        <v>104</v>
      </c>
      <c r="G19" s="456"/>
      <c r="H19" s="449">
        <f>SUMIF(80:80,G20,81:81)-SUMIF(80:80,C20,81:81)+100</f>
        <v>104</v>
      </c>
      <c r="I19" s="456"/>
      <c r="J19" s="449">
        <f>SUMIF(80:80,I20,81:81)-SUMIF(80:80,C20,81:81)+100</f>
        <v>104</v>
      </c>
      <c r="K19" s="444">
        <v>4</v>
      </c>
      <c r="L19" s="1137"/>
      <c r="M19" s="1128"/>
      <c r="N19" s="1128"/>
      <c r="O19" s="1128"/>
      <c r="P19" s="3290"/>
      <c r="Q19" s="1807" t="str">
        <f>B19</f>
        <v>公共配套设施</v>
      </c>
      <c r="R19" s="771" t="s">
        <v>21</v>
      </c>
      <c r="S19" s="772">
        <f>F19</f>
        <v>104</v>
      </c>
      <c r="T19" s="771" t="s">
        <v>21</v>
      </c>
      <c r="U19" s="772">
        <f>H19</f>
        <v>104</v>
      </c>
      <c r="V19" s="771" t="s">
        <v>21</v>
      </c>
      <c r="W19" s="772">
        <f>J19</f>
        <v>104</v>
      </c>
      <c r="X19" s="1810"/>
      <c r="Y19" s="3233"/>
      <c r="Z19" s="1811" t="str">
        <f>Q19</f>
        <v>公共配套设施</v>
      </c>
      <c r="AA19" s="1808">
        <f t="shared" si="3"/>
        <v>0.96153846153846156</v>
      </c>
      <c r="AB19" s="1808">
        <f t="shared" si="4"/>
        <v>0.96153846153846156</v>
      </c>
      <c r="AC19" s="1808">
        <f t="shared" si="5"/>
        <v>0.96153846153846156</v>
      </c>
    </row>
    <row r="20" spans="1:29" ht="15">
      <c r="A20" s="427"/>
      <c r="B20" s="455"/>
      <c r="C20" s="446" t="s">
        <v>3122</v>
      </c>
      <c r="D20" s="447"/>
      <c r="E20" s="2603" t="s">
        <v>3142</v>
      </c>
      <c r="F20" s="447"/>
      <c r="G20" s="2604" t="s">
        <v>3142</v>
      </c>
      <c r="H20" s="447"/>
      <c r="I20" s="2604" t="s">
        <v>3142</v>
      </c>
      <c r="J20" s="447"/>
      <c r="K20" s="2605"/>
      <c r="L20" s="1137"/>
      <c r="M20" s="1128"/>
      <c r="N20" s="1128"/>
      <c r="O20" s="1128"/>
      <c r="P20" s="3290"/>
      <c r="Q20" s="1807"/>
      <c r="R20" s="771"/>
      <c r="S20" s="772"/>
      <c r="T20" s="771"/>
      <c r="U20" s="772"/>
      <c r="V20" s="771"/>
      <c r="W20" s="772"/>
      <c r="X20" s="1810"/>
      <c r="Y20" s="3233"/>
      <c r="Z20" s="1811"/>
      <c r="AA20" s="1808">
        <v>1</v>
      </c>
      <c r="AB20" s="1808">
        <v>1</v>
      </c>
      <c r="AC20" s="1808">
        <v>1</v>
      </c>
    </row>
    <row r="21" spans="1:29" ht="27.6">
      <c r="A21" s="427"/>
      <c r="B21" s="1381" t="s">
        <v>2096</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3</v>
      </c>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7"/>
      <c r="B22" s="1381"/>
      <c r="C22" s="2607" t="s">
        <v>3123</v>
      </c>
      <c r="D22" s="447"/>
      <c r="E22" s="446" t="s">
        <v>3123</v>
      </c>
      <c r="F22" s="447"/>
      <c r="G22" s="2610" t="s">
        <v>3123</v>
      </c>
      <c r="H22" s="447"/>
      <c r="I22" s="446" t="s">
        <v>3123</v>
      </c>
      <c r="J22" s="447"/>
      <c r="K22" s="2611"/>
      <c r="L22" s="1137"/>
      <c r="M22" s="1128"/>
      <c r="N22" s="1128"/>
      <c r="O22" s="1128"/>
      <c r="P22" s="3290"/>
      <c r="Q22" s="1807"/>
      <c r="R22" s="771"/>
      <c r="S22" s="772"/>
      <c r="T22" s="771"/>
      <c r="U22" s="772"/>
      <c r="V22" s="771"/>
      <c r="W22" s="772"/>
      <c r="X22" s="1810"/>
      <c r="Y22" s="3233"/>
      <c r="Z22" s="1811"/>
      <c r="AA22" s="1808">
        <v>1</v>
      </c>
      <c r="AB22" s="1808">
        <v>1</v>
      </c>
      <c r="AC22" s="1808">
        <v>1</v>
      </c>
    </row>
    <row r="23" spans="1:29" ht="55.2">
      <c r="A23" s="427"/>
      <c r="B23" s="450" t="s">
        <v>2100</v>
      </c>
      <c r="C23" s="2606" t="str">
        <f>估价对象房地状况!C9</f>
        <v>区域自然环境：；人文环境；综合评价环境状况一般</v>
      </c>
      <c r="D23" s="449">
        <v>100</v>
      </c>
      <c r="E23" s="453"/>
      <c r="F23" s="449">
        <f>SUMIF(84:84,E24,85:85)-SUMIF(84:84,C24,85:85)+100</f>
        <v>105</v>
      </c>
      <c r="G23" s="451"/>
      <c r="H23" s="449">
        <f>SUMIF(84:84,G24,85:85)-SUMIF(84:84,C24,85:85)+100</f>
        <v>105</v>
      </c>
      <c r="I23" s="451"/>
      <c r="J23" s="449">
        <f>SUMIF(84:84,I24,85:85)-SUMIF(84:84,C24,85:85)+100</f>
        <v>105</v>
      </c>
      <c r="K23" s="444">
        <v>5</v>
      </c>
      <c r="L23" s="1137"/>
      <c r="M23" s="1128"/>
      <c r="N23" s="1128"/>
      <c r="O23" s="1128"/>
      <c r="P23" s="3290"/>
      <c r="Q23" s="1807" t="str">
        <f>B23</f>
        <v>自然及人文环境</v>
      </c>
      <c r="R23" s="771" t="s">
        <v>21</v>
      </c>
      <c r="S23" s="772">
        <f>F23</f>
        <v>105</v>
      </c>
      <c r="T23" s="771" t="s">
        <v>21</v>
      </c>
      <c r="U23" s="772">
        <f>H23</f>
        <v>105</v>
      </c>
      <c r="V23" s="771" t="s">
        <v>21</v>
      </c>
      <c r="W23" s="772">
        <f>J23</f>
        <v>105</v>
      </c>
      <c r="X23" s="1810"/>
      <c r="Y23" s="3233"/>
      <c r="Z23" s="1811" t="str">
        <f>Q23</f>
        <v>自然及人文环境</v>
      </c>
      <c r="AA23" s="1808">
        <f>D23/F23</f>
        <v>0.95238095238095233</v>
      </c>
      <c r="AB23" s="1808">
        <f>D23/H23</f>
        <v>0.95238095238095233</v>
      </c>
      <c r="AC23" s="1808">
        <f>D23/J23</f>
        <v>0.95238095238095233</v>
      </c>
    </row>
    <row r="24" spans="1:29" ht="15.6" thickBot="1">
      <c r="A24" s="427"/>
      <c r="B24" s="455"/>
      <c r="C24" s="446" t="s">
        <v>3122</v>
      </c>
      <c r="D24" s="447"/>
      <c r="E24" s="2603" t="s">
        <v>3142</v>
      </c>
      <c r="F24" s="447"/>
      <c r="G24" s="2604" t="s">
        <v>3142</v>
      </c>
      <c r="H24" s="447"/>
      <c r="I24" s="2604" t="s">
        <v>3142</v>
      </c>
      <c r="J24" s="447"/>
      <c r="K24" s="2605"/>
      <c r="L24" s="1137"/>
      <c r="M24" s="1128"/>
      <c r="N24" s="1128"/>
      <c r="O24" s="1128"/>
      <c r="P24" s="3290"/>
      <c r="Q24" s="1807"/>
      <c r="R24" s="771"/>
      <c r="S24" s="772"/>
      <c r="T24" s="771"/>
      <c r="U24" s="772"/>
      <c r="V24" s="771"/>
      <c r="W24" s="772"/>
      <c r="X24" s="1810"/>
      <c r="Y24" s="3233"/>
      <c r="Z24" s="1811"/>
      <c r="AA24" s="1808">
        <v>1</v>
      </c>
      <c r="AB24" s="1808">
        <v>1</v>
      </c>
      <c r="AC24" s="1808">
        <v>1</v>
      </c>
    </row>
    <row r="25" spans="1:29" ht="15" hidden="1">
      <c r="A25" s="427"/>
      <c r="B25" s="421" t="s">
        <v>2560</v>
      </c>
      <c r="C25" s="459"/>
      <c r="D25" s="434">
        <v>100</v>
      </c>
      <c r="E25" s="2612"/>
      <c r="F25" s="434">
        <f>SUMIF(86:86,E25,87:87)-SUMIF(86:86,C25,87:87)+100</f>
        <v>100</v>
      </c>
      <c r="G25" s="2613"/>
      <c r="H25" s="434">
        <f>SUMIF(86:86,G25,87:87)-SUMIF(86:86,C25,87:87)+100</f>
        <v>100</v>
      </c>
      <c r="I25" s="2613"/>
      <c r="J25" s="434">
        <f>SUMIF(86:86,I25,87:87)-SUMIF(86:86,C25,87:87)+100</f>
        <v>100</v>
      </c>
      <c r="K25" s="425"/>
      <c r="L25" s="1137"/>
      <c r="M25" s="1128"/>
      <c r="N25" s="1128"/>
      <c r="O25" s="1128"/>
      <c r="P25" s="3290"/>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33"/>
      <c r="Z25" s="1811" t="str">
        <f>Q25</f>
        <v>楼层-1</v>
      </c>
      <c r="AA25" s="1808">
        <f t="shared" ref="AA25:AA46" si="15">D25/F25</f>
        <v>1</v>
      </c>
      <c r="AB25" s="1808">
        <f t="shared" ref="AB25:AB46" si="16">D25/H25</f>
        <v>1</v>
      </c>
      <c r="AC25" s="1808">
        <f t="shared" ref="AC25:AC46" si="17">D25/J25</f>
        <v>1</v>
      </c>
    </row>
    <row r="26" spans="1:29" ht="15" hidden="1">
      <c r="A26" s="427"/>
      <c r="B26" s="421" t="s">
        <v>2561</v>
      </c>
      <c r="C26" s="459"/>
      <c r="D26" s="434">
        <v>100</v>
      </c>
      <c r="E26" s="2612"/>
      <c r="F26" s="434">
        <f>SUMIF(88:88,E26,89:89)-SUMIF(88:88,C26,89:89)+100</f>
        <v>100</v>
      </c>
      <c r="G26" s="2613"/>
      <c r="H26" s="434">
        <f>SUMIF(88:88,G26,89:89)-SUMIF(88:88,C26,89:89)+100</f>
        <v>100</v>
      </c>
      <c r="I26" s="2613"/>
      <c r="J26" s="434">
        <f>SUMIF(88:88,I26,89:89)-SUMIF(88:88,C26,89:89)+100</f>
        <v>100</v>
      </c>
      <c r="K26" s="425"/>
      <c r="L26" s="1137"/>
      <c r="M26" s="1128"/>
      <c r="N26" s="1128"/>
      <c r="O26" s="1128"/>
      <c r="P26" s="3290"/>
      <c r="Q26" s="1807" t="str">
        <f t="shared" si="11"/>
        <v>朝向</v>
      </c>
      <c r="R26" s="771" t="s">
        <v>21</v>
      </c>
      <c r="S26" s="772">
        <f t="shared" si="12"/>
        <v>100</v>
      </c>
      <c r="T26" s="771" t="s">
        <v>21</v>
      </c>
      <c r="U26" s="772">
        <f t="shared" si="13"/>
        <v>100</v>
      </c>
      <c r="V26" s="771" t="s">
        <v>21</v>
      </c>
      <c r="W26" s="772">
        <f t="shared" si="14"/>
        <v>100</v>
      </c>
      <c r="X26" s="1810"/>
      <c r="Y26" s="3233"/>
      <c r="Z26" s="1811" t="str">
        <f>Q26</f>
        <v>朝向</v>
      </c>
      <c r="AA26" s="1808">
        <f t="shared" si="15"/>
        <v>1</v>
      </c>
      <c r="AB26" s="1808">
        <f t="shared" si="16"/>
        <v>1</v>
      </c>
      <c r="AC26" s="1808">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600"/>
      <c r="L27" s="1129"/>
      <c r="M27" s="1130"/>
      <c r="N27" s="1130"/>
      <c r="O27" s="1130"/>
      <c r="P27" s="3290"/>
      <c r="Q27" s="1792">
        <f t="shared" si="11"/>
        <v>111</v>
      </c>
      <c r="R27" s="767" t="s">
        <v>21</v>
      </c>
      <c r="S27" s="768">
        <f t="shared" si="12"/>
        <v>100</v>
      </c>
      <c r="T27" s="767" t="s">
        <v>21</v>
      </c>
      <c r="U27" s="768">
        <f t="shared" si="13"/>
        <v>100</v>
      </c>
      <c r="V27" s="767" t="s">
        <v>21</v>
      </c>
      <c r="W27" s="768">
        <f t="shared" si="14"/>
        <v>100</v>
      </c>
      <c r="X27" s="769"/>
      <c r="Y27" s="3233"/>
      <c r="Z27" s="55">
        <f>Q27</f>
        <v>111</v>
      </c>
      <c r="AA27" s="1808">
        <f t="shared" si="15"/>
        <v>1</v>
      </c>
      <c r="AB27" s="1808">
        <f t="shared" si="16"/>
        <v>1</v>
      </c>
      <c r="AC27" s="1808">
        <f t="shared" si="17"/>
        <v>1</v>
      </c>
    </row>
    <row r="28" spans="1:29" ht="15" hidden="1">
      <c r="A28" s="427"/>
      <c r="B28" s="1383">
        <v>111</v>
      </c>
      <c r="C28" s="433"/>
      <c r="D28" s="434">
        <v>100</v>
      </c>
      <c r="E28" s="433"/>
      <c r="F28" s="434">
        <f>SUMIF(92:92,E28,93:93)-SUMIF(92:92,C28,93:93)+100</f>
        <v>100</v>
      </c>
      <c r="G28" s="2614"/>
      <c r="H28" s="434">
        <f>SUMIF(92:92,G28,93:93)-SUMIF(92:92,C28,93:93)+100</f>
        <v>100</v>
      </c>
      <c r="I28" s="433"/>
      <c r="J28" s="434">
        <f>SUMIF(92:92,I28,93:93)-SUMIF(92:92,C28,93:93)+100</f>
        <v>100</v>
      </c>
      <c r="K28" s="2600"/>
      <c r="L28" s="1137"/>
      <c r="M28" s="1128"/>
      <c r="N28" s="1128"/>
      <c r="O28" s="1128"/>
      <c r="P28" s="3290"/>
      <c r="Q28" s="1807">
        <f t="shared" si="11"/>
        <v>111</v>
      </c>
      <c r="R28" s="771" t="s">
        <v>21</v>
      </c>
      <c r="S28" s="772">
        <f t="shared" si="12"/>
        <v>100</v>
      </c>
      <c r="T28" s="771" t="s">
        <v>21</v>
      </c>
      <c r="U28" s="772">
        <f t="shared" si="13"/>
        <v>100</v>
      </c>
      <c r="V28" s="771" t="s">
        <v>21</v>
      </c>
      <c r="W28" s="772">
        <f t="shared" si="14"/>
        <v>100</v>
      </c>
      <c r="X28" s="1810"/>
      <c r="Y28" s="3233"/>
      <c r="Z28" s="1811">
        <f t="shared" ref="Z28:Z46" si="18">Q28</f>
        <v>111</v>
      </c>
      <c r="AA28" s="1808">
        <f t="shared" si="15"/>
        <v>1</v>
      </c>
      <c r="AB28" s="1808">
        <f t="shared" si="16"/>
        <v>1</v>
      </c>
      <c r="AC28" s="1808">
        <f t="shared" si="17"/>
        <v>1</v>
      </c>
    </row>
    <row r="29" spans="1:29" ht="15" hidden="1">
      <c r="A29" s="427"/>
      <c r="B29" s="1383">
        <v>111</v>
      </c>
      <c r="C29" s="433"/>
      <c r="D29" s="434">
        <v>100</v>
      </c>
      <c r="E29" s="433"/>
      <c r="F29" s="434">
        <f>SUMIF(94:94,E29,95:95)-SUMIF(94:94,C29,95:95)+100</f>
        <v>100</v>
      </c>
      <c r="G29" s="2614"/>
      <c r="H29" s="434">
        <f>SUMIF(94:94,G29,95:95)-SUMIF(94:94,C29,95:95)+100</f>
        <v>100</v>
      </c>
      <c r="I29" s="433"/>
      <c r="J29" s="434">
        <f>SUMIF(94:94,I29,95:95)-SUMIF(94:94,C29,95:95)+100</f>
        <v>100</v>
      </c>
      <c r="K29" s="2600"/>
      <c r="L29" s="1137"/>
      <c r="M29" s="1128"/>
      <c r="N29" s="1128"/>
      <c r="O29" s="1128"/>
      <c r="P29" s="3290"/>
      <c r="Q29" s="1807">
        <f t="shared" si="11"/>
        <v>111</v>
      </c>
      <c r="R29" s="771" t="s">
        <v>21</v>
      </c>
      <c r="S29" s="772">
        <f t="shared" si="12"/>
        <v>100</v>
      </c>
      <c r="T29" s="771" t="s">
        <v>21</v>
      </c>
      <c r="U29" s="772">
        <f t="shared" si="13"/>
        <v>100</v>
      </c>
      <c r="V29" s="771" t="s">
        <v>21</v>
      </c>
      <c r="W29" s="772">
        <f t="shared" si="14"/>
        <v>100</v>
      </c>
      <c r="X29" s="1810"/>
      <c r="Y29" s="3233"/>
      <c r="Z29" s="1811">
        <f t="shared" si="18"/>
        <v>111</v>
      </c>
      <c r="AA29" s="1808">
        <f t="shared" si="15"/>
        <v>1</v>
      </c>
      <c r="AB29" s="1808">
        <f t="shared" si="16"/>
        <v>1</v>
      </c>
      <c r="AC29" s="1808">
        <f t="shared" si="17"/>
        <v>1</v>
      </c>
    </row>
    <row r="30" spans="1:29" ht="15" hidden="1">
      <c r="A30" s="427"/>
      <c r="B30" s="1383">
        <v>111</v>
      </c>
      <c r="C30" s="433"/>
      <c r="D30" s="434">
        <v>100</v>
      </c>
      <c r="E30" s="433"/>
      <c r="F30" s="434">
        <f>SUMIF(96:96,E30,97:97)-SUMIF(96:96,C30,97:97)+100</f>
        <v>100</v>
      </c>
      <c r="G30" s="2614"/>
      <c r="H30" s="434">
        <f>SUMIF(96:96,G30,97:97)-SUMIF(96:96,C30,97:97)+100</f>
        <v>100</v>
      </c>
      <c r="I30" s="433"/>
      <c r="J30" s="434">
        <f>SUMIF(96:96,I30,97:97)-SUMIF(96:96,C30,97:97)+100</f>
        <v>100</v>
      </c>
      <c r="K30" s="2600"/>
      <c r="L30" s="1137"/>
      <c r="M30" s="1128"/>
      <c r="N30" s="1128"/>
      <c r="O30" s="1128"/>
      <c r="P30" s="3290"/>
      <c r="Q30" s="1807">
        <f t="shared" si="11"/>
        <v>111</v>
      </c>
      <c r="R30" s="771" t="s">
        <v>21</v>
      </c>
      <c r="S30" s="772">
        <f t="shared" si="12"/>
        <v>100</v>
      </c>
      <c r="T30" s="771" t="s">
        <v>21</v>
      </c>
      <c r="U30" s="772">
        <f t="shared" si="13"/>
        <v>100</v>
      </c>
      <c r="V30" s="771" t="s">
        <v>21</v>
      </c>
      <c r="W30" s="772">
        <f t="shared" si="14"/>
        <v>100</v>
      </c>
      <c r="X30" s="1810"/>
      <c r="Y30" s="3233"/>
      <c r="Z30" s="1811">
        <f t="shared" si="18"/>
        <v>111</v>
      </c>
      <c r="AA30" s="1808">
        <f t="shared" si="15"/>
        <v>1</v>
      </c>
      <c r="AB30" s="1808">
        <f t="shared" si="16"/>
        <v>1</v>
      </c>
      <c r="AC30" s="1808">
        <f t="shared" si="17"/>
        <v>1</v>
      </c>
    </row>
    <row r="31" spans="1:29" ht="15.6" hidden="1" thickBot="1">
      <c r="A31" s="435"/>
      <c r="B31" s="1383">
        <v>111</v>
      </c>
      <c r="C31" s="436"/>
      <c r="D31" s="437">
        <v>100</v>
      </c>
      <c r="E31" s="436"/>
      <c r="F31" s="437">
        <f>SUMIF(98:98,E31,99:99)-SUMIF(98:98,C31,99:99)+100</f>
        <v>100</v>
      </c>
      <c r="G31" s="2615"/>
      <c r="H31" s="437">
        <f>SUMIF(98:98,G31,99:99)-SUMIF(98:98,C31,99:99)+100</f>
        <v>100</v>
      </c>
      <c r="I31" s="436"/>
      <c r="J31" s="437">
        <f>SUMIF(98:98,I31,99:99)-SUMIF(98:98,C31,99:99)+100</f>
        <v>100</v>
      </c>
      <c r="K31" s="2600"/>
      <c r="L31" s="1137"/>
      <c r="M31" s="1128"/>
      <c r="N31" s="1128"/>
      <c r="O31" s="1128"/>
      <c r="P31" s="3290"/>
      <c r="Q31" s="1807">
        <f t="shared" si="11"/>
        <v>111</v>
      </c>
      <c r="R31" s="771" t="s">
        <v>21</v>
      </c>
      <c r="S31" s="772">
        <f t="shared" si="12"/>
        <v>100</v>
      </c>
      <c r="T31" s="771" t="s">
        <v>21</v>
      </c>
      <c r="U31" s="772">
        <f t="shared" si="13"/>
        <v>100</v>
      </c>
      <c r="V31" s="771" t="s">
        <v>21</v>
      </c>
      <c r="W31" s="772">
        <f t="shared" si="14"/>
        <v>100</v>
      </c>
      <c r="X31" s="1810"/>
      <c r="Y31" s="3233"/>
      <c r="Z31" s="1811">
        <f t="shared" si="18"/>
        <v>111</v>
      </c>
      <c r="AA31" s="1808">
        <f t="shared" si="15"/>
        <v>1</v>
      </c>
      <c r="AB31" s="1808">
        <f t="shared" si="16"/>
        <v>1</v>
      </c>
      <c r="AC31" s="1808">
        <f t="shared" si="17"/>
        <v>1</v>
      </c>
    </row>
    <row r="32" spans="1:29" ht="15">
      <c r="A32" s="439" t="s">
        <v>2562</v>
      </c>
      <c r="B32" s="71" t="s">
        <v>2563</v>
      </c>
      <c r="C32" s="2616" t="s">
        <v>3145</v>
      </c>
      <c r="D32" s="466">
        <v>100</v>
      </c>
      <c r="E32" s="2617" t="s">
        <v>3145</v>
      </c>
      <c r="F32" s="460">
        <f>SUMIF(100:100,E32,101:101)-SUMIF(100:100,C32,101:101)+100</f>
        <v>100</v>
      </c>
      <c r="G32" s="2616" t="s">
        <v>3145</v>
      </c>
      <c r="H32" s="466">
        <f>SUMIF(100:100,G32,101:101)-SUMIF(100:100,C32,101:101)+100</f>
        <v>100</v>
      </c>
      <c r="I32" s="2617" t="s">
        <v>3145</v>
      </c>
      <c r="J32" s="434">
        <f>SUMIF(100:100,I32,101:101)-SUMIF(100:100,C32,101:101)+100</f>
        <v>100</v>
      </c>
      <c r="K32" s="425">
        <v>2</v>
      </c>
      <c r="L32" s="1137"/>
      <c r="M32" s="1128"/>
      <c r="N32" s="1128"/>
      <c r="O32" s="1128"/>
      <c r="P32" s="3291" t="s">
        <v>2564</v>
      </c>
      <c r="Q32" s="1807" t="str">
        <f t="shared" si="11"/>
        <v>建筑类型</v>
      </c>
      <c r="R32" s="771" t="s">
        <v>21</v>
      </c>
      <c r="S32" s="772">
        <f t="shared" si="12"/>
        <v>100</v>
      </c>
      <c r="T32" s="771" t="s">
        <v>21</v>
      </c>
      <c r="U32" s="772">
        <f t="shared" si="13"/>
        <v>100</v>
      </c>
      <c r="V32" s="771" t="s">
        <v>21</v>
      </c>
      <c r="W32" s="772">
        <f t="shared" si="14"/>
        <v>100</v>
      </c>
      <c r="X32" s="1810"/>
      <c r="Y32" s="3235" t="s">
        <v>2564</v>
      </c>
      <c r="Z32" s="1811" t="str">
        <f t="shared" si="18"/>
        <v>建筑类型</v>
      </c>
      <c r="AA32" s="1808">
        <f t="shared" si="15"/>
        <v>1</v>
      </c>
      <c r="AB32" s="1808">
        <f t="shared" si="16"/>
        <v>1</v>
      </c>
      <c r="AC32" s="1808">
        <f t="shared" si="17"/>
        <v>1</v>
      </c>
    </row>
    <row r="33" spans="1:29" s="470" customFormat="1" ht="15">
      <c r="A33" s="467"/>
      <c r="B33" s="421" t="s">
        <v>2565</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0"/>
      <c r="L33" s="1135"/>
      <c r="M33" s="1138"/>
      <c r="N33" s="1138"/>
      <c r="O33" s="1138"/>
      <c r="P33" s="3292"/>
      <c r="Q33" s="773" t="str">
        <f t="shared" si="11"/>
        <v>项目建筑规模</v>
      </c>
      <c r="R33" s="774" t="s">
        <v>21</v>
      </c>
      <c r="S33" s="775">
        <f t="shared" si="12"/>
        <v>100</v>
      </c>
      <c r="T33" s="774" t="s">
        <v>21</v>
      </c>
      <c r="U33" s="775">
        <f t="shared" si="13"/>
        <v>100</v>
      </c>
      <c r="V33" s="774" t="s">
        <v>21</v>
      </c>
      <c r="W33" s="775">
        <f t="shared" si="14"/>
        <v>100</v>
      </c>
      <c r="X33" s="776"/>
      <c r="Y33" s="3235"/>
      <c r="Z33" s="777" t="str">
        <f t="shared" si="18"/>
        <v>项目建筑规模</v>
      </c>
      <c r="AA33" s="1808">
        <f t="shared" si="15"/>
        <v>1</v>
      </c>
      <c r="AB33" s="1808">
        <f t="shared" si="16"/>
        <v>1</v>
      </c>
      <c r="AC33" s="1808">
        <f t="shared" si="17"/>
        <v>1</v>
      </c>
    </row>
    <row r="34" spans="1:29" ht="15">
      <c r="A34" s="471"/>
      <c r="B34" s="421" t="s">
        <v>2566</v>
      </c>
      <c r="C34" s="2618" t="s">
        <v>3099</v>
      </c>
      <c r="D34" s="434">
        <v>100</v>
      </c>
      <c r="E34" s="2619" t="s">
        <v>3099</v>
      </c>
      <c r="F34" s="460">
        <f>SUMIF(105:105,E34,106:106)-SUMIF(105:105,C34,106:106)+100</f>
        <v>100</v>
      </c>
      <c r="G34" s="2618" t="s">
        <v>3099</v>
      </c>
      <c r="H34" s="434">
        <f>SUMIF(105:105,G34,106:106)-SUMIF(105:105,C34,106:106)+100</f>
        <v>100</v>
      </c>
      <c r="I34" s="2619" t="s">
        <v>3099</v>
      </c>
      <c r="J34" s="434">
        <f>SUMIF(105:105,I34,106:106)-SUMIF(105:105,C34,106:106)+100</f>
        <v>100</v>
      </c>
      <c r="K34" s="425">
        <v>2</v>
      </c>
      <c r="L34" s="1137"/>
      <c r="M34" s="1128"/>
      <c r="N34" s="1128"/>
      <c r="O34" s="1128"/>
      <c r="P34" s="3292"/>
      <c r="Q34" s="1807" t="str">
        <f t="shared" si="11"/>
        <v>建筑结构</v>
      </c>
      <c r="R34" s="771" t="s">
        <v>21</v>
      </c>
      <c r="S34" s="772">
        <f t="shared" si="12"/>
        <v>100</v>
      </c>
      <c r="T34" s="771" t="s">
        <v>21</v>
      </c>
      <c r="U34" s="772">
        <f t="shared" si="13"/>
        <v>100</v>
      </c>
      <c r="V34" s="771" t="s">
        <v>21</v>
      </c>
      <c r="W34" s="772">
        <f t="shared" si="14"/>
        <v>100</v>
      </c>
      <c r="X34" s="1810"/>
      <c r="Y34" s="3235"/>
      <c r="Z34" s="1811" t="str">
        <f t="shared" si="18"/>
        <v>建筑结构</v>
      </c>
      <c r="AA34" s="1808">
        <f t="shared" si="15"/>
        <v>1</v>
      </c>
      <c r="AB34" s="1808">
        <f t="shared" si="16"/>
        <v>1</v>
      </c>
      <c r="AC34" s="1808">
        <f t="shared" si="17"/>
        <v>1</v>
      </c>
    </row>
    <row r="35" spans="1:29" ht="15">
      <c r="A35" s="471"/>
      <c r="B35" s="421" t="s">
        <v>2567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v>3</v>
      </c>
      <c r="L35" s="1137"/>
      <c r="M35" s="1128"/>
      <c r="N35" s="1128"/>
      <c r="O35" s="1128"/>
      <c r="P35" s="3292"/>
      <c r="Q35" s="1807" t="str">
        <f t="shared" si="11"/>
        <v>建筑品质</v>
      </c>
      <c r="R35" s="771" t="s">
        <v>21</v>
      </c>
      <c r="S35" s="772">
        <f t="shared" si="12"/>
        <v>100</v>
      </c>
      <c r="T35" s="771" t="s">
        <v>21</v>
      </c>
      <c r="U35" s="772">
        <f t="shared" si="13"/>
        <v>100</v>
      </c>
      <c r="V35" s="771" t="s">
        <v>21</v>
      </c>
      <c r="W35" s="772">
        <f t="shared" si="14"/>
        <v>100</v>
      </c>
      <c r="X35" s="1810"/>
      <c r="Y35" s="3235"/>
      <c r="Z35" s="1811" t="str">
        <f t="shared" si="18"/>
        <v>建筑品质</v>
      </c>
      <c r="AA35" s="1808">
        <f t="shared" si="15"/>
        <v>1</v>
      </c>
      <c r="AB35" s="1808">
        <f t="shared" si="16"/>
        <v>1</v>
      </c>
      <c r="AC35" s="1808">
        <f t="shared" si="17"/>
        <v>1</v>
      </c>
    </row>
    <row r="36" spans="1:29" ht="15">
      <c r="A36" s="471"/>
      <c r="B36" s="421" t="s">
        <v>2568</v>
      </c>
      <c r="C36" s="2612" t="s">
        <v>3125</v>
      </c>
      <c r="D36" s="434">
        <v>100</v>
      </c>
      <c r="E36" s="2613" t="s">
        <v>3125</v>
      </c>
      <c r="F36" s="460">
        <f>SUMIF(109:109,E36,110:110)-SUMIF(109:109,C36,110:110)+100</f>
        <v>100</v>
      </c>
      <c r="G36" s="2612" t="s">
        <v>3125</v>
      </c>
      <c r="H36" s="434">
        <f>SUMIF(109:109,G36,110:110)-SUMIF(109:109,C36,110:110)+100</f>
        <v>100</v>
      </c>
      <c r="I36" s="2613" t="s">
        <v>3125</v>
      </c>
      <c r="J36" s="434">
        <f>SUMIF(109:109,I36,110:110)-SUMIF(109:109,C36,110:110)+100</f>
        <v>100</v>
      </c>
      <c r="K36" s="425">
        <v>3</v>
      </c>
      <c r="L36" s="1137"/>
      <c r="M36" s="1128"/>
      <c r="N36" s="1128"/>
      <c r="O36" s="1128"/>
      <c r="P36" s="3292"/>
      <c r="Q36" s="1807" t="str">
        <f t="shared" si="11"/>
        <v>公共部分装修</v>
      </c>
      <c r="R36" s="771" t="s">
        <v>21</v>
      </c>
      <c r="S36" s="772">
        <f t="shared" si="12"/>
        <v>100</v>
      </c>
      <c r="T36" s="771" t="s">
        <v>21</v>
      </c>
      <c r="U36" s="772">
        <f t="shared" si="13"/>
        <v>100</v>
      </c>
      <c r="V36" s="771" t="s">
        <v>21</v>
      </c>
      <c r="W36" s="772">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2569</v>
      </c>
      <c r="C37" s="473">
        <f>'数据-取费表'!N6</f>
        <v>0.8</v>
      </c>
      <c r="D37" s="135">
        <v>100</v>
      </c>
      <c r="E37" s="798">
        <f>ROUND(1-(2020-2013)/60,2)</f>
        <v>0.88</v>
      </c>
      <c r="F37" s="424">
        <f>LOOKUP(E37,112:112,113:113)-LOOKUP(C37,112:112,113:113)+100</f>
        <v>100</v>
      </c>
      <c r="G37" s="798">
        <f>ROUND(1-(2020-2015)/60,2)</f>
        <v>0.92</v>
      </c>
      <c r="H37" s="135">
        <f>LOOKUP(G37,112:112,113:113)-LOOKUP(C37,112:112,113:113)+100</f>
        <v>103</v>
      </c>
      <c r="I37" s="798">
        <f>ROUND(1-(2020-2018)/60,2)</f>
        <v>0.97</v>
      </c>
      <c r="J37" s="135">
        <f>LOOKUP(I37,112:112,113:113)-LOOKUP(C37,112:112,113:113)+100</f>
        <v>103</v>
      </c>
      <c r="K37" s="425">
        <v>3</v>
      </c>
      <c r="L37" s="1129"/>
      <c r="M37" s="1130"/>
      <c r="N37" s="1130"/>
      <c r="O37" s="1130"/>
      <c r="P37" s="3292"/>
      <c r="Q37" s="1792" t="str">
        <f t="shared" si="11"/>
        <v>成新度</v>
      </c>
      <c r="R37" s="767" t="s">
        <v>21</v>
      </c>
      <c r="S37" s="768">
        <f t="shared" si="12"/>
        <v>100</v>
      </c>
      <c r="T37" s="767" t="s">
        <v>21</v>
      </c>
      <c r="U37" s="768">
        <f t="shared" si="13"/>
        <v>103</v>
      </c>
      <c r="V37" s="767" t="s">
        <v>21</v>
      </c>
      <c r="W37" s="768">
        <f t="shared" si="14"/>
        <v>103</v>
      </c>
      <c r="X37" s="769"/>
      <c r="Y37" s="3235"/>
      <c r="Z37" s="55" t="str">
        <f t="shared" si="18"/>
        <v>成新度</v>
      </c>
      <c r="AA37" s="770">
        <f t="shared" si="15"/>
        <v>1</v>
      </c>
      <c r="AB37" s="770">
        <f t="shared" si="16"/>
        <v>0.970873786407767</v>
      </c>
      <c r="AC37" s="770">
        <f t="shared" si="17"/>
        <v>0.970873786407767</v>
      </c>
    </row>
    <row r="38" spans="1:29" ht="15">
      <c r="A38" s="471"/>
      <c r="B38" s="421" t="s">
        <v>2570</v>
      </c>
      <c r="C38" s="2612" t="s">
        <v>3147</v>
      </c>
      <c r="D38" s="434">
        <v>100</v>
      </c>
      <c r="E38" s="2613" t="s">
        <v>3147</v>
      </c>
      <c r="F38" s="460">
        <f>SUMIF(114:114,E38,115:115)-SUMIF(114:114,C38,115:115)+100</f>
        <v>100</v>
      </c>
      <c r="G38" s="2612" t="s">
        <v>3147</v>
      </c>
      <c r="H38" s="434">
        <f>SUMIF(114:114,G38,115:115)-SUMIF(114:114,C38,115:115)+100</f>
        <v>100</v>
      </c>
      <c r="I38" s="2613" t="s">
        <v>3147</v>
      </c>
      <c r="J38" s="434">
        <f>SUMIF(114:114,I38,115:115)-SUMIF(114:114,C38,115:115)+100</f>
        <v>100</v>
      </c>
      <c r="K38" s="425">
        <v>1</v>
      </c>
      <c r="L38" s="1137"/>
      <c r="M38" s="1128"/>
      <c r="N38" s="1128"/>
      <c r="O38" s="1128"/>
      <c r="P38" s="3292" t="s">
        <v>2564</v>
      </c>
      <c r="Q38" s="1807" t="str">
        <f t="shared" si="11"/>
        <v>物业管理</v>
      </c>
      <c r="R38" s="771" t="s">
        <v>21</v>
      </c>
      <c r="S38" s="772">
        <f t="shared" si="12"/>
        <v>100</v>
      </c>
      <c r="T38" s="771" t="s">
        <v>21</v>
      </c>
      <c r="U38" s="772">
        <f t="shared" si="13"/>
        <v>100</v>
      </c>
      <c r="V38" s="771" t="s">
        <v>21</v>
      </c>
      <c r="W38" s="772">
        <f t="shared" si="14"/>
        <v>100</v>
      </c>
      <c r="X38" s="1810"/>
      <c r="Y38" s="3235" t="s">
        <v>2564</v>
      </c>
      <c r="Z38" s="1811" t="str">
        <f t="shared" si="18"/>
        <v>物业管理</v>
      </c>
      <c r="AA38" s="1808">
        <f t="shared" si="15"/>
        <v>1</v>
      </c>
      <c r="AB38" s="1808">
        <f t="shared" si="16"/>
        <v>1</v>
      </c>
      <c r="AC38" s="1808">
        <f t="shared" si="17"/>
        <v>1</v>
      </c>
    </row>
    <row r="39" spans="1:29" ht="15">
      <c r="A39" s="471"/>
      <c r="B39" s="421" t="s">
        <v>2571</v>
      </c>
      <c r="C39" s="2612" t="s">
        <v>3151</v>
      </c>
      <c r="D39" s="434">
        <v>100</v>
      </c>
      <c r="E39" s="2613" t="s">
        <v>3123</v>
      </c>
      <c r="F39" s="460">
        <f>SUMIF(116:116,E39,117:117)-SUMIF(116:116,C39,117:117)+100</f>
        <v>102</v>
      </c>
      <c r="G39" s="2612" t="s">
        <v>3151</v>
      </c>
      <c r="H39" s="434">
        <f>SUMIF(116:116,G39,117:117)-SUMIF(116:116,C39,117:117)+100</f>
        <v>100</v>
      </c>
      <c r="I39" s="2613" t="s">
        <v>3151</v>
      </c>
      <c r="J39" s="434">
        <f>SUMIF(116:116,I39,117:117)-SUMIF(116:116,C39,117:117)+100</f>
        <v>100</v>
      </c>
      <c r="K39" s="425">
        <v>2</v>
      </c>
      <c r="L39" s="1137"/>
      <c r="M39" s="1128"/>
      <c r="N39" s="1128"/>
      <c r="O39" s="1128"/>
      <c r="P39" s="3292"/>
      <c r="Q39" s="1807" t="str">
        <f t="shared" si="11"/>
        <v>市政基础设施</v>
      </c>
      <c r="R39" s="771" t="s">
        <v>21</v>
      </c>
      <c r="S39" s="772">
        <f t="shared" si="12"/>
        <v>102</v>
      </c>
      <c r="T39" s="771" t="s">
        <v>21</v>
      </c>
      <c r="U39" s="772">
        <f t="shared" si="13"/>
        <v>100</v>
      </c>
      <c r="V39" s="771" t="s">
        <v>21</v>
      </c>
      <c r="W39" s="772">
        <f t="shared" si="14"/>
        <v>100</v>
      </c>
      <c r="X39" s="1810"/>
      <c r="Y39" s="3235"/>
      <c r="Z39" s="1811" t="str">
        <f t="shared" si="18"/>
        <v>市政基础设施</v>
      </c>
      <c r="AA39" s="1808">
        <f t="shared" si="15"/>
        <v>0.98039215686274506</v>
      </c>
      <c r="AB39" s="1808">
        <f t="shared" si="16"/>
        <v>1</v>
      </c>
      <c r="AC39" s="1808">
        <f t="shared" si="17"/>
        <v>1</v>
      </c>
    </row>
    <row r="40" spans="1:29" ht="15">
      <c r="A40" s="471"/>
      <c r="B40" s="421" t="s">
        <v>2572</v>
      </c>
      <c r="C40" s="2612" t="s">
        <v>3156</v>
      </c>
      <c r="D40" s="434">
        <v>100</v>
      </c>
      <c r="E40" s="2613" t="s">
        <v>3156</v>
      </c>
      <c r="F40" s="460">
        <f>SUMIF(118:118,E40,119:119)-SUMIF(118:118,C40,119:119)+100</f>
        <v>100</v>
      </c>
      <c r="G40" s="2612" t="s">
        <v>3154</v>
      </c>
      <c r="H40" s="434">
        <f>SUMIF(118:118,G40,119:119)-SUMIF(118:118,C40,119:119)+100</f>
        <v>105</v>
      </c>
      <c r="I40" s="2613" t="s">
        <v>3156</v>
      </c>
      <c r="J40" s="434">
        <f>SUMIF(118:118,I40,119:119)-SUMIF(118:118,C40,119:119)+100</f>
        <v>100</v>
      </c>
      <c r="K40" s="425">
        <v>5</v>
      </c>
      <c r="L40" s="1137"/>
      <c r="M40" s="1128"/>
      <c r="N40" s="1128"/>
      <c r="O40" s="1128"/>
      <c r="P40" s="3292"/>
      <c r="Q40" s="1807" t="str">
        <f t="shared" si="11"/>
        <v>房型</v>
      </c>
      <c r="R40" s="771" t="s">
        <v>21</v>
      </c>
      <c r="S40" s="772">
        <f t="shared" si="12"/>
        <v>100</v>
      </c>
      <c r="T40" s="771" t="s">
        <v>21</v>
      </c>
      <c r="U40" s="772">
        <f t="shared" si="13"/>
        <v>105</v>
      </c>
      <c r="V40" s="771" t="s">
        <v>21</v>
      </c>
      <c r="W40" s="772">
        <f t="shared" si="14"/>
        <v>100</v>
      </c>
      <c r="X40" s="1810"/>
      <c r="Y40" s="3235"/>
      <c r="Z40" s="1811" t="str">
        <f t="shared" si="18"/>
        <v>房型</v>
      </c>
      <c r="AA40" s="1808">
        <f t="shared" si="15"/>
        <v>1</v>
      </c>
      <c r="AB40" s="1808">
        <f t="shared" si="16"/>
        <v>0.95238095238095233</v>
      </c>
      <c r="AC40" s="1808">
        <f t="shared" si="17"/>
        <v>1</v>
      </c>
    </row>
    <row r="41" spans="1:29" s="470" customFormat="1" ht="28.8">
      <c r="A41" s="467"/>
      <c r="B41" s="421" t="s">
        <v>2573</v>
      </c>
      <c r="C41" s="468">
        <f>'数据-汇总表'!F19</f>
        <v>55.46</v>
      </c>
      <c r="D41" s="135">
        <v>100</v>
      </c>
      <c r="E41" s="429">
        <v>150</v>
      </c>
      <c r="F41" s="424">
        <f>SUMIF(120:120,E41,121:121)-SUMIF(120:120,C41,121:121)+100</f>
        <v>100</v>
      </c>
      <c r="G41" s="428">
        <v>330</v>
      </c>
      <c r="H41" s="135">
        <f>SUMIF(120:120,G41,121:121)-SUMIF(120:120,C41,121:121)+100</f>
        <v>100</v>
      </c>
      <c r="I41" s="476">
        <v>147</v>
      </c>
      <c r="J41" s="434">
        <f>SUMIF(120:120,I41,121:121)-SUMIF(120:120,C41,121:121)+100</f>
        <v>100</v>
      </c>
      <c r="K41" s="2600"/>
      <c r="L41" s="1135"/>
      <c r="M41" s="1138"/>
      <c r="N41" s="1138"/>
      <c r="O41" s="1138"/>
      <c r="P41" s="3292"/>
      <c r="Q41" s="773" t="str">
        <f t="shared" si="11"/>
        <v>单套/主力户型建筑面积</v>
      </c>
      <c r="R41" s="774" t="s">
        <v>21</v>
      </c>
      <c r="S41" s="775">
        <f t="shared" si="12"/>
        <v>100</v>
      </c>
      <c r="T41" s="774" t="s">
        <v>21</v>
      </c>
      <c r="U41" s="775">
        <f t="shared" si="13"/>
        <v>100</v>
      </c>
      <c r="V41" s="774" t="s">
        <v>21</v>
      </c>
      <c r="W41" s="775">
        <f t="shared" si="14"/>
        <v>100</v>
      </c>
      <c r="X41" s="776"/>
      <c r="Y41" s="3235"/>
      <c r="Z41" s="777" t="str">
        <f t="shared" si="18"/>
        <v>单套/主力户型建筑面积</v>
      </c>
      <c r="AA41" s="1808">
        <f t="shared" si="15"/>
        <v>1</v>
      </c>
      <c r="AB41" s="1808">
        <f t="shared" si="16"/>
        <v>1</v>
      </c>
      <c r="AC41" s="1808">
        <f t="shared" si="17"/>
        <v>1</v>
      </c>
    </row>
    <row r="42" spans="1:29" ht="15">
      <c r="A42" s="471"/>
      <c r="B42" s="421" t="s">
        <v>2574</v>
      </c>
      <c r="C42" s="2612" t="s">
        <v>3125</v>
      </c>
      <c r="D42" s="434">
        <v>100</v>
      </c>
      <c r="E42" s="2613" t="s">
        <v>3125</v>
      </c>
      <c r="F42" s="460">
        <f>SUMIF(122:122,E42,123:123)-SUMIF(122:122,C42,123:123)+100</f>
        <v>100</v>
      </c>
      <c r="G42" s="2612" t="s">
        <v>3125</v>
      </c>
      <c r="H42" s="434">
        <f>SUMIF(122:122,G42,123:123)-SUMIF(122:122,C42,123:123)+100</f>
        <v>100</v>
      </c>
      <c r="I42" s="2613" t="s">
        <v>3125</v>
      </c>
      <c r="J42" s="434">
        <f>SUMIF(122:122,I42,123:123)-SUMIF(122:122,C42,123:123)+100</f>
        <v>100</v>
      </c>
      <c r="K42" s="425">
        <v>2</v>
      </c>
      <c r="L42" s="1137"/>
      <c r="M42" s="1128"/>
      <c r="N42" s="1128"/>
      <c r="O42" s="1128"/>
      <c r="P42" s="3292"/>
      <c r="Q42" s="1807" t="str">
        <f t="shared" si="11"/>
        <v>内部装修</v>
      </c>
      <c r="R42" s="771" t="s">
        <v>21</v>
      </c>
      <c r="S42" s="772">
        <f t="shared" si="12"/>
        <v>100</v>
      </c>
      <c r="T42" s="771" t="s">
        <v>21</v>
      </c>
      <c r="U42" s="772">
        <f t="shared" si="13"/>
        <v>100</v>
      </c>
      <c r="V42" s="771" t="s">
        <v>21</v>
      </c>
      <c r="W42" s="772">
        <f t="shared" si="14"/>
        <v>100</v>
      </c>
      <c r="X42" s="1810"/>
      <c r="Y42" s="3235"/>
      <c r="Z42" s="1811" t="str">
        <f t="shared" si="18"/>
        <v>内部装修</v>
      </c>
      <c r="AA42" s="1808">
        <f t="shared" si="15"/>
        <v>1</v>
      </c>
      <c r="AB42" s="1808">
        <f t="shared" si="16"/>
        <v>1</v>
      </c>
      <c r="AC42" s="1808">
        <f t="shared" si="17"/>
        <v>1</v>
      </c>
    </row>
    <row r="43" spans="1:29" ht="29.4" thickBot="1">
      <c r="A43" s="471"/>
      <c r="B43" s="421" t="s">
        <v>2575</v>
      </c>
      <c r="C43" s="2612" t="s">
        <v>3122</v>
      </c>
      <c r="D43" s="434">
        <v>100</v>
      </c>
      <c r="E43" s="2613" t="s">
        <v>3122</v>
      </c>
      <c r="F43" s="460">
        <f>SUMIF(124:124,E43,125:125)-SUMIF(124:124,C43,125:125)+100</f>
        <v>100</v>
      </c>
      <c r="G43" s="2612" t="s">
        <v>3122</v>
      </c>
      <c r="H43" s="434">
        <f>SUMIF(124:124,G43,125:125)-SUMIF(124:124,C43,125:125)+100</f>
        <v>100</v>
      </c>
      <c r="I43" s="2613" t="s">
        <v>3122</v>
      </c>
      <c r="J43" s="434">
        <f>SUMIF(124:124,I43,125:125)-SUMIF(124:124,C43,125:125)+100</f>
        <v>100</v>
      </c>
      <c r="K43" s="425">
        <v>1</v>
      </c>
      <c r="L43" s="1137"/>
      <c r="M43" s="1128"/>
      <c r="N43" s="1128"/>
      <c r="O43" s="1128"/>
      <c r="P43" s="3292"/>
      <c r="Q43" s="1807" t="str">
        <f t="shared" si="11"/>
        <v>内部装修维护情况</v>
      </c>
      <c r="R43" s="771" t="s">
        <v>21</v>
      </c>
      <c r="S43" s="772">
        <f t="shared" si="12"/>
        <v>100</v>
      </c>
      <c r="T43" s="771" t="s">
        <v>21</v>
      </c>
      <c r="U43" s="772">
        <f t="shared" si="13"/>
        <v>100</v>
      </c>
      <c r="V43" s="771" t="s">
        <v>21</v>
      </c>
      <c r="W43" s="772">
        <f t="shared" si="14"/>
        <v>100</v>
      </c>
      <c r="X43" s="1810"/>
      <c r="Y43" s="3235"/>
      <c r="Z43" s="1811" t="str">
        <f t="shared" si="18"/>
        <v>内部装修维护情况</v>
      </c>
      <c r="AA43" s="1808">
        <f t="shared" si="15"/>
        <v>1</v>
      </c>
      <c r="AB43" s="1808">
        <f t="shared" si="16"/>
        <v>1</v>
      </c>
      <c r="AC43" s="1808">
        <f t="shared" si="17"/>
        <v>1</v>
      </c>
    </row>
    <row r="44" spans="1:29" s="117" customFormat="1" ht="15" hidden="1">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9"/>
      <c r="M44" s="1130"/>
      <c r="N44" s="1130"/>
      <c r="O44" s="1130"/>
      <c r="P44" s="3292"/>
      <c r="Q44" s="1792">
        <f t="shared" si="11"/>
        <v>111</v>
      </c>
      <c r="R44" s="767" t="s">
        <v>21</v>
      </c>
      <c r="S44" s="768">
        <f t="shared" si="12"/>
        <v>100</v>
      </c>
      <c r="T44" s="767" t="s">
        <v>21</v>
      </c>
      <c r="U44" s="768">
        <f t="shared" si="13"/>
        <v>100</v>
      </c>
      <c r="V44" s="767" t="s">
        <v>21</v>
      </c>
      <c r="W44" s="768">
        <f t="shared" si="14"/>
        <v>100</v>
      </c>
      <c r="X44" s="769"/>
      <c r="Y44" s="3235"/>
      <c r="Z44" s="55">
        <f t="shared" si="18"/>
        <v>111</v>
      </c>
      <c r="AA44" s="770">
        <f t="shared" si="15"/>
        <v>1</v>
      </c>
      <c r="AB44" s="770">
        <f t="shared" si="16"/>
        <v>1</v>
      </c>
      <c r="AC44" s="770">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7"/>
      <c r="M45" s="1128"/>
      <c r="N45" s="1128"/>
      <c r="O45" s="1128"/>
      <c r="P45" s="3292"/>
      <c r="Q45" s="1807">
        <f t="shared" si="11"/>
        <v>111</v>
      </c>
      <c r="R45" s="771" t="s">
        <v>21</v>
      </c>
      <c r="S45" s="772">
        <f t="shared" si="12"/>
        <v>100</v>
      </c>
      <c r="T45" s="771" t="s">
        <v>21</v>
      </c>
      <c r="U45" s="772">
        <f t="shared" si="13"/>
        <v>100</v>
      </c>
      <c r="V45" s="771" t="s">
        <v>21</v>
      </c>
      <c r="W45" s="772">
        <f t="shared" si="14"/>
        <v>100</v>
      </c>
      <c r="X45" s="1810"/>
      <c r="Y45" s="3235"/>
      <c r="Z45" s="1811">
        <f t="shared" si="18"/>
        <v>111</v>
      </c>
      <c r="AA45" s="1808">
        <f t="shared" si="15"/>
        <v>1</v>
      </c>
      <c r="AB45" s="1808">
        <f t="shared" si="16"/>
        <v>1</v>
      </c>
      <c r="AC45" s="1808">
        <f t="shared" si="17"/>
        <v>1</v>
      </c>
    </row>
    <row r="46" spans="1:29" ht="15.6" hidden="1"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7"/>
      <c r="M46" s="1128"/>
      <c r="N46" s="1128"/>
      <c r="O46" s="1128"/>
      <c r="P46" s="3293"/>
      <c r="Q46" s="1807">
        <f t="shared" si="11"/>
        <v>111</v>
      </c>
      <c r="R46" s="771" t="s">
        <v>20</v>
      </c>
      <c r="S46" s="772">
        <f t="shared" si="12"/>
        <v>100</v>
      </c>
      <c r="T46" s="771" t="s">
        <v>20</v>
      </c>
      <c r="U46" s="772">
        <f t="shared" si="13"/>
        <v>100</v>
      </c>
      <c r="V46" s="771" t="s">
        <v>20</v>
      </c>
      <c r="W46" s="772">
        <f t="shared" si="14"/>
        <v>100</v>
      </c>
      <c r="X46" s="1810"/>
      <c r="Y46" s="3294"/>
      <c r="Z46" s="1811">
        <f t="shared" si="18"/>
        <v>111</v>
      </c>
      <c r="AA46" s="1808">
        <f t="shared" si="15"/>
        <v>1</v>
      </c>
      <c r="AB46" s="1808">
        <f t="shared" si="16"/>
        <v>1</v>
      </c>
      <c r="AC46" s="1808">
        <f t="shared" si="17"/>
        <v>1</v>
      </c>
    </row>
    <row r="47" spans="1:29" ht="14.4">
      <c r="A47" s="478" t="s">
        <v>2576</v>
      </c>
      <c r="B47" s="479"/>
      <c r="C47" s="1404" t="s">
        <v>19</v>
      </c>
      <c r="D47" s="1405"/>
      <c r="E47" s="1406">
        <v>89570</v>
      </c>
      <c r="F47" s="1407"/>
      <c r="G47" s="1408">
        <v>115000</v>
      </c>
      <c r="H47" s="1409"/>
      <c r="I47" s="1406">
        <v>108130</v>
      </c>
      <c r="J47" s="1409"/>
      <c r="K47" s="2620"/>
      <c r="L47" s="1140"/>
      <c r="M47" s="1141"/>
      <c r="N47" s="1128"/>
      <c r="O47" s="1141"/>
      <c r="P47" s="3230" t="str">
        <f>A47</f>
        <v>成交单价（元/平方米）</v>
      </c>
      <c r="Q47" s="3230"/>
      <c r="R47" s="3287">
        <f>E47</f>
        <v>89570</v>
      </c>
      <c r="S47" s="3287"/>
      <c r="T47" s="3287">
        <f>G47</f>
        <v>115000</v>
      </c>
      <c r="U47" s="3287"/>
      <c r="V47" s="3287">
        <f>I47</f>
        <v>108130</v>
      </c>
      <c r="W47" s="3287"/>
      <c r="X47" s="756"/>
      <c r="Y47" s="778"/>
      <c r="Z47" s="756"/>
      <c r="AA47" s="756"/>
      <c r="AB47" s="756"/>
      <c r="AC47" s="756"/>
    </row>
    <row r="48" spans="1:29" ht="15" thickBot="1">
      <c r="A48" s="485" t="s">
        <v>2577</v>
      </c>
      <c r="B48" s="486"/>
      <c r="C48" s="1410">
        <f>R49</f>
        <v>87794</v>
      </c>
      <c r="D48" s="1411"/>
      <c r="E48" s="1412">
        <f>R48</f>
        <v>78149</v>
      </c>
      <c r="F48" s="1412"/>
      <c r="G48" s="1410">
        <f>T48</f>
        <v>93675</v>
      </c>
      <c r="H48" s="1411"/>
      <c r="I48" s="1412">
        <f>V48</f>
        <v>91558</v>
      </c>
      <c r="J48" s="1411"/>
      <c r="K48" s="2621"/>
      <c r="L48" s="1140"/>
      <c r="M48" s="1141"/>
      <c r="N48" s="1141"/>
      <c r="O48" s="1141"/>
      <c r="P48" s="3230" t="str">
        <f>A48</f>
        <v>比较价值（元/平方米）</v>
      </c>
      <c r="Q48" s="3230"/>
      <c r="R48" s="3287">
        <f>IF(F1="售价",ROUND(PRODUCT(R47,AA7:AA46),0),ROUND(PRODUCT(R47,AA7:AA46),1))</f>
        <v>78149</v>
      </c>
      <c r="S48" s="3287"/>
      <c r="T48" s="3287">
        <f>IF(F1="售价",ROUND(PRODUCT(T47,AB7:AB46),0),ROUND(PRODUCT(T47,AB7:AB46),1))</f>
        <v>93675</v>
      </c>
      <c r="U48" s="3287"/>
      <c r="V48" s="3287">
        <f>IF(F1="售价",ROUND(PRODUCT(V47,AC7:AC46),0),ROUND(PRODUCT(V47,AC7:AC46),1))</f>
        <v>91558</v>
      </c>
      <c r="W48" s="3287"/>
      <c r="X48" s="756"/>
      <c r="Y48" s="756"/>
      <c r="Z48" s="756"/>
      <c r="AA48" s="756"/>
      <c r="AB48" s="756"/>
      <c r="AC48" s="756"/>
    </row>
    <row r="49" spans="1:29" ht="15" thickBot="1">
      <c r="A49" s="491" t="s">
        <v>2578</v>
      </c>
      <c r="B49" s="492"/>
      <c r="C49" s="1413">
        <f>R49</f>
        <v>87794</v>
      </c>
      <c r="D49" s="1414"/>
      <c r="E49" s="1414"/>
      <c r="F49" s="1414"/>
      <c r="G49" s="1414"/>
      <c r="H49" s="1414"/>
      <c r="I49" s="1414"/>
      <c r="J49" s="1414"/>
      <c r="K49" s="2622"/>
      <c r="L49" s="1140"/>
      <c r="M49" s="1141"/>
      <c r="N49" s="1141"/>
      <c r="O49" s="1141"/>
      <c r="P49" s="3224" t="str">
        <f>A49</f>
        <v>估价对象XX用房的比较价值（楼面单价，元/平方米）</v>
      </c>
      <c r="Q49" s="3225"/>
      <c r="R49" s="3288">
        <f>IF(F1="售价",ROUND(AVERAGE(R48:V48),0),ROUND(AVERAGE(R48:V48),1))</f>
        <v>87794</v>
      </c>
      <c r="S49" s="3288"/>
      <c r="T49" s="3288"/>
      <c r="U49" s="3288"/>
      <c r="V49" s="3288"/>
      <c r="W49" s="328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2579</v>
      </c>
      <c r="D52" s="497"/>
      <c r="E52" s="498">
        <f>IF(E47&lt;E48,E48/E47-1,E47/E48-1)</f>
        <v>0.14614390459250926</v>
      </c>
      <c r="F52" s="499" t="str">
        <f>IF(OR(E52&gt;=0.3,E52&lt;=-0.3),"超过30%","")</f>
        <v/>
      </c>
      <c r="G52" s="498">
        <f>IF(G47&lt;G48,G48/G47-1,G47/G48-1)</f>
        <v>0.22764878569522295</v>
      </c>
      <c r="H52" s="499" t="str">
        <f>IF(OR(G52&gt;=0.3,G52&lt;=-0.3),"超过30%","")</f>
        <v/>
      </c>
      <c r="I52" s="498">
        <f>IF(I47&lt;I48,I48/I47-1,I47/I48-1)</f>
        <v>0.18100002184407704</v>
      </c>
      <c r="J52" s="499" t="str">
        <f>IF(OR(I52&gt;=0.3,I52&lt;=-0.3),"超过30%","")</f>
        <v/>
      </c>
      <c r="K52" s="1102"/>
      <c r="L52" s="1103"/>
      <c r="M52" s="1141"/>
      <c r="N52" s="1141"/>
      <c r="O52" s="1141"/>
    </row>
    <row r="53" spans="1:29" ht="13.5" customHeight="1">
      <c r="A53" s="1141"/>
      <c r="B53" s="1141"/>
      <c r="C53" s="496" t="s">
        <v>2580</v>
      </c>
      <c r="D53" s="500"/>
      <c r="E53" s="498">
        <f>IF(E48&lt;G48,G48/E48-1,E48/G48-1)</f>
        <v>0.19867176803286024</v>
      </c>
      <c r="F53" s="499" t="str">
        <f>IF(OR(E53&gt;=0.2,E53&lt;=-0.2),"超过20%","")</f>
        <v/>
      </c>
      <c r="G53" s="498">
        <f>IF(G48&lt;I48,I48/G48-1,G48/I48-1)</f>
        <v>2.3121955481771206E-2</v>
      </c>
      <c r="H53" s="499" t="str">
        <f>IF(OR(G53&gt;=0.2,G53&lt;=-0.2),"超过20%","")</f>
        <v/>
      </c>
      <c r="I53" s="498">
        <f>IF(I48&lt;E48,E48/I48-1,I48/E48-1)</f>
        <v>0.17158248985911517</v>
      </c>
      <c r="J53" s="499" t="str">
        <f>IF(OR(I53&gt;=0.2,I53&lt;=-0.2),"超过20%","")</f>
        <v/>
      </c>
      <c r="K53" s="1102"/>
      <c r="L53" s="1103"/>
      <c r="M53" s="1141"/>
      <c r="N53" s="1141"/>
      <c r="O53" s="1141"/>
    </row>
    <row r="54" spans="1:29" s="501" customFormat="1" ht="13.5" customHeight="1">
      <c r="A54" s="1142"/>
      <c r="B54" s="1142"/>
      <c r="C54" s="496" t="s">
        <v>2581</v>
      </c>
      <c r="D54" s="500"/>
      <c r="E54" s="498">
        <f>IF(E47&lt;G47,G47/E47-1,E47/G47-1)</f>
        <v>0.2839120241152171</v>
      </c>
      <c r="F54" s="499" t="str">
        <f>IF(OR(E54&gt;=0.3,E54&lt;=-0.3),"超过30%","")</f>
        <v/>
      </c>
      <c r="G54" s="498">
        <f>IF(G47&lt;I47,I47/G47-1,G47/I47-1)</f>
        <v>6.3534634236567022E-2</v>
      </c>
      <c r="H54" s="499" t="str">
        <f>IF(OR(G54&gt;=0.3,G54&lt;=-0.3),"超过30%","")</f>
        <v/>
      </c>
      <c r="I54" s="498">
        <f>IF(I47&lt;E47,E47/I47-1,I47/E47-1)</f>
        <v>0.20721223623981233</v>
      </c>
      <c r="J54" s="499" t="str">
        <f>IF(OR(I54&gt;=0.3,I54&lt;=-0.3),"超过30%","")</f>
        <v/>
      </c>
      <c r="K54" s="1145"/>
      <c r="L54" s="1146"/>
      <c r="M54" s="1142"/>
      <c r="N54" s="1142"/>
      <c r="O54" s="1142"/>
      <c r="P54" s="2624"/>
    </row>
    <row r="55" spans="1:29" s="501"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2.2" thickBot="1">
      <c r="A57" s="760" t="s">
        <v>2582</v>
      </c>
      <c r="B57" s="756"/>
      <c r="C57" s="761"/>
      <c r="D57" s="761"/>
      <c r="E57" s="761"/>
      <c r="F57" s="762"/>
      <c r="G57" s="762"/>
      <c r="H57" s="761"/>
      <c r="I57" s="761"/>
      <c r="J57" s="761"/>
      <c r="K57" s="1157"/>
      <c r="L57" s="1158"/>
      <c r="M57" s="1156"/>
      <c r="N57" s="1156"/>
      <c r="O57" s="1156"/>
      <c r="P57" s="2625"/>
      <c r="Q57" s="503"/>
    </row>
    <row r="58" spans="1:29" s="507" customFormat="1" ht="14.4">
      <c r="A58" s="504" t="s">
        <v>2583</v>
      </c>
      <c r="B58" s="505"/>
      <c r="C58" s="1573" t="str">
        <f>YEAR(C7)&amp;"-"&amp;MONTH(C7)</f>
        <v>2020-1</v>
      </c>
      <c r="D58" s="1572">
        <f>EDATE(C58,-1)</f>
        <v>43800</v>
      </c>
      <c r="E58" s="1572">
        <f>EDATE(D58,-1)</f>
        <v>43770</v>
      </c>
      <c r="F58" s="1572">
        <f t="shared" ref="F58:O58" si="19">EDATE(E58,-1)</f>
        <v>43739</v>
      </c>
      <c r="G58" s="1572">
        <f t="shared" si="19"/>
        <v>43709</v>
      </c>
      <c r="H58" s="1572">
        <f t="shared" si="19"/>
        <v>43678</v>
      </c>
      <c r="I58" s="1572">
        <f t="shared" si="19"/>
        <v>43647</v>
      </c>
      <c r="J58" s="1572">
        <f t="shared" si="19"/>
        <v>43617</v>
      </c>
      <c r="K58" s="1572">
        <f t="shared" si="19"/>
        <v>43586</v>
      </c>
      <c r="L58" s="1572">
        <f t="shared" si="19"/>
        <v>43556</v>
      </c>
      <c r="M58" s="1572">
        <f t="shared" si="19"/>
        <v>43525</v>
      </c>
      <c r="N58" s="1572">
        <f t="shared" si="19"/>
        <v>43497</v>
      </c>
      <c r="O58" s="1572">
        <f t="shared" si="19"/>
        <v>43466</v>
      </c>
      <c r="P58" s="1567"/>
    </row>
    <row r="59" spans="1:29" s="117" customFormat="1">
      <c r="A59" s="508"/>
      <c r="B59" s="2626"/>
      <c r="C59" s="1570">
        <v>100</v>
      </c>
      <c r="D59" s="510"/>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2585</v>
      </c>
      <c r="B61" s="509"/>
      <c r="C61" s="521" t="s">
        <v>2586</v>
      </c>
      <c r="D61" s="522"/>
      <c r="E61" s="522"/>
      <c r="F61" s="522"/>
      <c r="G61" s="522"/>
      <c r="H61" s="522"/>
      <c r="I61" s="522"/>
      <c r="J61" s="522"/>
      <c r="K61" s="522"/>
      <c r="L61" s="523"/>
      <c r="M61" s="524"/>
      <c r="N61" s="1148"/>
      <c r="O61" s="1148"/>
      <c r="P61" s="2628"/>
      <c r="Q61" s="503"/>
    </row>
    <row r="62" spans="1:29" s="117" customFormat="1" ht="14.4" thickBot="1">
      <c r="A62" s="520"/>
      <c r="B62" s="509"/>
      <c r="C62" s="510">
        <v>100</v>
      </c>
      <c r="D62" s="511"/>
      <c r="E62" s="511"/>
      <c r="F62" s="511"/>
      <c r="G62" s="511"/>
      <c r="H62" s="511"/>
      <c r="I62" s="511"/>
      <c r="J62" s="511"/>
      <c r="K62" s="511"/>
      <c r="L62" s="511"/>
      <c r="M62" s="513"/>
      <c r="N62" s="1148"/>
      <c r="O62" s="1148"/>
      <c r="P62" s="2627"/>
      <c r="Q62" s="503"/>
    </row>
    <row r="63" spans="1:29" ht="14.4">
      <c r="A63" s="526" t="s">
        <v>2587</v>
      </c>
      <c r="B63" s="527" t="s">
        <v>2553</v>
      </c>
      <c r="C63" s="528">
        <f>C9</f>
        <v>0</v>
      </c>
      <c r="D63" s="529"/>
      <c r="E63" s="529"/>
      <c r="F63" s="529"/>
      <c r="G63" s="529"/>
      <c r="H63" s="529"/>
      <c r="I63" s="529"/>
      <c r="J63" s="529"/>
      <c r="K63" s="530"/>
      <c r="L63" s="531"/>
      <c r="M63" s="532"/>
      <c r="N63" s="1149"/>
      <c r="O63" s="1149"/>
      <c r="P63" s="2629"/>
      <c r="Q63" s="503"/>
    </row>
    <row r="64" spans="1:29" ht="14.4" thickBot="1">
      <c r="A64" s="533"/>
      <c r="B64" s="534"/>
      <c r="C64" s="535">
        <v>100</v>
      </c>
      <c r="D64" s="535"/>
      <c r="E64" s="535"/>
      <c r="F64" s="535"/>
      <c r="G64" s="535"/>
      <c r="H64" s="535"/>
      <c r="I64" s="535"/>
      <c r="J64" s="535"/>
      <c r="K64" s="535"/>
      <c r="L64" s="535"/>
      <c r="M64" s="536"/>
      <c r="N64" s="1150"/>
      <c r="O64" s="1150"/>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9"/>
      <c r="O65" s="1149"/>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9"/>
      <c r="Q66" s="503"/>
    </row>
    <row r="67" spans="1:17" ht="15" thickTop="1">
      <c r="A67" s="533"/>
      <c r="B67" s="545" t="s">
        <v>2557</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50"/>
      <c r="O67" s="1150"/>
      <c r="P67" s="2629"/>
      <c r="Q67" s="503"/>
    </row>
    <row r="68" spans="1:17">
      <c r="A68" s="533"/>
      <c r="B68" s="547"/>
      <c r="C68" s="548">
        <v>0</v>
      </c>
      <c r="D68" s="548">
        <v>1</v>
      </c>
      <c r="E68" s="548">
        <v>2</v>
      </c>
      <c r="F68" s="548">
        <v>3</v>
      </c>
      <c r="G68" s="548">
        <v>4</v>
      </c>
      <c r="H68" s="548">
        <v>5</v>
      </c>
      <c r="I68" s="548">
        <v>6</v>
      </c>
      <c r="J68" s="548"/>
      <c r="K68" s="549"/>
      <c r="L68" s="550"/>
      <c r="M68" s="551"/>
      <c r="N68" s="1149"/>
      <c r="O68" s="1149"/>
      <c r="P68" s="2629"/>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0"/>
      <c r="O69" s="1150"/>
      <c r="P69" s="2629"/>
      <c r="Q69" s="503"/>
    </row>
    <row r="70" spans="1:17" s="470" customFormat="1" ht="14.4" thickTop="1">
      <c r="A70" s="552"/>
      <c r="B70" s="537">
        <f>B12</f>
        <v>111</v>
      </c>
      <c r="C70" s="553"/>
      <c r="D70" s="553"/>
      <c r="E70" s="553"/>
      <c r="F70" s="553"/>
      <c r="G70" s="553"/>
      <c r="H70" s="554"/>
      <c r="I70" s="554"/>
      <c r="J70" s="554"/>
      <c r="K70" s="554"/>
      <c r="L70" s="555"/>
      <c r="M70" s="556"/>
      <c r="N70" s="1151"/>
      <c r="O70" s="1151"/>
      <c r="P70" s="2630"/>
      <c r="Q70" s="558"/>
    </row>
    <row r="71" spans="1:17" s="470" customFormat="1" ht="14.4" thickBot="1">
      <c r="A71" s="552"/>
      <c r="B71" s="542"/>
      <c r="C71" s="559"/>
      <c r="D71" s="535"/>
      <c r="E71" s="535"/>
      <c r="F71" s="535"/>
      <c r="G71" s="535"/>
      <c r="H71" s="535"/>
      <c r="I71" s="535"/>
      <c r="J71" s="535"/>
      <c r="K71" s="535"/>
      <c r="L71" s="535"/>
      <c r="M71" s="536"/>
      <c r="N71" s="1150"/>
      <c r="O71" s="1150"/>
      <c r="P71" s="2630"/>
      <c r="Q71" s="558"/>
    </row>
    <row r="72" spans="1:17" s="470" customFormat="1" ht="14.4" thickTop="1">
      <c r="A72" s="552"/>
      <c r="B72" s="537">
        <f>B13</f>
        <v>111</v>
      </c>
      <c r="C72" s="553"/>
      <c r="D72" s="553"/>
      <c r="E72" s="553"/>
      <c r="F72" s="553"/>
      <c r="G72" s="553"/>
      <c r="H72" s="554"/>
      <c r="I72" s="554"/>
      <c r="J72" s="554"/>
      <c r="K72" s="554"/>
      <c r="L72" s="555"/>
      <c r="M72" s="556"/>
      <c r="N72" s="1151"/>
      <c r="O72" s="1151"/>
      <c r="P72" s="2631"/>
      <c r="Q72" s="560"/>
    </row>
    <row r="73" spans="1:17" s="470" customFormat="1" ht="14.4" thickBot="1">
      <c r="A73" s="552"/>
      <c r="B73" s="542"/>
      <c r="C73" s="559"/>
      <c r="D73" s="559"/>
      <c r="E73" s="559"/>
      <c r="F73" s="559"/>
      <c r="G73" s="559"/>
      <c r="H73" s="561"/>
      <c r="I73" s="561"/>
      <c r="J73" s="561"/>
      <c r="K73" s="561"/>
      <c r="L73" s="561"/>
      <c r="M73" s="562"/>
      <c r="N73" s="1151"/>
      <c r="O73" s="1151"/>
      <c r="P73" s="2630"/>
      <c r="Q73" s="558"/>
    </row>
    <row r="74" spans="1:17" s="470" customFormat="1" ht="14.4" thickTop="1">
      <c r="A74" s="552"/>
      <c r="B74" s="545">
        <f>B14</f>
        <v>111</v>
      </c>
      <c r="C74" s="553"/>
      <c r="D74" s="553"/>
      <c r="E74" s="553"/>
      <c r="F74" s="553"/>
      <c r="G74" s="522"/>
      <c r="H74" s="563"/>
      <c r="I74" s="563"/>
      <c r="J74" s="563"/>
      <c r="K74" s="563"/>
      <c r="L74" s="564"/>
      <c r="M74" s="565"/>
      <c r="N74" s="1151"/>
      <c r="O74" s="1151"/>
      <c r="P74" s="2632"/>
      <c r="Q74" s="558"/>
    </row>
    <row r="75" spans="1:17" s="470" customFormat="1" ht="14.4" thickBot="1">
      <c r="A75" s="567"/>
      <c r="B75" s="568"/>
      <c r="C75" s="569"/>
      <c r="D75" s="569"/>
      <c r="E75" s="569"/>
      <c r="F75" s="569"/>
      <c r="G75" s="569"/>
      <c r="H75" s="570"/>
      <c r="I75" s="570"/>
      <c r="J75" s="570"/>
      <c r="K75" s="570"/>
      <c r="L75" s="570"/>
      <c r="M75" s="571"/>
      <c r="N75" s="1151"/>
      <c r="O75" s="1151"/>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9"/>
      <c r="O76" s="1149"/>
      <c r="P76" s="2633"/>
      <c r="Q76" s="503"/>
    </row>
    <row r="77" spans="1:17" ht="14.4" thickBot="1">
      <c r="A77" s="533"/>
      <c r="B77" s="542"/>
      <c r="C77" s="543">
        <v>100</v>
      </c>
      <c r="D77" s="543">
        <f>C77-$K15</f>
        <v>95</v>
      </c>
      <c r="E77" s="543">
        <f>D77-$K15</f>
        <v>90</v>
      </c>
      <c r="F77" s="543">
        <f>E77-$K15</f>
        <v>85</v>
      </c>
      <c r="G77" s="543">
        <f>F77-$K15</f>
        <v>80</v>
      </c>
      <c r="H77" s="543"/>
      <c r="I77" s="543"/>
      <c r="J77" s="543"/>
      <c r="K77" s="543"/>
      <c r="L77" s="543"/>
      <c r="M77" s="544"/>
      <c r="N77" s="1150"/>
      <c r="O77" s="1150"/>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9"/>
      <c r="O78" s="1149"/>
      <c r="P78" s="2629"/>
      <c r="Q78" s="503"/>
    </row>
    <row r="79" spans="1:17" ht="14.4"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9"/>
      <c r="O80" s="1149"/>
      <c r="P80" s="2629"/>
      <c r="Q80" s="503"/>
    </row>
    <row r="81" spans="1:17" ht="14.4" thickBot="1">
      <c r="A81" s="533"/>
      <c r="B81" s="542"/>
      <c r="C81" s="543">
        <v>100</v>
      </c>
      <c r="D81" s="543">
        <f>C81-$K19</f>
        <v>96</v>
      </c>
      <c r="E81" s="543">
        <f>D81-$K19</f>
        <v>92</v>
      </c>
      <c r="F81" s="543">
        <f>E81-$K19</f>
        <v>88</v>
      </c>
      <c r="G81" s="543">
        <f>F81-$K19</f>
        <v>84</v>
      </c>
      <c r="H81" s="543"/>
      <c r="I81" s="543"/>
      <c r="J81" s="543"/>
      <c r="K81" s="543"/>
      <c r="L81" s="543"/>
      <c r="M81" s="544"/>
      <c r="N81" s="1150"/>
      <c r="O81" s="1150"/>
      <c r="P81" s="2629"/>
      <c r="Q81" s="503"/>
    </row>
    <row r="82" spans="1:17" ht="15" thickTop="1">
      <c r="A82" s="533"/>
      <c r="B82" s="545" t="s">
        <v>2096</v>
      </c>
      <c r="C82" s="538" t="s">
        <v>2603</v>
      </c>
      <c r="D82" s="538" t="s">
        <v>2604</v>
      </c>
      <c r="E82" s="538" t="s">
        <v>2605</v>
      </c>
      <c r="F82" s="538" t="s">
        <v>2606</v>
      </c>
      <c r="G82" s="538" t="s">
        <v>2607</v>
      </c>
      <c r="H82" s="538"/>
      <c r="I82" s="538"/>
      <c r="J82" s="538"/>
      <c r="K82" s="538"/>
      <c r="L82" s="538"/>
      <c r="M82" s="1379"/>
      <c r="N82" s="1150"/>
      <c r="O82" s="1150"/>
      <c r="P82" s="2629"/>
      <c r="Q82" s="503"/>
    </row>
    <row r="83" spans="1:17" ht="14.4" thickBot="1">
      <c r="A83" s="533"/>
      <c r="B83" s="545"/>
      <c r="C83" s="658">
        <v>100</v>
      </c>
      <c r="D83" s="658">
        <f>C83-$K21</f>
        <v>97</v>
      </c>
      <c r="E83" s="658">
        <f t="shared" ref="E83:G83" si="23">D83-$K21</f>
        <v>94</v>
      </c>
      <c r="F83" s="658">
        <f t="shared" si="23"/>
        <v>91</v>
      </c>
      <c r="G83" s="658">
        <f t="shared" si="23"/>
        <v>88</v>
      </c>
      <c r="H83" s="658"/>
      <c r="I83" s="658"/>
      <c r="J83" s="658"/>
      <c r="K83" s="658"/>
      <c r="L83" s="658"/>
      <c r="M83" s="449"/>
      <c r="N83" s="1150"/>
      <c r="O83" s="1150"/>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9"/>
      <c r="O84" s="1149"/>
      <c r="P84" s="2629"/>
      <c r="Q84" s="503"/>
    </row>
    <row r="85" spans="1:17" ht="14.4" thickBot="1">
      <c r="A85" s="533"/>
      <c r="B85" s="542"/>
      <c r="C85" s="543">
        <v>100</v>
      </c>
      <c r="D85" s="543">
        <f>C85-$K23</f>
        <v>95</v>
      </c>
      <c r="E85" s="543">
        <f>D85-$K23</f>
        <v>90</v>
      </c>
      <c r="F85" s="543">
        <f>E85-$K23</f>
        <v>85</v>
      </c>
      <c r="G85" s="543">
        <f>F85-$K23</f>
        <v>80</v>
      </c>
      <c r="H85" s="543"/>
      <c r="I85" s="543"/>
      <c r="J85" s="543"/>
      <c r="K85" s="543"/>
      <c r="L85" s="543"/>
      <c r="M85" s="544"/>
      <c r="N85" s="1150"/>
      <c r="O85" s="1150"/>
      <c r="P85" s="2629"/>
      <c r="Q85" s="503"/>
    </row>
    <row r="86" spans="1:17" s="117" customFormat="1" ht="15" thickTop="1">
      <c r="A86" s="578"/>
      <c r="B86" s="537" t="s">
        <v>2609</v>
      </c>
      <c r="C86" s="553"/>
      <c r="D86" s="553"/>
      <c r="E86" s="553"/>
      <c r="F86" s="553"/>
      <c r="G86" s="553"/>
      <c r="H86" s="553"/>
      <c r="I86" s="553"/>
      <c r="J86" s="553"/>
      <c r="K86" s="553"/>
      <c r="L86" s="579"/>
      <c r="M86" s="580"/>
      <c r="N86" s="1148"/>
      <c r="O86" s="1148"/>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9"/>
      <c r="Q87" s="503"/>
    </row>
    <row r="88" spans="1:17" s="117" customFormat="1" ht="15" thickTop="1">
      <c r="A88" s="578"/>
      <c r="B88" s="537" t="s">
        <v>2610</v>
      </c>
      <c r="C88" s="553"/>
      <c r="D88" s="553"/>
      <c r="E88" s="553"/>
      <c r="F88" s="2634"/>
      <c r="G88" s="553"/>
      <c r="H88" s="553"/>
      <c r="I88" s="553"/>
      <c r="J88" s="553"/>
      <c r="K88" s="553"/>
      <c r="L88" s="553"/>
      <c r="M88" s="580"/>
      <c r="N88" s="1148"/>
      <c r="O88" s="1148"/>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9"/>
      <c r="Q89" s="503"/>
    </row>
    <row r="90" spans="1:17" s="470" customFormat="1" ht="14.4" thickTop="1">
      <c r="A90" s="552"/>
      <c r="B90" s="537">
        <f>B27</f>
        <v>111</v>
      </c>
      <c r="C90" s="553"/>
      <c r="D90" s="553"/>
      <c r="E90" s="553"/>
      <c r="F90" s="553"/>
      <c r="G90" s="553"/>
      <c r="H90" s="554"/>
      <c r="I90" s="554"/>
      <c r="J90" s="554"/>
      <c r="K90" s="554"/>
      <c r="L90" s="555"/>
      <c r="M90" s="556"/>
      <c r="N90" s="1151"/>
      <c r="O90" s="1151"/>
      <c r="P90" s="2630"/>
      <c r="Q90" s="558"/>
    </row>
    <row r="91" spans="1:17" s="470" customFormat="1" ht="14.4" thickBot="1">
      <c r="A91" s="552"/>
      <c r="B91" s="542"/>
      <c r="C91" s="559"/>
      <c r="D91" s="559"/>
      <c r="E91" s="559"/>
      <c r="F91" s="559"/>
      <c r="G91" s="559"/>
      <c r="H91" s="561"/>
      <c r="I91" s="561"/>
      <c r="J91" s="561"/>
      <c r="K91" s="561"/>
      <c r="L91" s="561"/>
      <c r="M91" s="562"/>
      <c r="N91" s="1151"/>
      <c r="O91" s="1151"/>
      <c r="P91" s="2630"/>
      <c r="Q91" s="558"/>
    </row>
    <row r="92" spans="1:17" ht="14.4" thickTop="1">
      <c r="A92" s="533"/>
      <c r="B92" s="537">
        <f>B28</f>
        <v>111</v>
      </c>
      <c r="C92" s="553"/>
      <c r="D92" s="553"/>
      <c r="E92" s="553"/>
      <c r="F92" s="553"/>
      <c r="G92" s="582"/>
      <c r="H92" s="582"/>
      <c r="I92" s="582"/>
      <c r="J92" s="582"/>
      <c r="K92" s="583"/>
      <c r="L92" s="584"/>
      <c r="M92" s="585"/>
      <c r="N92" s="1149"/>
      <c r="O92" s="1149"/>
      <c r="P92" s="2629"/>
      <c r="Q92" s="503"/>
    </row>
    <row r="93" spans="1:17" ht="14.4" thickBot="1">
      <c r="A93" s="533"/>
      <c r="B93" s="542"/>
      <c r="C93" s="559"/>
      <c r="D93" s="535"/>
      <c r="E93" s="535"/>
      <c r="F93" s="535"/>
      <c r="G93" s="535"/>
      <c r="H93" s="535"/>
      <c r="I93" s="535"/>
      <c r="J93" s="535"/>
      <c r="K93" s="535"/>
      <c r="L93" s="535"/>
      <c r="M93" s="536"/>
      <c r="N93" s="1150"/>
      <c r="O93" s="1150"/>
      <c r="P93" s="2629"/>
      <c r="Q93" s="503"/>
    </row>
    <row r="94" spans="1:17" ht="14.4" thickTop="1">
      <c r="A94" s="533"/>
      <c r="B94" s="537">
        <f>B29</f>
        <v>111</v>
      </c>
      <c r="C94" s="553"/>
      <c r="D94" s="553"/>
      <c r="E94" s="553"/>
      <c r="F94" s="553"/>
      <c r="G94" s="582"/>
      <c r="H94" s="582"/>
      <c r="I94" s="582"/>
      <c r="J94" s="582"/>
      <c r="K94" s="583"/>
      <c r="L94" s="584"/>
      <c r="M94" s="585"/>
      <c r="N94" s="1149"/>
      <c r="O94" s="1149"/>
      <c r="P94" s="2629"/>
      <c r="Q94" s="503"/>
    </row>
    <row r="95" spans="1:17" ht="14.4" thickBot="1">
      <c r="A95" s="533"/>
      <c r="B95" s="542"/>
      <c r="C95" s="559"/>
      <c r="D95" s="559"/>
      <c r="E95" s="559"/>
      <c r="F95" s="559"/>
      <c r="G95" s="535"/>
      <c r="H95" s="535"/>
      <c r="I95" s="535"/>
      <c r="J95" s="535"/>
      <c r="K95" s="535"/>
      <c r="L95" s="535"/>
      <c r="M95" s="536"/>
      <c r="N95" s="1150"/>
      <c r="O95" s="1150"/>
      <c r="P95" s="2629"/>
      <c r="Q95" s="503"/>
    </row>
    <row r="96" spans="1:17" ht="14.4" thickTop="1">
      <c r="A96" s="533"/>
      <c r="B96" s="537">
        <f>B30</f>
        <v>111</v>
      </c>
      <c r="C96" s="553"/>
      <c r="D96" s="553"/>
      <c r="E96" s="553"/>
      <c r="F96" s="553"/>
      <c r="G96" s="582"/>
      <c r="H96" s="582"/>
      <c r="I96" s="582"/>
      <c r="J96" s="582"/>
      <c r="K96" s="583"/>
      <c r="L96" s="584"/>
      <c r="M96" s="585"/>
      <c r="N96" s="1149"/>
      <c r="O96" s="1149"/>
      <c r="P96" s="2629"/>
      <c r="Q96" s="503"/>
    </row>
    <row r="97" spans="1:17" ht="14.4" thickBot="1">
      <c r="A97" s="533"/>
      <c r="B97" s="542"/>
      <c r="C97" s="569"/>
      <c r="D97" s="569"/>
      <c r="E97" s="569"/>
      <c r="F97" s="569"/>
      <c r="G97" s="535"/>
      <c r="H97" s="535"/>
      <c r="I97" s="535"/>
      <c r="J97" s="535"/>
      <c r="K97" s="535"/>
      <c r="L97" s="535"/>
      <c r="M97" s="536"/>
      <c r="N97" s="1150"/>
      <c r="O97" s="1150"/>
      <c r="P97" s="2629"/>
      <c r="Q97" s="503"/>
    </row>
    <row r="98" spans="1:17" ht="14.4" thickTop="1">
      <c r="A98" s="533"/>
      <c r="B98" s="545">
        <f>B31</f>
        <v>111</v>
      </c>
      <c r="C98" s="586"/>
      <c r="D98" s="586"/>
      <c r="E98" s="586"/>
      <c r="F98" s="586"/>
      <c r="G98" s="586"/>
      <c r="H98" s="586"/>
      <c r="I98" s="586"/>
      <c r="J98" s="586"/>
      <c r="K98" s="587"/>
      <c r="L98" s="588"/>
      <c r="M98" s="589"/>
      <c r="N98" s="1149"/>
      <c r="O98" s="1149"/>
      <c r="P98" s="2629"/>
      <c r="Q98" s="503"/>
    </row>
    <row r="99" spans="1:17" ht="14.4" thickBot="1">
      <c r="A99" s="2635"/>
      <c r="B99" s="568"/>
      <c r="C99" s="590"/>
      <c r="D99" s="590"/>
      <c r="E99" s="590"/>
      <c r="F99" s="590"/>
      <c r="G99" s="590"/>
      <c r="H99" s="590"/>
      <c r="I99" s="590"/>
      <c r="J99" s="590"/>
      <c r="K99" s="590"/>
      <c r="L99" s="590"/>
      <c r="M99" s="591"/>
      <c r="N99" s="1150"/>
      <c r="O99" s="1150"/>
      <c r="P99" s="2629"/>
      <c r="Q99" s="503"/>
    </row>
    <row r="100" spans="1:17" ht="14.4">
      <c r="A100" s="526" t="s">
        <v>2562</v>
      </c>
      <c r="B100" s="527" t="s">
        <v>2611</v>
      </c>
      <c r="C100" s="3007" t="s">
        <v>3146</v>
      </c>
      <c r="D100" s="529"/>
      <c r="E100" s="529"/>
      <c r="F100" s="529"/>
      <c r="G100" s="529"/>
      <c r="H100" s="529"/>
      <c r="I100" s="529"/>
      <c r="J100" s="529"/>
      <c r="K100" s="530"/>
      <c r="L100" s="531"/>
      <c r="M100" s="532"/>
      <c r="N100" s="1149"/>
      <c r="O100" s="1149"/>
      <c r="P100" s="2629"/>
      <c r="Q100" s="503"/>
    </row>
    <row r="101" spans="1:17" ht="14.4"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9"/>
      <c r="Q101" s="503"/>
    </row>
    <row r="102" spans="1:17" ht="15" thickTop="1">
      <c r="A102" s="533"/>
      <c r="B102" s="537" t="s">
        <v>2612</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9"/>
      <c r="Q102" s="503"/>
    </row>
    <row r="103" spans="1:17" s="470" customFormat="1">
      <c r="A103" s="592"/>
      <c r="B103" s="593"/>
      <c r="C103" s="594">
        <v>0</v>
      </c>
      <c r="D103" s="594"/>
      <c r="E103" s="594"/>
      <c r="F103" s="594"/>
      <c r="G103" s="594"/>
      <c r="H103" s="594"/>
      <c r="I103" s="594"/>
      <c r="J103" s="595"/>
      <c r="K103" s="595"/>
      <c r="L103" s="596"/>
      <c r="M103" s="597"/>
      <c r="N103" s="1151"/>
      <c r="O103" s="1151"/>
      <c r="P103" s="2630"/>
      <c r="Q103" s="558"/>
    </row>
    <row r="104" spans="1:17" s="470" customFormat="1" ht="14.4" thickBot="1">
      <c r="A104" s="552"/>
      <c r="B104" s="542"/>
      <c r="C104" s="559"/>
      <c r="D104" s="535"/>
      <c r="E104" s="535"/>
      <c r="F104" s="535"/>
      <c r="G104" s="535"/>
      <c r="H104" s="535"/>
      <c r="I104" s="535"/>
      <c r="J104" s="535"/>
      <c r="K104" s="535"/>
      <c r="L104" s="535"/>
      <c r="M104" s="535"/>
      <c r="N104" s="1150"/>
      <c r="O104" s="1150"/>
      <c r="P104" s="2630"/>
      <c r="Q104" s="558"/>
    </row>
    <row r="105" spans="1:17" ht="15" thickTop="1">
      <c r="A105" s="598"/>
      <c r="B105" s="537" t="s">
        <v>2613</v>
      </c>
      <c r="C105" s="3005" t="s">
        <v>3143</v>
      </c>
      <c r="D105" s="553"/>
      <c r="E105" s="582"/>
      <c r="F105" s="582"/>
      <c r="G105" s="582"/>
      <c r="H105" s="582"/>
      <c r="I105" s="582"/>
      <c r="J105" s="582"/>
      <c r="K105" s="583"/>
      <c r="L105" s="584"/>
      <c r="M105" s="585"/>
      <c r="N105" s="1149"/>
      <c r="O105" s="1149"/>
      <c r="P105" s="2629"/>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9"/>
      <c r="Q106" s="503"/>
    </row>
    <row r="107" spans="1:17" ht="15" thickTop="1">
      <c r="A107" s="598"/>
      <c r="B107" s="537" t="s">
        <v>2614</v>
      </c>
      <c r="C107" s="582"/>
      <c r="D107" s="582"/>
      <c r="E107" s="582"/>
      <c r="F107" s="582"/>
      <c r="G107" s="582"/>
      <c r="H107" s="582"/>
      <c r="I107" s="582"/>
      <c r="J107" s="582"/>
      <c r="K107" s="583"/>
      <c r="L107" s="584"/>
      <c r="M107" s="585"/>
      <c r="N107" s="1149"/>
      <c r="O107" s="1149"/>
      <c r="P107" s="2629"/>
      <c r="Q107" s="503"/>
    </row>
    <row r="108" spans="1:17" ht="14.4"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0"/>
      <c r="O108" s="1150"/>
      <c r="P108" s="2629"/>
      <c r="Q108" s="503"/>
    </row>
    <row r="109" spans="1:17" ht="15" thickTop="1">
      <c r="A109" s="598"/>
      <c r="B109" s="537" t="s">
        <v>2615</v>
      </c>
      <c r="C109" s="3005" t="s">
        <v>3144</v>
      </c>
      <c r="D109" s="553"/>
      <c r="E109" s="553"/>
      <c r="F109" s="582"/>
      <c r="G109" s="582"/>
      <c r="H109" s="582"/>
      <c r="I109" s="582"/>
      <c r="J109" s="582"/>
      <c r="K109" s="583"/>
      <c r="L109" s="584"/>
      <c r="M109" s="585"/>
      <c r="N109" s="1149"/>
      <c r="O109" s="1149"/>
      <c r="P109" s="2629"/>
      <c r="Q109" s="503"/>
    </row>
    <row r="110" spans="1:17" ht="14.4"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0"/>
      <c r="O110" s="1150"/>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30"/>
      <c r="Q112" s="558"/>
    </row>
    <row r="113" spans="1:17" s="470" customFormat="1" ht="14.4" thickBot="1">
      <c r="A113" s="552"/>
      <c r="B113" s="542"/>
      <c r="C113" s="581">
        <v>100</v>
      </c>
      <c r="D113" s="543">
        <f>C113+$K37</f>
        <v>103</v>
      </c>
      <c r="E113" s="543">
        <f>D113+$K37</f>
        <v>106</v>
      </c>
      <c r="F113" s="543">
        <f>E113+$K37</f>
        <v>109</v>
      </c>
      <c r="G113" s="543">
        <f>F113+$K37</f>
        <v>112</v>
      </c>
      <c r="H113" s="543">
        <f>G113+$K37</f>
        <v>115</v>
      </c>
      <c r="I113" s="581"/>
      <c r="J113" s="606"/>
      <c r="K113" s="606"/>
      <c r="L113" s="606"/>
      <c r="M113" s="607"/>
      <c r="N113" s="1151"/>
      <c r="O113" s="1151"/>
      <c r="P113" s="2630"/>
      <c r="Q113" s="558"/>
    </row>
    <row r="114" spans="1:17" ht="15" thickTop="1">
      <c r="A114" s="598"/>
      <c r="B114" s="537" t="s">
        <v>2616</v>
      </c>
      <c r="C114" s="3005" t="s">
        <v>3148</v>
      </c>
      <c r="D114" s="3005" t="s">
        <v>3149</v>
      </c>
      <c r="E114" s="582"/>
      <c r="F114" s="582"/>
      <c r="G114" s="582"/>
      <c r="H114" s="582"/>
      <c r="I114" s="582"/>
      <c r="J114" s="582"/>
      <c r="K114" s="583"/>
      <c r="L114" s="584"/>
      <c r="M114" s="585"/>
      <c r="N114" s="1149"/>
      <c r="O114" s="1149"/>
      <c r="P114" s="2629"/>
      <c r="Q114" s="503"/>
    </row>
    <row r="115" spans="1:17" ht="14.4"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0"/>
      <c r="O115" s="1150"/>
      <c r="P115" s="2629"/>
      <c r="Q115" s="503"/>
    </row>
    <row r="116" spans="1:17" ht="15" thickTop="1">
      <c r="A116" s="598"/>
      <c r="B116" s="537" t="s">
        <v>2617</v>
      </c>
      <c r="C116" s="3005" t="s">
        <v>3150</v>
      </c>
      <c r="D116" s="3005" t="s">
        <v>3152</v>
      </c>
      <c r="E116" s="3005" t="s">
        <v>3153</v>
      </c>
      <c r="F116" s="553"/>
      <c r="G116" s="553"/>
      <c r="H116" s="582"/>
      <c r="I116" s="582"/>
      <c r="J116" s="582"/>
      <c r="K116" s="583"/>
      <c r="L116" s="584"/>
      <c r="M116" s="585"/>
      <c r="N116" s="1149"/>
      <c r="O116" s="1149"/>
      <c r="P116" s="2629"/>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9"/>
      <c r="Q117" s="503"/>
    </row>
    <row r="118" spans="1:17" ht="15" thickTop="1">
      <c r="A118" s="598"/>
      <c r="B118" s="537" t="s">
        <v>2618</v>
      </c>
      <c r="C118" s="3008" t="s">
        <v>3155</v>
      </c>
      <c r="D118" s="3008" t="s">
        <v>3157</v>
      </c>
      <c r="E118" s="582"/>
      <c r="F118" s="582"/>
      <c r="G118" s="582"/>
      <c r="H118" s="582"/>
      <c r="I118" s="582"/>
      <c r="J118" s="582"/>
      <c r="K118" s="583"/>
      <c r="L118" s="584"/>
      <c r="M118" s="585"/>
      <c r="N118" s="1149"/>
      <c r="O118" s="1149"/>
      <c r="P118" s="2629"/>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9"/>
      <c r="Q119" s="503"/>
    </row>
    <row r="120" spans="1:17" s="470" customFormat="1" ht="29.4" thickTop="1">
      <c r="A120" s="592"/>
      <c r="B120" s="537" t="s">
        <v>2573</v>
      </c>
      <c r="C120" s="553"/>
      <c r="D120" s="553"/>
      <c r="E120" s="553"/>
      <c r="F120" s="553"/>
      <c r="G120" s="553"/>
      <c r="H120" s="553"/>
      <c r="I120" s="553"/>
      <c r="J120" s="553"/>
      <c r="K120" s="553"/>
      <c r="L120" s="579"/>
      <c r="M120" s="580"/>
      <c r="N120" s="1151"/>
      <c r="O120" s="1151"/>
      <c r="P120" s="2630"/>
      <c r="Q120" s="558"/>
    </row>
    <row r="121" spans="1:17" s="470" customFormat="1" ht="14.4" thickBot="1">
      <c r="A121" s="552"/>
      <c r="B121" s="534"/>
      <c r="C121" s="559"/>
      <c r="D121" s="535"/>
      <c r="E121" s="535"/>
      <c r="F121" s="535"/>
      <c r="G121" s="535"/>
      <c r="H121" s="535"/>
      <c r="I121" s="535"/>
      <c r="J121" s="535"/>
      <c r="K121" s="535"/>
      <c r="L121" s="535"/>
      <c r="M121" s="535"/>
      <c r="N121" s="1151"/>
      <c r="O121" s="1151"/>
      <c r="P121" s="2630"/>
      <c r="Q121" s="558"/>
    </row>
    <row r="122" spans="1:17" ht="15" thickTop="1">
      <c r="A122" s="598"/>
      <c r="B122" s="537" t="s">
        <v>2619</v>
      </c>
      <c r="C122" s="3005" t="s">
        <v>3144</v>
      </c>
      <c r="D122" s="3005" t="s">
        <v>3149</v>
      </c>
      <c r="E122" s="3005" t="s">
        <v>3158</v>
      </c>
      <c r="F122" s="582"/>
      <c r="G122" s="582"/>
      <c r="H122" s="582"/>
      <c r="I122" s="582"/>
      <c r="J122" s="582"/>
      <c r="K122" s="583"/>
      <c r="L122" s="584"/>
      <c r="M122" s="585"/>
      <c r="N122" s="1149"/>
      <c r="O122" s="1149"/>
      <c r="P122" s="2629"/>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9"/>
      <c r="O124" s="1149"/>
      <c r="P124" s="2630"/>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30"/>
      <c r="Q126" s="558"/>
    </row>
    <row r="127" spans="1:17" s="470" customFormat="1" ht="14.4" thickBot="1">
      <c r="A127" s="552"/>
      <c r="B127" s="542"/>
      <c r="C127" s="559"/>
      <c r="D127" s="535"/>
      <c r="E127" s="535"/>
      <c r="F127" s="535"/>
      <c r="G127" s="559"/>
      <c r="H127" s="561"/>
      <c r="I127" s="561"/>
      <c r="J127" s="561"/>
      <c r="K127" s="561"/>
      <c r="L127" s="561"/>
      <c r="M127" s="562"/>
      <c r="N127" s="1151"/>
      <c r="O127" s="1151"/>
      <c r="P127" s="2630"/>
      <c r="Q127" s="558"/>
    </row>
    <row r="128" spans="1:17" ht="14.4" thickTop="1">
      <c r="A128" s="598"/>
      <c r="B128" s="537">
        <f>B45</f>
        <v>111</v>
      </c>
      <c r="C128" s="553"/>
      <c r="D128" s="553"/>
      <c r="E128" s="553"/>
      <c r="F128" s="553"/>
      <c r="G128" s="582"/>
      <c r="H128" s="582"/>
      <c r="I128" s="582"/>
      <c r="J128" s="582"/>
      <c r="K128" s="583"/>
      <c r="L128" s="584"/>
      <c r="M128" s="585"/>
      <c r="N128" s="1149"/>
      <c r="O128" s="1149"/>
      <c r="P128" s="2629"/>
      <c r="Q128" s="503"/>
    </row>
    <row r="129" spans="1:17" ht="14.4" thickBot="1">
      <c r="A129" s="533"/>
      <c r="B129" s="542"/>
      <c r="C129" s="559"/>
      <c r="D129" s="559"/>
      <c r="E129" s="559"/>
      <c r="F129" s="559"/>
      <c r="G129" s="535"/>
      <c r="H129" s="535"/>
      <c r="I129" s="535"/>
      <c r="J129" s="535"/>
      <c r="K129" s="535"/>
      <c r="L129" s="535"/>
      <c r="M129" s="536"/>
      <c r="N129" s="1150"/>
      <c r="O129" s="1150"/>
      <c r="P129" s="2629"/>
      <c r="Q129" s="503"/>
    </row>
    <row r="130" spans="1:17" ht="14.4" thickTop="1">
      <c r="A130" s="598"/>
      <c r="B130" s="545">
        <f>B46</f>
        <v>111</v>
      </c>
      <c r="C130" s="553"/>
      <c r="D130" s="553"/>
      <c r="E130" s="553"/>
      <c r="F130" s="553"/>
      <c r="G130" s="586"/>
      <c r="H130" s="586"/>
      <c r="I130" s="586"/>
      <c r="J130" s="586"/>
      <c r="K130" s="522"/>
      <c r="L130" s="523"/>
      <c r="M130" s="589"/>
      <c r="N130" s="1149"/>
      <c r="O130" s="1149"/>
      <c r="P130" s="2629"/>
      <c r="Q130" s="503"/>
    </row>
    <row r="131" spans="1:17" ht="14.4" thickBot="1">
      <c r="A131" s="2635"/>
      <c r="B131" s="568"/>
      <c r="C131" s="569"/>
      <c r="D131" s="569"/>
      <c r="E131" s="569"/>
      <c r="F131" s="569"/>
      <c r="G131" s="590"/>
      <c r="H131" s="590"/>
      <c r="I131" s="590"/>
      <c r="J131" s="590"/>
      <c r="K131" s="590"/>
      <c r="L131" s="590"/>
      <c r="M131" s="591"/>
      <c r="N131" s="1150"/>
      <c r="O131" s="1150"/>
      <c r="P131" s="2629"/>
      <c r="Q131" s="503"/>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5" t="s">
        <v>2624</v>
      </c>
      <c r="D138" s="145" t="s">
        <v>2625</v>
      </c>
      <c r="E138" s="2644" t="s">
        <v>2626</v>
      </c>
      <c r="F138" s="2645" t="s">
        <v>2627</v>
      </c>
      <c r="G138" s="145" t="s">
        <v>2625</v>
      </c>
      <c r="H138" s="146" t="s">
        <v>2626</v>
      </c>
      <c r="I138" s="2646"/>
      <c r="J138" s="145" t="s">
        <v>2628</v>
      </c>
      <c r="K138" s="146" t="s">
        <v>2629</v>
      </c>
    </row>
    <row r="139" spans="1:17" ht="15">
      <c r="B139" s="1081">
        <v>6</v>
      </c>
      <c r="C139" s="1082">
        <v>96</v>
      </c>
      <c r="D139" s="2647" t="s">
        <v>2630</v>
      </c>
      <c r="E139" s="1083">
        <v>100</v>
      </c>
      <c r="F139" s="1084">
        <v>102.5</v>
      </c>
      <c r="G139" s="2647" t="s">
        <v>2630</v>
      </c>
      <c r="H139" s="1085">
        <v>105</v>
      </c>
      <c r="I139" s="2648" t="s">
        <v>2631</v>
      </c>
      <c r="J139" s="1082">
        <v>20</v>
      </c>
      <c r="K139" s="1086">
        <f>C145/(J139-2)</f>
        <v>4.0555555555555553E-3</v>
      </c>
    </row>
    <row r="140" spans="1:17" ht="15">
      <c r="B140" s="1087">
        <v>5</v>
      </c>
      <c r="C140" s="1088">
        <v>100</v>
      </c>
      <c r="D140" s="1088"/>
      <c r="E140" s="1089"/>
      <c r="F140" s="1090">
        <v>102</v>
      </c>
      <c r="G140" s="1088"/>
      <c r="H140" s="1091"/>
      <c r="I140" s="2649" t="s">
        <v>2632</v>
      </c>
      <c r="J140" s="314">
        <f>ROUNDUP((J139-1)/2,0)</f>
        <v>10</v>
      </c>
      <c r="K140" s="1092">
        <v>100</v>
      </c>
    </row>
    <row r="141" spans="1:17" ht="15">
      <c r="B141" s="1087">
        <v>4</v>
      </c>
      <c r="C141" s="1088">
        <v>102</v>
      </c>
      <c r="D141" s="1088"/>
      <c r="E141" s="1089"/>
      <c r="F141" s="1090">
        <v>101.5</v>
      </c>
      <c r="G141" s="1088"/>
      <c r="H141" s="1091"/>
      <c r="I141" s="2649" t="s">
        <v>2633</v>
      </c>
      <c r="J141" s="314">
        <v>1</v>
      </c>
      <c r="K141" s="1093">
        <f>ROUND(100+(J141-J140)*K139*100,1)</f>
        <v>96.4</v>
      </c>
    </row>
    <row r="142" spans="1:17" ht="15">
      <c r="B142" s="1087">
        <v>3</v>
      </c>
      <c r="C142" s="1088">
        <v>103</v>
      </c>
      <c r="D142" s="1088"/>
      <c r="E142" s="1089"/>
      <c r="F142" s="1090">
        <v>101</v>
      </c>
      <c r="G142" s="1088"/>
      <c r="H142" s="1091"/>
      <c r="I142" s="2649" t="s">
        <v>2634</v>
      </c>
      <c r="J142" s="314">
        <f>J139</f>
        <v>20</v>
      </c>
      <c r="K142" s="1094">
        <v>95</v>
      </c>
    </row>
    <row r="143" spans="1:17" ht="15">
      <c r="B143" s="1087">
        <v>2</v>
      </c>
      <c r="C143" s="1088">
        <v>100</v>
      </c>
      <c r="D143" s="1088"/>
      <c r="E143" s="1089"/>
      <c r="F143" s="1090">
        <v>100.5</v>
      </c>
      <c r="G143" s="1088"/>
      <c r="H143" s="1091"/>
      <c r="I143" s="2649" t="s">
        <v>2635</v>
      </c>
      <c r="J143" s="1088">
        <v>15</v>
      </c>
      <c r="K143" s="1093">
        <f>ROUND(100+(J143-J140)*K139*100,1)</f>
        <v>102</v>
      </c>
    </row>
    <row r="144" spans="1:17" ht="15">
      <c r="B144" s="1087">
        <v>1</v>
      </c>
      <c r="C144" s="1088">
        <v>98</v>
      </c>
      <c r="D144" s="2650" t="s">
        <v>2636</v>
      </c>
      <c r="E144" s="1089">
        <v>102</v>
      </c>
      <c r="F144" s="1095">
        <v>100</v>
      </c>
      <c r="G144" s="2650" t="s">
        <v>2636</v>
      </c>
      <c r="H144" s="1091">
        <v>105</v>
      </c>
      <c r="I144" s="2649" t="s">
        <v>2635</v>
      </c>
      <c r="J144" s="1088">
        <v>18</v>
      </c>
      <c r="K144" s="1093">
        <f>ROUND(100+(J144-J140)*K139*100,1)</f>
        <v>103.2</v>
      </c>
    </row>
    <row r="145" spans="2:11" ht="16.2" thickBot="1">
      <c r="B145" s="2651" t="s">
        <v>2637</v>
      </c>
      <c r="C145" s="1096">
        <f>ROUND(MAX(C139:C144)/MIN(C139:C144)-1,3)</f>
        <v>7.2999999999999995E-2</v>
      </c>
      <c r="D145" s="1097"/>
      <c r="E145" s="1097"/>
      <c r="F145" s="2652" t="s">
        <v>2638</v>
      </c>
      <c r="G145" s="2653"/>
      <c r="H145" s="2654"/>
      <c r="I145" s="2655" t="s">
        <v>2635</v>
      </c>
      <c r="J145" s="1098">
        <v>8</v>
      </c>
      <c r="K145" s="1099">
        <f>ROUND(100+(J145-J140)*K139*100,1)</f>
        <v>99.2</v>
      </c>
    </row>
    <row r="147" spans="2:11" ht="14.4">
      <c r="B147" s="2636" t="s">
        <v>2639</v>
      </c>
    </row>
    <row r="148" spans="2:11" ht="14.4">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37" sqref="I37"/>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668" t="s">
        <v>2685</v>
      </c>
      <c r="C1" s="1617" t="s">
        <v>2529</v>
      </c>
      <c r="D1" s="1618" t="s">
        <v>27</v>
      </c>
      <c r="E1" s="1627"/>
      <c r="F1" s="2583" t="s">
        <v>3095</v>
      </c>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f>IF(C2="——",ROUND(C50*D3/10000,0),ROUND(C50*D3/10000,0)-D2)</f>
        <v>562</v>
      </c>
      <c r="C2" s="2585" t="s">
        <v>70</v>
      </c>
      <c r="D2" s="1362" t="e">
        <f ca="1">SUMIF(INDIRECT("'"&amp;F2&amp;"'"&amp;"!A:A"),"承租人权益价值",INDIRECT("'"&amp;F2&amp;"'"&amp;"!c:c"))</f>
        <v>#REF!</v>
      </c>
      <c r="E2" s="2586" t="s">
        <v>2327</v>
      </c>
      <c r="F2" s="2587"/>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f>IF(C2="——",C50,ROUND(B2*10000/D3,0))</f>
        <v>101316</v>
      </c>
      <c r="C3" s="399" t="s">
        <v>2643</v>
      </c>
      <c r="D3" s="398">
        <f>IF(D1="",'数据-汇总表'!E3,SUMIF('数据-汇总表'!$C19:$C33,D1,'数据-汇总表'!$E19:$E33))</f>
        <v>55.46</v>
      </c>
      <c r="E3" s="2662"/>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312" t="s">
        <v>2650</v>
      </c>
      <c r="Q4" s="3313"/>
      <c r="R4" s="3316" t="s">
        <v>2646</v>
      </c>
      <c r="S4" s="3317"/>
      <c r="T4" s="3316" t="s">
        <v>2647</v>
      </c>
      <c r="U4" s="3317"/>
      <c r="V4" s="3318" t="s">
        <v>2648</v>
      </c>
      <c r="W4" s="3318"/>
      <c r="X4" s="2669"/>
      <c r="Y4" s="3316" t="s">
        <v>2650</v>
      </c>
      <c r="Z4" s="3317"/>
      <c r="AA4" s="3320" t="s">
        <v>2646</v>
      </c>
      <c r="AB4" s="3320" t="s">
        <v>2647</v>
      </c>
      <c r="AC4" s="3309" t="s">
        <v>2648</v>
      </c>
    </row>
    <row r="5" spans="1:29">
      <c r="A5" s="403"/>
      <c r="B5" s="404"/>
      <c r="C5" s="3295" t="s">
        <v>3098</v>
      </c>
      <c r="D5" s="3258"/>
      <c r="E5" s="3296" t="s">
        <v>3138</v>
      </c>
      <c r="F5" s="3265"/>
      <c r="G5" s="3295" t="s">
        <v>3140</v>
      </c>
      <c r="H5" s="3258"/>
      <c r="I5" s="3295" t="s">
        <v>3141</v>
      </c>
      <c r="J5" s="3258"/>
      <c r="K5" s="609"/>
      <c r="L5" s="1127"/>
      <c r="M5" s="1128"/>
      <c r="N5" s="1128"/>
      <c r="O5" s="1128"/>
      <c r="P5" s="3314"/>
      <c r="Q5" s="3246"/>
      <c r="R5" s="3251"/>
      <c r="S5" s="3252"/>
      <c r="T5" s="3251"/>
      <c r="U5" s="3252"/>
      <c r="V5" s="3236"/>
      <c r="W5" s="3236"/>
      <c r="X5" s="1810"/>
      <c r="Y5" s="3251"/>
      <c r="Z5" s="3252"/>
      <c r="AA5" s="3238"/>
      <c r="AB5" s="3238"/>
      <c r="AC5" s="3310"/>
    </row>
    <row r="6" spans="1:29" ht="15" thickBot="1">
      <c r="A6" s="405"/>
      <c r="B6" s="406"/>
      <c r="C6" s="3255" t="s">
        <v>2545</v>
      </c>
      <c r="D6" s="3256"/>
      <c r="E6" s="3262" t="s">
        <v>2545</v>
      </c>
      <c r="F6" s="3263"/>
      <c r="G6" s="3255" t="s">
        <v>2545</v>
      </c>
      <c r="H6" s="3256"/>
      <c r="I6" s="3255" t="s">
        <v>2545</v>
      </c>
      <c r="J6" s="3256"/>
      <c r="K6" s="609" t="s">
        <v>2546</v>
      </c>
      <c r="L6" s="1127"/>
      <c r="M6" s="1128"/>
      <c r="N6" s="1128"/>
      <c r="O6" s="1128"/>
      <c r="P6" s="3315"/>
      <c r="Q6" s="3248"/>
      <c r="R6" s="3251"/>
      <c r="S6" s="3252"/>
      <c r="T6" s="3253"/>
      <c r="U6" s="3254"/>
      <c r="V6" s="3236"/>
      <c r="W6" s="3236"/>
      <c r="X6" s="1810"/>
      <c r="Y6" s="3253"/>
      <c r="Z6" s="3254"/>
      <c r="AA6" s="3239"/>
      <c r="AB6" s="3239"/>
      <c r="AC6" s="3311"/>
    </row>
    <row r="7" spans="1:29" s="117" customFormat="1" ht="15" thickBot="1">
      <c r="A7" s="407" t="s">
        <v>2547</v>
      </c>
      <c r="B7" s="408"/>
      <c r="C7" s="409">
        <f>'数据-取费表'!B2</f>
        <v>43845</v>
      </c>
      <c r="D7" s="410">
        <v>100</v>
      </c>
      <c r="E7" s="411">
        <f>C7</f>
        <v>43845</v>
      </c>
      <c r="F7" s="412">
        <f>SUMIF(59:59,YEAR(E7)&amp;"-"&amp;MONTH(E7),60:60)</f>
        <v>100</v>
      </c>
      <c r="G7" s="411">
        <f>C7</f>
        <v>43845</v>
      </c>
      <c r="H7" s="410">
        <f>SUMIF(59:59,YEAR(G7)&amp;"-"&amp;MONTH(G7),60:60)</f>
        <v>100</v>
      </c>
      <c r="I7" s="411">
        <f>C7</f>
        <v>43845</v>
      </c>
      <c r="J7" s="410">
        <f>SUMIF(59:59,YEAR(I7)&amp;"-"&amp;MONTH(I7),60:60)</f>
        <v>100</v>
      </c>
      <c r="K7" s="610"/>
      <c r="L7" s="1129"/>
      <c r="M7" s="1130"/>
      <c r="N7" s="1130"/>
      <c r="O7" s="1130"/>
      <c r="P7" s="3319" t="s">
        <v>2548</v>
      </c>
      <c r="Q7" s="3261"/>
      <c r="R7" s="767" t="s">
        <v>17</v>
      </c>
      <c r="S7" s="768">
        <f t="shared" ref="S7:S15" si="0">F7</f>
        <v>100</v>
      </c>
      <c r="T7" s="767" t="s">
        <v>17</v>
      </c>
      <c r="U7" s="768">
        <f t="shared" ref="U7:U15" si="1">H7</f>
        <v>100</v>
      </c>
      <c r="V7" s="767" t="s">
        <v>17</v>
      </c>
      <c r="W7" s="768">
        <f t="shared" ref="W7:W15" si="2">J7</f>
        <v>100</v>
      </c>
      <c r="X7" s="769"/>
      <c r="Y7" s="3259" t="s">
        <v>2548</v>
      </c>
      <c r="Z7" s="3260"/>
      <c r="AA7" s="770">
        <f>D7/F7</f>
        <v>1</v>
      </c>
      <c r="AB7" s="770">
        <f>D7/H7</f>
        <v>1</v>
      </c>
      <c r="AC7" s="2670">
        <f>D7/J7</f>
        <v>1</v>
      </c>
    </row>
    <row r="8" spans="1:29" s="117" customFormat="1" ht="15" thickBot="1">
      <c r="A8" s="407" t="s">
        <v>2549</v>
      </c>
      <c r="B8" s="408"/>
      <c r="C8" s="413" t="s">
        <v>2651</v>
      </c>
      <c r="D8" s="410">
        <v>100</v>
      </c>
      <c r="E8" s="413" t="s">
        <v>3096</v>
      </c>
      <c r="F8" s="412">
        <f>SUMIF(62:62,E8,63:63)-SUMIF(62:62,C8,63:63)+100</f>
        <v>100</v>
      </c>
      <c r="G8" s="413" t="s">
        <v>3096</v>
      </c>
      <c r="H8" s="410">
        <f>SUMIF(62:62,G8,63:63)-SUMIF(62:62,C8,63:63)+100</f>
        <v>100</v>
      </c>
      <c r="I8" s="413" t="s">
        <v>3096</v>
      </c>
      <c r="J8" s="410">
        <f>SUMIF(62:62,I8,63:63)-SUMIF(62:62,C8,63:63)+100</f>
        <v>100</v>
      </c>
      <c r="K8" s="610"/>
      <c r="L8" s="1129"/>
      <c r="M8" s="1130"/>
      <c r="N8" s="1130"/>
      <c r="O8" s="1130"/>
      <c r="P8" s="3319" t="s">
        <v>2551</v>
      </c>
      <c r="Q8" s="3260"/>
      <c r="R8" s="767" t="s">
        <v>17</v>
      </c>
      <c r="S8" s="768">
        <f t="shared" si="0"/>
        <v>100</v>
      </c>
      <c r="T8" s="767" t="s">
        <v>17</v>
      </c>
      <c r="U8" s="768">
        <f t="shared" si="1"/>
        <v>100</v>
      </c>
      <c r="V8" s="767" t="s">
        <v>17</v>
      </c>
      <c r="W8" s="768">
        <f t="shared" si="2"/>
        <v>100</v>
      </c>
      <c r="X8" s="769"/>
      <c r="Y8" s="3259" t="s">
        <v>2551</v>
      </c>
      <c r="Z8" s="3260"/>
      <c r="AA8" s="770">
        <f t="shared" ref="AA8:AA47" si="3">D8/F8</f>
        <v>1</v>
      </c>
      <c r="AB8" s="770">
        <f t="shared" ref="AB8:AB47" si="4">D8/H8</f>
        <v>1</v>
      </c>
      <c r="AC8" s="2670">
        <f t="shared" ref="AC8:AC47" si="5">D8/J8</f>
        <v>1</v>
      </c>
    </row>
    <row r="9" spans="1:29" s="117" customFormat="1" ht="14.4">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29"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2670">
        <f t="shared" si="5"/>
        <v>1</v>
      </c>
    </row>
    <row r="10" spans="1:29" s="426" customFormat="1" ht="28.8">
      <c r="A10" s="420"/>
      <c r="B10" s="421" t="s">
        <v>2556</v>
      </c>
      <c r="C10" s="422" t="s">
        <v>3139</v>
      </c>
      <c r="D10" s="135">
        <v>100</v>
      </c>
      <c r="E10" s="422" t="s">
        <v>3139</v>
      </c>
      <c r="F10" s="135">
        <f>SUMIF(66:66,E10,67:67)-SUMIF(66:66,C10,67:67)+100</f>
        <v>100</v>
      </c>
      <c r="G10" s="423" t="s">
        <v>3139</v>
      </c>
      <c r="H10" s="135">
        <f>SUMIF(66:66,G10,67:67)-SUMIF(66:66,C10,67:67)+100</f>
        <v>100</v>
      </c>
      <c r="I10" s="422" t="s">
        <v>3139</v>
      </c>
      <c r="J10" s="135">
        <f>SUMIF(66:66,I10,67:67)-SUMIF(66:66,C10,67:67)+100</f>
        <v>100</v>
      </c>
      <c r="K10" s="611"/>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2670">
        <f t="shared" si="5"/>
        <v>1</v>
      </c>
    </row>
    <row r="11" spans="1:29" ht="15.6" thickBot="1">
      <c r="A11" s="427"/>
      <c r="B11" s="421" t="s">
        <v>2557</v>
      </c>
      <c r="C11" s="428"/>
      <c r="D11" s="135">
        <v>100</v>
      </c>
      <c r="E11" s="428"/>
      <c r="F11" s="135">
        <f>LOOKUP(E11,69:69,70:70)-LOOKUP(C11,69:69,70:70)+100</f>
        <v>100</v>
      </c>
      <c r="G11" s="429"/>
      <c r="H11" s="135">
        <f>LOOKUP(G11,69:69,70:70)-LOOKUP(C11,69:69,70:70)+100</f>
        <v>100</v>
      </c>
      <c r="I11" s="428"/>
      <c r="J11" s="135">
        <f>LOOKUP(I11,69:69,70:70)-LOOKUP(C11,69:69,70:70)+100</f>
        <v>100</v>
      </c>
      <c r="K11" s="611"/>
      <c r="L11" s="1135"/>
      <c r="M11" s="1128"/>
      <c r="N11" s="1128"/>
      <c r="O11" s="1128"/>
      <c r="P11" s="3229"/>
      <c r="Q11" s="1792" t="str">
        <f t="shared" si="6"/>
        <v>容积率</v>
      </c>
      <c r="R11" s="767" t="s">
        <v>17</v>
      </c>
      <c r="S11" s="768">
        <f t="shared" si="0"/>
        <v>100</v>
      </c>
      <c r="T11" s="767" t="s">
        <v>17</v>
      </c>
      <c r="U11" s="768">
        <f t="shared" si="1"/>
        <v>100</v>
      </c>
      <c r="V11" s="767" t="s">
        <v>17</v>
      </c>
      <c r="W11" s="768">
        <f t="shared" si="2"/>
        <v>100</v>
      </c>
      <c r="X11" s="769"/>
      <c r="Y11" s="3074"/>
      <c r="Z11" s="55" t="str">
        <f t="shared" si="7"/>
        <v>容积率</v>
      </c>
      <c r="AA11" s="770">
        <f t="shared" si="3"/>
        <v>1</v>
      </c>
      <c r="AB11" s="770">
        <f t="shared" si="4"/>
        <v>1</v>
      </c>
      <c r="AC11" s="2670">
        <f t="shared" si="5"/>
        <v>1</v>
      </c>
    </row>
    <row r="12" spans="1:29" s="117" customFormat="1" ht="15" hidden="1">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9"/>
      <c r="M12" s="1130"/>
      <c r="N12" s="1130"/>
      <c r="O12" s="1130"/>
      <c r="P12" s="3229"/>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2670">
        <f>D12/J12</f>
        <v>1</v>
      </c>
    </row>
    <row r="13" spans="1:29" ht="15" hidden="1">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7"/>
      <c r="M13" s="1128"/>
      <c r="N13" s="1128"/>
      <c r="O13" s="1128"/>
      <c r="P13" s="3229"/>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2670">
        <f t="shared" si="5"/>
        <v>1</v>
      </c>
    </row>
    <row r="14" spans="1:29" ht="15.6" hidden="1" thickBot="1">
      <c r="A14" s="435"/>
      <c r="B14" s="2601">
        <v>111</v>
      </c>
      <c r="C14" s="436"/>
      <c r="D14" s="437">
        <v>100</v>
      </c>
      <c r="E14" s="626"/>
      <c r="F14" s="437">
        <f>SUMIF(75:75,E14,76:76)-SUMIF(75:75,C14,76:76)+100</f>
        <v>100</v>
      </c>
      <c r="G14" s="2671"/>
      <c r="H14" s="437">
        <f>SUMIF(75:75,G14,76:76)-SUMIF(75:75,C14,76:76)+100</f>
        <v>100</v>
      </c>
      <c r="I14" s="431"/>
      <c r="J14" s="437">
        <f>SUMIF(75:75,I14,76:76)-SUMIF(75:75,C14,76:76)+100</f>
        <v>100</v>
      </c>
      <c r="K14" s="612"/>
      <c r="L14" s="1137"/>
      <c r="M14" s="1128"/>
      <c r="N14" s="1128"/>
      <c r="O14" s="1128"/>
      <c r="P14" s="3229"/>
      <c r="Q14" s="1792">
        <f t="shared" si="6"/>
        <v>111</v>
      </c>
      <c r="R14" s="767" t="s">
        <v>17</v>
      </c>
      <c r="S14" s="768">
        <f t="shared" si="0"/>
        <v>100</v>
      </c>
      <c r="T14" s="767" t="s">
        <v>17</v>
      </c>
      <c r="U14" s="768">
        <f t="shared" si="1"/>
        <v>100</v>
      </c>
      <c r="V14" s="767" t="s">
        <v>17</v>
      </c>
      <c r="W14" s="768">
        <f t="shared" si="2"/>
        <v>100</v>
      </c>
      <c r="X14" s="769"/>
      <c r="Y14" s="3074"/>
      <c r="Z14" s="55">
        <f t="shared" si="7"/>
        <v>111</v>
      </c>
      <c r="AA14" s="770">
        <f t="shared" si="3"/>
        <v>1</v>
      </c>
      <c r="AB14" s="770">
        <f t="shared" si="4"/>
        <v>1</v>
      </c>
      <c r="AC14" s="2670">
        <f t="shared" si="5"/>
        <v>1</v>
      </c>
    </row>
    <row r="15" spans="1:29" ht="69">
      <c r="A15" s="439" t="s">
        <v>2558</v>
      </c>
      <c r="B15" s="627" t="s">
        <v>2686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89" t="s">
        <v>2559</v>
      </c>
      <c r="Q15" s="1807" t="str">
        <f t="shared" si="6"/>
        <v>办公集聚程度</v>
      </c>
      <c r="R15" s="771" t="s">
        <v>17</v>
      </c>
      <c r="S15" s="772">
        <f t="shared" si="0"/>
        <v>100</v>
      </c>
      <c r="T15" s="771" t="s">
        <v>17</v>
      </c>
      <c r="U15" s="772">
        <f t="shared" si="1"/>
        <v>100</v>
      </c>
      <c r="V15" s="771" t="s">
        <v>17</v>
      </c>
      <c r="W15" s="772">
        <f t="shared" si="2"/>
        <v>100</v>
      </c>
      <c r="X15" s="1810"/>
      <c r="Y15" s="3232" t="s">
        <v>2559</v>
      </c>
      <c r="Z15" s="1811" t="str">
        <f t="shared" si="7"/>
        <v>办公集聚程度</v>
      </c>
      <c r="AA15" s="1808">
        <f t="shared" si="3"/>
        <v>1</v>
      </c>
      <c r="AB15" s="1808">
        <f t="shared" si="4"/>
        <v>1</v>
      </c>
      <c r="AC15" s="2673">
        <f t="shared" si="5"/>
        <v>1</v>
      </c>
    </row>
    <row r="16" spans="1:29" ht="15">
      <c r="A16" s="427"/>
      <c r="B16" s="628"/>
      <c r="C16" s="2610" t="s">
        <v>3122</v>
      </c>
      <c r="D16" s="447"/>
      <c r="E16" s="446" t="s">
        <v>3122</v>
      </c>
      <c r="F16" s="447"/>
      <c r="G16" s="2610" t="s">
        <v>3142</v>
      </c>
      <c r="H16" s="449"/>
      <c r="I16" s="446" t="s">
        <v>3142</v>
      </c>
      <c r="J16" s="447"/>
      <c r="K16" s="614"/>
      <c r="L16" s="1137"/>
      <c r="M16" s="1128"/>
      <c r="N16" s="1128"/>
      <c r="O16" s="1128"/>
      <c r="P16" s="3290"/>
      <c r="Q16" s="1807"/>
      <c r="R16" s="771"/>
      <c r="S16" s="772"/>
      <c r="T16" s="771"/>
      <c r="U16" s="772"/>
      <c r="V16" s="771"/>
      <c r="W16" s="772"/>
      <c r="X16" s="1810"/>
      <c r="Y16" s="3233"/>
      <c r="Z16" s="1811"/>
      <c r="AA16" s="1808">
        <v>1</v>
      </c>
      <c r="AB16" s="1808">
        <v>1</v>
      </c>
      <c r="AC16" s="2673">
        <v>1</v>
      </c>
    </row>
    <row r="17" spans="1:29" ht="82.8">
      <c r="A17" s="427"/>
      <c r="B17" s="629" t="s">
        <v>2095</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90"/>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2673">
        <f t="shared" si="5"/>
        <v>1</v>
      </c>
    </row>
    <row r="18" spans="1:29" ht="15">
      <c r="A18" s="427"/>
      <c r="B18" s="630"/>
      <c r="C18" s="2675" t="s">
        <v>3122</v>
      </c>
      <c r="D18" s="449"/>
      <c r="E18" s="2608" t="s">
        <v>3122</v>
      </c>
      <c r="F18" s="449"/>
      <c r="G18" s="2609" t="s">
        <v>3122</v>
      </c>
      <c r="H18" s="447"/>
      <c r="I18" s="2609" t="s">
        <v>3122</v>
      </c>
      <c r="J18" s="447"/>
      <c r="K18" s="614"/>
      <c r="L18" s="1137"/>
      <c r="M18" s="1128"/>
      <c r="N18" s="1128"/>
      <c r="O18" s="1128"/>
      <c r="P18" s="3290"/>
      <c r="Q18" s="1807"/>
      <c r="R18" s="771"/>
      <c r="S18" s="772"/>
      <c r="T18" s="771"/>
      <c r="U18" s="772"/>
      <c r="V18" s="771"/>
      <c r="W18" s="772"/>
      <c r="X18" s="1810"/>
      <c r="Y18" s="3233"/>
      <c r="Z18" s="1811"/>
      <c r="AA18" s="1808">
        <v>1</v>
      </c>
      <c r="AB18" s="1808">
        <v>1</v>
      </c>
      <c r="AC18" s="2673">
        <v>1</v>
      </c>
    </row>
    <row r="19" spans="1:29" ht="41.4">
      <c r="A19" s="427"/>
      <c r="B19" s="629" t="s">
        <v>2687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90"/>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2673">
        <f t="shared" si="5"/>
        <v>1</v>
      </c>
    </row>
    <row r="20" spans="1:29" ht="15">
      <c r="A20" s="427"/>
      <c r="B20" s="630"/>
      <c r="C20" s="2610"/>
      <c r="D20" s="447"/>
      <c r="E20" s="2603"/>
      <c r="F20" s="447"/>
      <c r="G20" s="2604"/>
      <c r="H20" s="447"/>
      <c r="I20" s="2604"/>
      <c r="J20" s="447"/>
      <c r="K20" s="614"/>
      <c r="L20" s="1137"/>
      <c r="M20" s="1128"/>
      <c r="N20" s="1128"/>
      <c r="O20" s="1128"/>
      <c r="P20" s="3290"/>
      <c r="Q20" s="1807"/>
      <c r="R20" s="771"/>
      <c r="S20" s="772"/>
      <c r="T20" s="771"/>
      <c r="U20" s="772"/>
      <c r="V20" s="771"/>
      <c r="W20" s="772"/>
      <c r="X20" s="1810"/>
      <c r="Y20" s="3233"/>
      <c r="Z20" s="1811"/>
      <c r="AA20" s="1808">
        <v>1</v>
      </c>
      <c r="AB20" s="1808">
        <v>1</v>
      </c>
      <c r="AC20" s="2673">
        <v>1</v>
      </c>
    </row>
    <row r="21" spans="1:29" ht="27.6">
      <c r="A21" s="427"/>
      <c r="B21" s="631" t="s">
        <v>2688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2673">
        <f t="shared" ref="AC21" si="10">D21/J21</f>
        <v>1</v>
      </c>
    </row>
    <row r="22" spans="1:29" ht="15">
      <c r="A22" s="427"/>
      <c r="B22" s="631"/>
      <c r="C22" s="2675"/>
      <c r="D22" s="447"/>
      <c r="E22" s="446"/>
      <c r="F22" s="447"/>
      <c r="G22" s="2610"/>
      <c r="H22" s="447"/>
      <c r="I22" s="2610"/>
      <c r="J22" s="447"/>
      <c r="K22" s="1380"/>
      <c r="L22" s="1137"/>
      <c r="M22" s="1128"/>
      <c r="N22" s="1128"/>
      <c r="O22" s="1128"/>
      <c r="P22" s="3290"/>
      <c r="Q22" s="1807"/>
      <c r="R22" s="771"/>
      <c r="S22" s="772"/>
      <c r="T22" s="771"/>
      <c r="U22" s="772"/>
      <c r="V22" s="771"/>
      <c r="W22" s="772"/>
      <c r="X22" s="1810"/>
      <c r="Y22" s="3233"/>
      <c r="Z22" s="1811"/>
      <c r="AA22" s="1808">
        <v>1</v>
      </c>
      <c r="AB22" s="1808">
        <v>1</v>
      </c>
      <c r="AC22" s="2673">
        <v>1</v>
      </c>
    </row>
    <row r="23" spans="1:29" ht="55.2">
      <c r="A23" s="427"/>
      <c r="B23" s="629" t="s">
        <v>2689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90"/>
      <c r="Q23" s="1807" t="str">
        <f>B23</f>
        <v>环境质量</v>
      </c>
      <c r="R23" s="771" t="s">
        <v>17</v>
      </c>
      <c r="S23" s="772">
        <f>F23</f>
        <v>100</v>
      </c>
      <c r="T23" s="771" t="s">
        <v>17</v>
      </c>
      <c r="U23" s="772">
        <f>H23</f>
        <v>100</v>
      </c>
      <c r="V23" s="771" t="s">
        <v>17</v>
      </c>
      <c r="W23" s="772">
        <f>J23</f>
        <v>100</v>
      </c>
      <c r="X23" s="1810"/>
      <c r="Y23" s="3233"/>
      <c r="Z23" s="1811" t="str">
        <f>Q23</f>
        <v>环境质量</v>
      </c>
      <c r="AA23" s="1808">
        <f t="shared" si="3"/>
        <v>1</v>
      </c>
      <c r="AB23" s="1808">
        <f t="shared" si="4"/>
        <v>1</v>
      </c>
      <c r="AC23" s="2673">
        <f t="shared" si="5"/>
        <v>1</v>
      </c>
    </row>
    <row r="24" spans="1:29" ht="15">
      <c r="A24" s="427"/>
      <c r="B24" s="631"/>
      <c r="C24" s="2610"/>
      <c r="D24" s="447"/>
      <c r="E24" s="2603"/>
      <c r="F24" s="447"/>
      <c r="G24" s="2604"/>
      <c r="H24" s="447"/>
      <c r="I24" s="2604"/>
      <c r="J24" s="447"/>
      <c r="K24" s="614"/>
      <c r="L24" s="1137"/>
      <c r="M24" s="1128"/>
      <c r="N24" s="1128"/>
      <c r="O24" s="1128"/>
      <c r="P24" s="3290"/>
      <c r="Q24" s="1807"/>
      <c r="R24" s="771"/>
      <c r="S24" s="772"/>
      <c r="T24" s="771"/>
      <c r="U24" s="772"/>
      <c r="V24" s="771"/>
      <c r="W24" s="772"/>
      <c r="X24" s="1810"/>
      <c r="Y24" s="3233"/>
      <c r="Z24" s="1811"/>
      <c r="AA24" s="1808">
        <v>1</v>
      </c>
      <c r="AB24" s="1808">
        <v>1</v>
      </c>
      <c r="AC24" s="2673">
        <v>1</v>
      </c>
    </row>
    <row r="25" spans="1:29" ht="28.8">
      <c r="A25" s="403"/>
      <c r="B25" s="629" t="s">
        <v>2690</v>
      </c>
      <c r="C25" s="2614"/>
      <c r="D25" s="434">
        <v>100</v>
      </c>
      <c r="E25" s="433"/>
      <c r="F25" s="434">
        <f>SUMIF(87:87,E26,88:88)-SUMIF(87:87,C26,88:88)+100</f>
        <v>100</v>
      </c>
      <c r="G25" s="2614"/>
      <c r="H25" s="434">
        <f>SUMIF(87:87,G26,88:88)-SUMIF(87:87,C26,88:88)+100</f>
        <v>100</v>
      </c>
      <c r="I25" s="433"/>
      <c r="J25" s="434">
        <f>SUMIF(87:87,I26,88:88)-SUMIF(87:87,C26,88:88)+100</f>
        <v>100</v>
      </c>
      <c r="K25" s="613"/>
      <c r="L25" s="1137"/>
      <c r="M25" s="1128"/>
      <c r="N25" s="1128"/>
      <c r="O25" s="1128"/>
      <c r="P25" s="3290"/>
      <c r="Q25" s="1807" t="str">
        <f>B25</f>
        <v>毗邻道路的类型与等级</v>
      </c>
      <c r="R25" s="771" t="s">
        <v>17</v>
      </c>
      <c r="S25" s="772">
        <f>F25</f>
        <v>100</v>
      </c>
      <c r="T25" s="771" t="s">
        <v>17</v>
      </c>
      <c r="U25" s="772">
        <f>H25</f>
        <v>100</v>
      </c>
      <c r="V25" s="771" t="s">
        <v>17</v>
      </c>
      <c r="W25" s="772">
        <f>J25</f>
        <v>100</v>
      </c>
      <c r="X25" s="1810"/>
      <c r="Y25" s="3233"/>
      <c r="Z25" s="1811" t="str">
        <f>Q25</f>
        <v>毗邻道路的类型与等级</v>
      </c>
      <c r="AA25" s="1808">
        <f t="shared" si="3"/>
        <v>1</v>
      </c>
      <c r="AB25" s="1808">
        <f t="shared" si="4"/>
        <v>1</v>
      </c>
      <c r="AC25" s="2673">
        <f t="shared" si="5"/>
        <v>1</v>
      </c>
    </row>
    <row r="26" spans="1:29" ht="15.6" thickBot="1">
      <c r="A26" s="403"/>
      <c r="B26" s="630"/>
      <c r="C26" s="632"/>
      <c r="D26" s="434"/>
      <c r="E26" s="615"/>
      <c r="F26" s="434"/>
      <c r="G26" s="632"/>
      <c r="H26" s="434"/>
      <c r="I26" s="615"/>
      <c r="J26" s="434"/>
      <c r="K26" s="614"/>
      <c r="L26" s="1137"/>
      <c r="M26" s="1128"/>
      <c r="N26" s="1128"/>
      <c r="O26" s="1128"/>
      <c r="P26" s="3290"/>
      <c r="Q26" s="1807"/>
      <c r="R26" s="771"/>
      <c r="S26" s="772"/>
      <c r="T26" s="771"/>
      <c r="U26" s="772"/>
      <c r="V26" s="771"/>
      <c r="W26" s="772"/>
      <c r="X26" s="1810"/>
      <c r="Y26" s="3233"/>
      <c r="Z26" s="1811"/>
      <c r="AA26" s="1808">
        <v>1</v>
      </c>
      <c r="AB26" s="1808">
        <v>1</v>
      </c>
      <c r="AC26" s="2673">
        <v>1</v>
      </c>
    </row>
    <row r="27" spans="1:29" ht="15" hidden="1">
      <c r="A27" s="427"/>
      <c r="B27" s="630" t="s">
        <v>2658</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290"/>
      <c r="Q27" s="1807" t="str">
        <f t="shared" ref="Q27:Q47" si="11">B27</f>
        <v>楼层</v>
      </c>
      <c r="R27" s="771" t="s">
        <v>17</v>
      </c>
      <c r="S27" s="772">
        <f>F27</f>
        <v>100</v>
      </c>
      <c r="T27" s="771" t="s">
        <v>17</v>
      </c>
      <c r="U27" s="772">
        <f>H27</f>
        <v>100</v>
      </c>
      <c r="V27" s="771" t="s">
        <v>17</v>
      </c>
      <c r="W27" s="772">
        <f>J27</f>
        <v>100</v>
      </c>
      <c r="X27" s="1810"/>
      <c r="Y27" s="3233"/>
      <c r="Z27" s="1811" t="str">
        <f>Q27</f>
        <v>楼层</v>
      </c>
      <c r="AA27" s="1808">
        <f t="shared" si="3"/>
        <v>1</v>
      </c>
      <c r="AB27" s="1808">
        <f t="shared" si="4"/>
        <v>1</v>
      </c>
      <c r="AC27" s="2673">
        <f t="shared" si="5"/>
        <v>1</v>
      </c>
    </row>
    <row r="28" spans="1:29" s="117" customFormat="1" ht="15" hidden="1">
      <c r="A28" s="430"/>
      <c r="B28" s="629" t="s">
        <v>2691</v>
      </c>
      <c r="C28" s="2676"/>
      <c r="D28" s="461">
        <v>100</v>
      </c>
      <c r="E28" s="2664"/>
      <c r="F28" s="461">
        <f>SUMIF(91:91,E28,92:92)-SUMIF(91:91,C28,92:92)+100</f>
        <v>100</v>
      </c>
      <c r="G28" s="2676"/>
      <c r="H28" s="461">
        <f>SUMIF(91:91,G28,92:92)-SUMIF(91:91,C28,92:92)+100</f>
        <v>100</v>
      </c>
      <c r="I28" s="2664"/>
      <c r="J28" s="461">
        <f>SUMIF(91:91,I28,92:92)-SUMIF(91:91,C28,92:92)+100</f>
        <v>100</v>
      </c>
      <c r="K28" s="611"/>
      <c r="L28" s="1129"/>
      <c r="M28" s="1130"/>
      <c r="N28" s="1130"/>
      <c r="O28" s="1130"/>
      <c r="P28" s="3290"/>
      <c r="Q28" s="1792" t="str">
        <f t="shared" si="11"/>
        <v>朝向</v>
      </c>
      <c r="R28" s="767" t="s">
        <v>17</v>
      </c>
      <c r="S28" s="768">
        <f>F28</f>
        <v>100</v>
      </c>
      <c r="T28" s="767" t="s">
        <v>17</v>
      </c>
      <c r="U28" s="768">
        <f>H28</f>
        <v>100</v>
      </c>
      <c r="V28" s="767" t="s">
        <v>17</v>
      </c>
      <c r="W28" s="768">
        <f>J28</f>
        <v>100</v>
      </c>
      <c r="X28" s="769"/>
      <c r="Y28" s="3233"/>
      <c r="Z28" s="55" t="str">
        <f>Q28</f>
        <v>朝向</v>
      </c>
      <c r="AA28" s="1808">
        <f>D28/F28</f>
        <v>1</v>
      </c>
      <c r="AB28" s="1808">
        <f>D28/H28</f>
        <v>1</v>
      </c>
      <c r="AC28" s="2673">
        <f>D28/J28</f>
        <v>1</v>
      </c>
    </row>
    <row r="29" spans="1:29" ht="15" hidden="1">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7"/>
      <c r="M29" s="1128"/>
      <c r="N29" s="1128"/>
      <c r="O29" s="1128"/>
      <c r="P29" s="3290"/>
      <c r="Q29" s="1807">
        <f t="shared" si="11"/>
        <v>111</v>
      </c>
      <c r="R29" s="771" t="s">
        <v>17</v>
      </c>
      <c r="S29" s="772">
        <f t="shared" ref="S29:S47" si="12">F29</f>
        <v>100</v>
      </c>
      <c r="T29" s="771" t="s">
        <v>17</v>
      </c>
      <c r="U29" s="772">
        <f t="shared" ref="U29:U47" si="13">H29</f>
        <v>100</v>
      </c>
      <c r="V29" s="771" t="s">
        <v>17</v>
      </c>
      <c r="W29" s="772">
        <f t="shared" ref="W29:W47" si="14">J29</f>
        <v>100</v>
      </c>
      <c r="X29" s="1810"/>
      <c r="Y29" s="3233"/>
      <c r="Z29" s="1811">
        <f t="shared" ref="Z29:Z47" si="15">Q29</f>
        <v>111</v>
      </c>
      <c r="AA29" s="1808">
        <f t="shared" si="3"/>
        <v>1</v>
      </c>
      <c r="AB29" s="1808">
        <f t="shared" si="4"/>
        <v>1</v>
      </c>
      <c r="AC29" s="2673">
        <f t="shared" si="5"/>
        <v>1</v>
      </c>
    </row>
    <row r="30" spans="1:29" ht="15" hidden="1">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7"/>
      <c r="M30" s="1128"/>
      <c r="N30" s="1128"/>
      <c r="O30" s="1128"/>
      <c r="P30" s="3290"/>
      <c r="Q30" s="1807">
        <f t="shared" si="11"/>
        <v>111</v>
      </c>
      <c r="R30" s="771" t="s">
        <v>17</v>
      </c>
      <c r="S30" s="772">
        <f t="shared" si="12"/>
        <v>100</v>
      </c>
      <c r="T30" s="771" t="s">
        <v>17</v>
      </c>
      <c r="U30" s="772">
        <f t="shared" si="13"/>
        <v>100</v>
      </c>
      <c r="V30" s="771" t="s">
        <v>17</v>
      </c>
      <c r="W30" s="772">
        <f t="shared" si="14"/>
        <v>100</v>
      </c>
      <c r="X30" s="1810"/>
      <c r="Y30" s="3233"/>
      <c r="Z30" s="1811">
        <f t="shared" si="15"/>
        <v>111</v>
      </c>
      <c r="AA30" s="1808">
        <f t="shared" si="3"/>
        <v>1</v>
      </c>
      <c r="AB30" s="1808">
        <f t="shared" si="4"/>
        <v>1</v>
      </c>
      <c r="AC30" s="2673">
        <f t="shared" si="5"/>
        <v>1</v>
      </c>
    </row>
    <row r="31" spans="1:29" ht="15" hidden="1">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7"/>
      <c r="M31" s="1128"/>
      <c r="N31" s="1128"/>
      <c r="O31" s="1128"/>
      <c r="P31" s="3290"/>
      <c r="Q31" s="1807">
        <f t="shared" si="11"/>
        <v>111</v>
      </c>
      <c r="R31" s="771" t="s">
        <v>17</v>
      </c>
      <c r="S31" s="772">
        <f t="shared" si="12"/>
        <v>100</v>
      </c>
      <c r="T31" s="771" t="s">
        <v>17</v>
      </c>
      <c r="U31" s="772">
        <f t="shared" si="13"/>
        <v>100</v>
      </c>
      <c r="V31" s="771" t="s">
        <v>17</v>
      </c>
      <c r="W31" s="772">
        <f t="shared" si="14"/>
        <v>100</v>
      </c>
      <c r="X31" s="1810"/>
      <c r="Y31" s="3233"/>
      <c r="Z31" s="1811">
        <f t="shared" si="15"/>
        <v>111</v>
      </c>
      <c r="AA31" s="1808">
        <f t="shared" si="3"/>
        <v>1</v>
      </c>
      <c r="AB31" s="1808">
        <f t="shared" si="4"/>
        <v>1</v>
      </c>
      <c r="AC31" s="2673">
        <f t="shared" si="5"/>
        <v>1</v>
      </c>
    </row>
    <row r="32" spans="1:29" ht="15.6" hidden="1" thickBot="1">
      <c r="A32" s="435"/>
      <c r="B32" s="633">
        <v>111</v>
      </c>
      <c r="C32" s="2615"/>
      <c r="D32" s="437">
        <v>100</v>
      </c>
      <c r="E32" s="626"/>
      <c r="F32" s="437">
        <f>SUMIF(99:99,E32,100:100)-SUMIF(99:99,C32,100:100)+100</f>
        <v>100</v>
      </c>
      <c r="G32" s="2671"/>
      <c r="H32" s="437">
        <f>SUMIF(99:99,G32,100:100)-SUMIF(99:99,C32,100:100)+100</f>
        <v>100</v>
      </c>
      <c r="I32" s="431"/>
      <c r="J32" s="437">
        <f>SUMIF(99:99,I32,100:100)-SUMIF(99:99,C32,100:100)+100</f>
        <v>100</v>
      </c>
      <c r="K32" s="612"/>
      <c r="L32" s="1137"/>
      <c r="M32" s="1128"/>
      <c r="N32" s="1128"/>
      <c r="O32" s="1128"/>
      <c r="P32" s="3290"/>
      <c r="Q32" s="1807">
        <f t="shared" si="11"/>
        <v>111</v>
      </c>
      <c r="R32" s="771" t="s">
        <v>17</v>
      </c>
      <c r="S32" s="772">
        <f t="shared" si="12"/>
        <v>100</v>
      </c>
      <c r="T32" s="771" t="s">
        <v>17</v>
      </c>
      <c r="U32" s="772">
        <f t="shared" si="13"/>
        <v>100</v>
      </c>
      <c r="V32" s="771" t="s">
        <v>17</v>
      </c>
      <c r="W32" s="772">
        <f t="shared" si="14"/>
        <v>100</v>
      </c>
      <c r="X32" s="1810"/>
      <c r="Y32" s="3233"/>
      <c r="Z32" s="1811">
        <f t="shared" si="15"/>
        <v>111</v>
      </c>
      <c r="AA32" s="1808">
        <f t="shared" si="3"/>
        <v>1</v>
      </c>
      <c r="AB32" s="1808">
        <f t="shared" si="4"/>
        <v>1</v>
      </c>
      <c r="AC32" s="2673">
        <f t="shared" si="5"/>
        <v>1</v>
      </c>
    </row>
    <row r="33" spans="1:29" ht="15">
      <c r="A33" s="439" t="s">
        <v>2562</v>
      </c>
      <c r="B33" s="71" t="s">
        <v>2692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7"/>
      <c r="M33" s="1128"/>
      <c r="N33" s="1128"/>
      <c r="O33" s="1128"/>
      <c r="P33" s="3291" t="s">
        <v>2564</v>
      </c>
      <c r="Q33" s="1807" t="str">
        <f t="shared" si="11"/>
        <v>建筑类型</v>
      </c>
      <c r="R33" s="771" t="s">
        <v>17</v>
      </c>
      <c r="S33" s="772">
        <f t="shared" si="12"/>
        <v>100</v>
      </c>
      <c r="T33" s="771" t="s">
        <v>17</v>
      </c>
      <c r="U33" s="772">
        <f t="shared" si="13"/>
        <v>100</v>
      </c>
      <c r="V33" s="771" t="s">
        <v>17</v>
      </c>
      <c r="W33" s="772">
        <f t="shared" si="14"/>
        <v>100</v>
      </c>
      <c r="X33" s="1810"/>
      <c r="Y33" s="3235" t="s">
        <v>2564</v>
      </c>
      <c r="Z33" s="1811" t="str">
        <f t="shared" si="15"/>
        <v>建筑类型</v>
      </c>
      <c r="AA33" s="1808">
        <f t="shared" si="3"/>
        <v>1</v>
      </c>
      <c r="AB33" s="1808">
        <f t="shared" si="4"/>
        <v>1</v>
      </c>
      <c r="AC33" s="2673">
        <f t="shared" si="5"/>
        <v>1</v>
      </c>
    </row>
    <row r="34" spans="1:29" s="470" customFormat="1" ht="15">
      <c r="A34" s="467"/>
      <c r="B34" s="421" t="s">
        <v>2565</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5"/>
      <c r="M34" s="1138"/>
      <c r="N34" s="1138"/>
      <c r="O34" s="1138"/>
      <c r="P34" s="3292"/>
      <c r="Q34" s="773" t="str">
        <f t="shared" si="11"/>
        <v>项目建筑规模</v>
      </c>
      <c r="R34" s="774" t="s">
        <v>17</v>
      </c>
      <c r="S34" s="775">
        <f t="shared" si="12"/>
        <v>100</v>
      </c>
      <c r="T34" s="774" t="s">
        <v>17</v>
      </c>
      <c r="U34" s="775">
        <f t="shared" si="13"/>
        <v>100</v>
      </c>
      <c r="V34" s="774" t="s">
        <v>17</v>
      </c>
      <c r="W34" s="775">
        <f t="shared" si="14"/>
        <v>100</v>
      </c>
      <c r="X34" s="776"/>
      <c r="Y34" s="3235"/>
      <c r="Z34" s="777" t="str">
        <f t="shared" si="15"/>
        <v>项目建筑规模</v>
      </c>
      <c r="AA34" s="1808">
        <f t="shared" si="3"/>
        <v>1</v>
      </c>
      <c r="AB34" s="1808">
        <f t="shared" si="4"/>
        <v>1</v>
      </c>
      <c r="AC34" s="2673">
        <f t="shared" si="5"/>
        <v>1</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92"/>
      <c r="Q35" s="1807" t="str">
        <f t="shared" si="11"/>
        <v>建筑结构</v>
      </c>
      <c r="R35" s="771" t="s">
        <v>17</v>
      </c>
      <c r="S35" s="772">
        <f t="shared" si="12"/>
        <v>100</v>
      </c>
      <c r="T35" s="771" t="s">
        <v>17</v>
      </c>
      <c r="U35" s="772">
        <f t="shared" si="13"/>
        <v>100</v>
      </c>
      <c r="V35" s="771" t="s">
        <v>17</v>
      </c>
      <c r="W35" s="772">
        <f t="shared" si="14"/>
        <v>100</v>
      </c>
      <c r="X35" s="1810"/>
      <c r="Y35" s="3235"/>
      <c r="Z35" s="1811" t="str">
        <f t="shared" si="15"/>
        <v>建筑结构</v>
      </c>
      <c r="AA35" s="1808">
        <f t="shared" si="3"/>
        <v>1</v>
      </c>
      <c r="AB35" s="1808">
        <f t="shared" si="4"/>
        <v>1</v>
      </c>
      <c r="AC35" s="2673">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92"/>
      <c r="Q36" s="1807" t="str">
        <f t="shared" si="11"/>
        <v>公共部分装修</v>
      </c>
      <c r="R36" s="771" t="s">
        <v>17</v>
      </c>
      <c r="S36" s="772">
        <f t="shared" si="12"/>
        <v>100</v>
      </c>
      <c r="T36" s="771" t="s">
        <v>17</v>
      </c>
      <c r="U36" s="772">
        <f t="shared" si="13"/>
        <v>100</v>
      </c>
      <c r="V36" s="771" t="s">
        <v>17</v>
      </c>
      <c r="W36" s="772">
        <f t="shared" si="14"/>
        <v>100</v>
      </c>
      <c r="X36" s="1810"/>
      <c r="Y36" s="3235"/>
      <c r="Z36" s="1811" t="str">
        <f t="shared" si="15"/>
        <v>公共部分装修</v>
      </c>
      <c r="AA36" s="1808">
        <f t="shared" si="3"/>
        <v>1</v>
      </c>
      <c r="AB36" s="1808">
        <f t="shared" si="4"/>
        <v>1</v>
      </c>
      <c r="AC36" s="2673">
        <f t="shared" si="5"/>
        <v>1</v>
      </c>
    </row>
    <row r="37" spans="1:29" ht="15">
      <c r="A37" s="471"/>
      <c r="B37" s="421" t="s">
        <v>2661</v>
      </c>
      <c r="C37" s="473">
        <f>'数据-取费表'!N6</f>
        <v>0.8</v>
      </c>
      <c r="D37" s="434">
        <v>100</v>
      </c>
      <c r="E37" s="3006">
        <f>C37</f>
        <v>0.8</v>
      </c>
      <c r="F37" s="460">
        <f>LOOKUP(E37,111:111,112:112)-LOOKUP(C37,111:111,112:112)+100</f>
        <v>100</v>
      </c>
      <c r="G37" s="3006">
        <f>C37</f>
        <v>0.8</v>
      </c>
      <c r="H37" s="460">
        <f>LOOKUP(G37,111:111,112:112)-LOOKUP(C37,111:111,112:112)+100</f>
        <v>100</v>
      </c>
      <c r="I37" s="3006">
        <f>C37</f>
        <v>0.8</v>
      </c>
      <c r="J37" s="434">
        <f>LOOKUP(I37,111:111,112:112)-LOOKUP(C37,111:111,112:112)+100</f>
        <v>100</v>
      </c>
      <c r="K37" s="611"/>
      <c r="L37" s="1137"/>
      <c r="M37" s="1128"/>
      <c r="N37" s="1128"/>
      <c r="O37" s="1128"/>
      <c r="P37" s="3292"/>
      <c r="Q37" s="1807" t="str">
        <f t="shared" si="11"/>
        <v>成新度</v>
      </c>
      <c r="R37" s="771" t="s">
        <v>17</v>
      </c>
      <c r="S37" s="772">
        <f t="shared" si="12"/>
        <v>100</v>
      </c>
      <c r="T37" s="771" t="s">
        <v>17</v>
      </c>
      <c r="U37" s="772">
        <f t="shared" si="13"/>
        <v>100</v>
      </c>
      <c r="V37" s="771" t="s">
        <v>17</v>
      </c>
      <c r="W37" s="772">
        <f t="shared" si="14"/>
        <v>100</v>
      </c>
      <c r="X37" s="1810"/>
      <c r="Y37" s="3235"/>
      <c r="Z37" s="1811" t="str">
        <f t="shared" si="15"/>
        <v>成新度</v>
      </c>
      <c r="AA37" s="1808">
        <f t="shared" si="3"/>
        <v>1</v>
      </c>
      <c r="AB37" s="1808">
        <f t="shared" si="4"/>
        <v>1</v>
      </c>
      <c r="AC37" s="2673">
        <f t="shared" si="5"/>
        <v>1</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92"/>
      <c r="Q38" s="1792" t="str">
        <f t="shared" si="11"/>
        <v>写字楼等级</v>
      </c>
      <c r="R38" s="767" t="s">
        <v>17</v>
      </c>
      <c r="S38" s="768">
        <f t="shared" si="12"/>
        <v>100</v>
      </c>
      <c r="T38" s="767" t="s">
        <v>17</v>
      </c>
      <c r="U38" s="768">
        <f t="shared" si="13"/>
        <v>100</v>
      </c>
      <c r="V38" s="767" t="s">
        <v>17</v>
      </c>
      <c r="W38" s="768">
        <f t="shared" si="14"/>
        <v>100</v>
      </c>
      <c r="X38" s="769"/>
      <c r="Y38" s="3235"/>
      <c r="Z38" s="55" t="str">
        <f t="shared" si="15"/>
        <v>写字楼等级</v>
      </c>
      <c r="AA38" s="770">
        <f t="shared" si="3"/>
        <v>1</v>
      </c>
      <c r="AB38" s="770">
        <f t="shared" si="4"/>
        <v>1</v>
      </c>
      <c r="AC38" s="2670">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92" t="s">
        <v>2564</v>
      </c>
      <c r="Q39" s="1807" t="str">
        <f t="shared" si="11"/>
        <v>物业管理</v>
      </c>
      <c r="R39" s="771" t="s">
        <v>17</v>
      </c>
      <c r="S39" s="772">
        <f t="shared" si="12"/>
        <v>100</v>
      </c>
      <c r="T39" s="771" t="s">
        <v>17</v>
      </c>
      <c r="U39" s="772">
        <f t="shared" si="13"/>
        <v>100</v>
      </c>
      <c r="V39" s="771" t="s">
        <v>17</v>
      </c>
      <c r="W39" s="772">
        <f t="shared" si="14"/>
        <v>100</v>
      </c>
      <c r="X39" s="1810"/>
      <c r="Y39" s="3235" t="s">
        <v>2564</v>
      </c>
      <c r="Z39" s="1811" t="str">
        <f t="shared" si="15"/>
        <v>物业管理</v>
      </c>
      <c r="AA39" s="1808">
        <f t="shared" si="3"/>
        <v>1</v>
      </c>
      <c r="AB39" s="1808">
        <f t="shared" si="4"/>
        <v>1</v>
      </c>
      <c r="AC39" s="2673">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92"/>
      <c r="Q40" s="1807" t="str">
        <f t="shared" si="11"/>
        <v>市政基础设施</v>
      </c>
      <c r="R40" s="771" t="s">
        <v>17</v>
      </c>
      <c r="S40" s="772">
        <f t="shared" si="12"/>
        <v>100</v>
      </c>
      <c r="T40" s="771" t="s">
        <v>17</v>
      </c>
      <c r="U40" s="772">
        <f t="shared" si="13"/>
        <v>100</v>
      </c>
      <c r="V40" s="771" t="s">
        <v>17</v>
      </c>
      <c r="W40" s="772">
        <f t="shared" si="14"/>
        <v>100</v>
      </c>
      <c r="X40" s="1810"/>
      <c r="Y40" s="3235"/>
      <c r="Z40" s="1811" t="str">
        <f t="shared" si="15"/>
        <v>市政基础设施</v>
      </c>
      <c r="AA40" s="1808">
        <f t="shared" si="3"/>
        <v>1</v>
      </c>
      <c r="AB40" s="1808">
        <f t="shared" si="4"/>
        <v>1</v>
      </c>
      <c r="AC40" s="2673">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92"/>
      <c r="Q41" s="1807" t="str">
        <f t="shared" si="11"/>
        <v>层高</v>
      </c>
      <c r="R41" s="771" t="s">
        <v>17</v>
      </c>
      <c r="S41" s="772">
        <f t="shared" si="12"/>
        <v>100</v>
      </c>
      <c r="T41" s="771" t="s">
        <v>17</v>
      </c>
      <c r="U41" s="772">
        <f t="shared" si="13"/>
        <v>100</v>
      </c>
      <c r="V41" s="771" t="s">
        <v>17</v>
      </c>
      <c r="W41" s="772">
        <f t="shared" si="14"/>
        <v>100</v>
      </c>
      <c r="X41" s="1810"/>
      <c r="Y41" s="3235"/>
      <c r="Z41" s="1811" t="str">
        <f t="shared" si="15"/>
        <v>层高</v>
      </c>
      <c r="AA41" s="1808">
        <f t="shared" si="3"/>
        <v>1</v>
      </c>
      <c r="AB41" s="1808">
        <f t="shared" si="4"/>
        <v>1</v>
      </c>
      <c r="AC41" s="2673">
        <f t="shared" si="5"/>
        <v>1</v>
      </c>
    </row>
    <row r="42" spans="1:29" s="470" customFormat="1" ht="15">
      <c r="A42" s="467"/>
      <c r="B42" s="1809" t="s">
        <v>2695</v>
      </c>
      <c r="C42" s="433">
        <f>'数据-汇总表'!F19</f>
        <v>55.46</v>
      </c>
      <c r="D42" s="434">
        <v>100</v>
      </c>
      <c r="E42" s="433">
        <v>150</v>
      </c>
      <c r="F42" s="460">
        <f>SUMIF(121:121,E42,122:122)-SUMIF(121:121,C42,122:122)+100</f>
        <v>100</v>
      </c>
      <c r="G42" s="433">
        <v>330</v>
      </c>
      <c r="H42" s="434">
        <f>SUMIF(121:121,G42,122:122)-SUMIF(121:121,C42,122:122)+100</f>
        <v>100</v>
      </c>
      <c r="I42" s="433">
        <v>147</v>
      </c>
      <c r="J42" s="434">
        <f>SUMIF(121:121,I42,122:122)-SUMIF(121:121,C42,122:122)+100</f>
        <v>100</v>
      </c>
      <c r="K42" s="612"/>
      <c r="L42" s="1135"/>
      <c r="M42" s="1138"/>
      <c r="N42" s="1138"/>
      <c r="O42" s="1138"/>
      <c r="P42" s="3292"/>
      <c r="Q42" s="773" t="str">
        <f t="shared" si="11"/>
        <v>单套建筑面积</v>
      </c>
      <c r="R42" s="774" t="s">
        <v>17</v>
      </c>
      <c r="S42" s="775">
        <f t="shared" si="12"/>
        <v>100</v>
      </c>
      <c r="T42" s="774" t="s">
        <v>17</v>
      </c>
      <c r="U42" s="775">
        <f t="shared" si="13"/>
        <v>100</v>
      </c>
      <c r="V42" s="774" t="s">
        <v>17</v>
      </c>
      <c r="W42" s="775">
        <f t="shared" si="14"/>
        <v>100</v>
      </c>
      <c r="X42" s="776"/>
      <c r="Y42" s="3235"/>
      <c r="Z42" s="777" t="str">
        <f t="shared" si="15"/>
        <v>单套建筑面积</v>
      </c>
      <c r="AA42" s="1808">
        <f t="shared" si="3"/>
        <v>1</v>
      </c>
      <c r="AB42" s="1808">
        <f t="shared" si="4"/>
        <v>1</v>
      </c>
      <c r="AC42" s="2673">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92"/>
      <c r="Q43" s="1807" t="str">
        <f t="shared" si="11"/>
        <v>内部装修</v>
      </c>
      <c r="R43" s="771" t="s">
        <v>17</v>
      </c>
      <c r="S43" s="772">
        <f t="shared" si="12"/>
        <v>100</v>
      </c>
      <c r="T43" s="771" t="s">
        <v>17</v>
      </c>
      <c r="U43" s="772">
        <f t="shared" si="13"/>
        <v>100</v>
      </c>
      <c r="V43" s="771" t="s">
        <v>17</v>
      </c>
      <c r="W43" s="772">
        <f t="shared" si="14"/>
        <v>100</v>
      </c>
      <c r="X43" s="1810"/>
      <c r="Y43" s="3235"/>
      <c r="Z43" s="1811" t="str">
        <f t="shared" si="15"/>
        <v>内部装修</v>
      </c>
      <c r="AA43" s="1808">
        <f t="shared" si="3"/>
        <v>1</v>
      </c>
      <c r="AB43" s="1808">
        <f t="shared" si="4"/>
        <v>1</v>
      </c>
      <c r="AC43" s="2673">
        <f t="shared" si="5"/>
        <v>1</v>
      </c>
    </row>
    <row r="44" spans="1:29" ht="29.4" thickBot="1">
      <c r="A44" s="471"/>
      <c r="B44" s="421" t="s">
        <v>2575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7"/>
      <c r="M44" s="1128"/>
      <c r="N44" s="1128"/>
      <c r="O44" s="1128"/>
      <c r="P44" s="3292"/>
      <c r="Q44" s="1807" t="str">
        <f t="shared" si="11"/>
        <v>内部装修维护情况</v>
      </c>
      <c r="R44" s="771" t="s">
        <v>17</v>
      </c>
      <c r="S44" s="772">
        <f t="shared" si="12"/>
        <v>100</v>
      </c>
      <c r="T44" s="771" t="s">
        <v>17</v>
      </c>
      <c r="U44" s="772">
        <f t="shared" si="13"/>
        <v>100</v>
      </c>
      <c r="V44" s="771" t="s">
        <v>17</v>
      </c>
      <c r="W44" s="772">
        <f t="shared" si="14"/>
        <v>100</v>
      </c>
      <c r="X44" s="1810"/>
      <c r="Y44" s="3235"/>
      <c r="Z44" s="1811" t="str">
        <f t="shared" si="15"/>
        <v>内部装修维护情况</v>
      </c>
      <c r="AA44" s="1808">
        <f t="shared" si="3"/>
        <v>1</v>
      </c>
      <c r="AB44" s="1808">
        <f t="shared" si="4"/>
        <v>1</v>
      </c>
      <c r="AC44" s="2673">
        <f t="shared" si="5"/>
        <v>1</v>
      </c>
    </row>
    <row r="45" spans="1:29" s="117" customFormat="1" ht="15" hidden="1">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92"/>
      <c r="Q45" s="1792">
        <f t="shared" si="11"/>
        <v>111</v>
      </c>
      <c r="R45" s="767" t="s">
        <v>17</v>
      </c>
      <c r="S45" s="768">
        <f t="shared" si="12"/>
        <v>100</v>
      </c>
      <c r="T45" s="767" t="s">
        <v>17</v>
      </c>
      <c r="U45" s="768">
        <f t="shared" si="13"/>
        <v>100</v>
      </c>
      <c r="V45" s="767" t="s">
        <v>17</v>
      </c>
      <c r="W45" s="768">
        <f t="shared" si="14"/>
        <v>100</v>
      </c>
      <c r="X45" s="769"/>
      <c r="Y45" s="3235"/>
      <c r="Z45" s="55">
        <f t="shared" si="15"/>
        <v>111</v>
      </c>
      <c r="AA45" s="770">
        <f t="shared" si="3"/>
        <v>1</v>
      </c>
      <c r="AB45" s="770">
        <f t="shared" si="4"/>
        <v>1</v>
      </c>
      <c r="AC45" s="2670">
        <f t="shared" si="5"/>
        <v>1</v>
      </c>
    </row>
    <row r="46" spans="1:29" ht="15" hidden="1">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92"/>
      <c r="Q46" s="1807">
        <f t="shared" si="11"/>
        <v>111</v>
      </c>
      <c r="R46" s="771" t="s">
        <v>17</v>
      </c>
      <c r="S46" s="772">
        <f t="shared" si="12"/>
        <v>100</v>
      </c>
      <c r="T46" s="771" t="s">
        <v>17</v>
      </c>
      <c r="U46" s="772">
        <f t="shared" si="13"/>
        <v>100</v>
      </c>
      <c r="V46" s="771" t="s">
        <v>17</v>
      </c>
      <c r="W46" s="772">
        <f t="shared" si="14"/>
        <v>100</v>
      </c>
      <c r="X46" s="1810"/>
      <c r="Y46" s="3235"/>
      <c r="Z46" s="1811">
        <f t="shared" si="15"/>
        <v>111</v>
      </c>
      <c r="AA46" s="1808">
        <f t="shared" si="3"/>
        <v>1</v>
      </c>
      <c r="AB46" s="1808">
        <f t="shared" si="4"/>
        <v>1</v>
      </c>
      <c r="AC46" s="2673">
        <f t="shared" si="5"/>
        <v>1</v>
      </c>
    </row>
    <row r="47" spans="1:29" ht="15.6"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93"/>
      <c r="Q47" s="1807">
        <f t="shared" si="11"/>
        <v>111</v>
      </c>
      <c r="R47" s="771" t="s">
        <v>17</v>
      </c>
      <c r="S47" s="772">
        <f t="shared" si="12"/>
        <v>100</v>
      </c>
      <c r="T47" s="771" t="s">
        <v>17</v>
      </c>
      <c r="U47" s="772">
        <f t="shared" si="13"/>
        <v>100</v>
      </c>
      <c r="V47" s="771" t="s">
        <v>17</v>
      </c>
      <c r="W47" s="772">
        <f t="shared" si="14"/>
        <v>100</v>
      </c>
      <c r="X47" s="1810"/>
      <c r="Y47" s="3294"/>
      <c r="Z47" s="1811">
        <f t="shared" si="15"/>
        <v>111</v>
      </c>
      <c r="AA47" s="1808">
        <f t="shared" si="3"/>
        <v>1</v>
      </c>
      <c r="AB47" s="1808">
        <f t="shared" si="4"/>
        <v>1</v>
      </c>
      <c r="AC47" s="2673">
        <f t="shared" si="5"/>
        <v>1</v>
      </c>
    </row>
    <row r="48" spans="1:29" ht="14.4">
      <c r="A48" s="478" t="s">
        <v>2576</v>
      </c>
      <c r="B48" s="479"/>
      <c r="C48" s="1404" t="s">
        <v>1</v>
      </c>
      <c r="D48" s="1405"/>
      <c r="E48" s="1406">
        <v>89570</v>
      </c>
      <c r="F48" s="1407"/>
      <c r="G48" s="1408">
        <v>106247</v>
      </c>
      <c r="H48" s="1409"/>
      <c r="I48" s="1406">
        <v>108130</v>
      </c>
      <c r="J48" s="484"/>
      <c r="K48" s="780"/>
      <c r="L48" s="1140"/>
      <c r="M48" s="1128"/>
      <c r="N48" s="1128"/>
      <c r="O48" s="1128"/>
      <c r="P48" s="3229" t="str">
        <f>A48</f>
        <v>成交单价（元/平方米）</v>
      </c>
      <c r="Q48" s="3230"/>
      <c r="R48" s="3287">
        <f>E48</f>
        <v>89570</v>
      </c>
      <c r="S48" s="3287"/>
      <c r="T48" s="3287">
        <f>G48</f>
        <v>106247</v>
      </c>
      <c r="U48" s="3287"/>
      <c r="V48" s="3287">
        <f>I48</f>
        <v>108130</v>
      </c>
      <c r="W48" s="3287"/>
      <c r="X48" s="445"/>
      <c r="Y48" s="778"/>
      <c r="Z48" s="445"/>
      <c r="AA48" s="445"/>
      <c r="AB48" s="445"/>
      <c r="AC48" s="628"/>
    </row>
    <row r="49" spans="1:29" ht="15" thickBot="1">
      <c r="A49" s="485" t="s">
        <v>2668</v>
      </c>
      <c r="B49" s="486"/>
      <c r="C49" s="1410">
        <f>R50</f>
        <v>101316</v>
      </c>
      <c r="D49" s="1411"/>
      <c r="E49" s="1412">
        <f>R49</f>
        <v>89570</v>
      </c>
      <c r="F49" s="1412"/>
      <c r="G49" s="1410">
        <f>T49</f>
        <v>106247</v>
      </c>
      <c r="H49" s="1411"/>
      <c r="I49" s="1412">
        <f>V49</f>
        <v>108130</v>
      </c>
      <c r="J49" s="488"/>
      <c r="K49" s="781"/>
      <c r="L49" s="1140"/>
      <c r="M49" s="1128"/>
      <c r="N49" s="1128"/>
      <c r="O49" s="1128"/>
      <c r="P49" s="3229" t="str">
        <f>A49</f>
        <v>比较价值（元/平方米）</v>
      </c>
      <c r="Q49" s="3230"/>
      <c r="R49" s="3287">
        <f>IF(F1="售价",ROUND(PRODUCT(R48,AA7:AA47),0),ROUND(PRODUCT(R48,AA7:AA47),1))</f>
        <v>89570</v>
      </c>
      <c r="S49" s="3287"/>
      <c r="T49" s="3287">
        <f>IF(F1="售价",ROUND(PRODUCT(T48,AB7:AB47),0),ROUND(PRODUCT(T48,AB7:AB47),1))</f>
        <v>106247</v>
      </c>
      <c r="U49" s="3287"/>
      <c r="V49" s="3287">
        <f>IF(F1="售价",ROUND(PRODUCT(V48,AC7:AC47),0),ROUND(PRODUCT(V48,AC7:AC47),1))</f>
        <v>108130</v>
      </c>
      <c r="W49" s="3287"/>
      <c r="X49" s="445"/>
      <c r="Y49" s="445"/>
      <c r="Z49" s="445"/>
      <c r="AA49" s="445"/>
      <c r="AB49" s="445"/>
      <c r="AC49" s="628"/>
    </row>
    <row r="50" spans="1:29" ht="15" thickBot="1">
      <c r="A50" s="491" t="s">
        <v>2669</v>
      </c>
      <c r="B50" s="492"/>
      <c r="C50" s="1414">
        <f>R50</f>
        <v>101316</v>
      </c>
      <c r="D50" s="1414"/>
      <c r="E50" s="1414"/>
      <c r="F50" s="1414"/>
      <c r="G50" s="1414"/>
      <c r="H50" s="1414"/>
      <c r="I50" s="1414"/>
      <c r="J50" s="493"/>
      <c r="K50" s="782"/>
      <c r="L50" s="1140"/>
      <c r="M50" s="1128"/>
      <c r="N50" s="1128"/>
      <c r="O50" s="1128"/>
      <c r="P50" s="3306" t="str">
        <f>A50</f>
        <v>估价对象XX用房的比较价值（楼面单价，元/平方米）</v>
      </c>
      <c r="Q50" s="3307"/>
      <c r="R50" s="3308">
        <f>IF(F1="售价",ROUND(AVERAGE(R49:V49),0),ROUND(AVERAGE(R49:V49),1))</f>
        <v>101316</v>
      </c>
      <c r="S50" s="3308"/>
      <c r="T50" s="3308"/>
      <c r="U50" s="3308"/>
      <c r="V50" s="3308"/>
      <c r="W50" s="3308"/>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2670</v>
      </c>
      <c r="D53" s="497"/>
      <c r="E53" s="498">
        <f>IF(E48&lt;E49,E49/E48-1,E48/E49-1)</f>
        <v>0</v>
      </c>
      <c r="F53" s="499" t="str">
        <f>IF(OR(E53&gt;=0.3,E53&lt;=-0.3),"超过30%","")</f>
        <v/>
      </c>
      <c r="G53" s="498">
        <f>IF(G48&lt;G49,G49/G48-1,G48/G49-1)</f>
        <v>0</v>
      </c>
      <c r="H53" s="499" t="str">
        <f>IF(OR(G53&gt;=0.3,G53&lt;=-0.3),"超过30%","")</f>
        <v/>
      </c>
      <c r="I53" s="498">
        <f>IF(I48&lt;I49,I49/I48-1,I48/I49-1)</f>
        <v>0</v>
      </c>
      <c r="J53" s="499" t="str">
        <f>IF(OR(I53&gt;=0.3,I53&lt;=-0.3),"超过30%","")</f>
        <v/>
      </c>
      <c r="K53" s="1102"/>
      <c r="L53" s="1103"/>
      <c r="M53" s="1141"/>
      <c r="N53" s="1141"/>
      <c r="O53" s="1141"/>
    </row>
    <row r="54" spans="1:29" ht="13.5" customHeight="1">
      <c r="A54" s="1141"/>
      <c r="B54" s="1141"/>
      <c r="C54" s="496" t="s">
        <v>2671</v>
      </c>
      <c r="D54" s="500"/>
      <c r="E54" s="498">
        <f>IF(E49&lt;G49,G49/E49-1,E49/G49-1)</f>
        <v>0.18618957240147371</v>
      </c>
      <c r="F54" s="499" t="str">
        <f>IF(OR(E54&gt;=0.2,E54&lt;=-0.2),"超过20%","")</f>
        <v/>
      </c>
      <c r="G54" s="498">
        <f>IF(G49&lt;I49,I49/G49-1,G49/I49-1)</f>
        <v>1.7722853351153534E-2</v>
      </c>
      <c r="H54" s="499" t="str">
        <f>IF(OR(G54&gt;=0.2,G54&lt;=-0.2),"超过20%","")</f>
        <v/>
      </c>
      <c r="I54" s="498">
        <f>IF(I49&lt;E49,E49/I49-1,I49/E49-1)</f>
        <v>0.20721223623981233</v>
      </c>
      <c r="J54" s="499" t="str">
        <f>IF(OR(I54&gt;=0.2,I54&lt;=-0.2),"超过20%","")</f>
        <v>超过20%</v>
      </c>
      <c r="K54" s="1102"/>
      <c r="L54" s="1103"/>
      <c r="M54" s="1141"/>
      <c r="N54" s="1141"/>
      <c r="O54" s="1141"/>
    </row>
    <row r="55" spans="1:29" s="501" customFormat="1" ht="13.5" customHeight="1">
      <c r="A55" s="1142"/>
      <c r="B55" s="1142"/>
      <c r="C55" s="496" t="s">
        <v>2672</v>
      </c>
      <c r="D55" s="500"/>
      <c r="E55" s="498">
        <f>IF(E48&lt;G48,G48/E48-1,E48/G48-1)</f>
        <v>0.18618957240147371</v>
      </c>
      <c r="F55" s="499" t="str">
        <f>IF(OR(E55&gt;=0.3,E55&lt;=-0.3),"超过30%","")</f>
        <v/>
      </c>
      <c r="G55" s="498">
        <f>IF(G48&lt;I48,I48/G48-1,G48/I48-1)</f>
        <v>1.7722853351153534E-2</v>
      </c>
      <c r="H55" s="499" t="str">
        <f>IF(OR(G55&gt;=0.3,G55&lt;=-0.3),"超过30%","")</f>
        <v/>
      </c>
      <c r="I55" s="498">
        <f>IF(I48&lt;E48,E48/I48-1,I48/E48-1)</f>
        <v>0.20721223623981233</v>
      </c>
      <c r="J55" s="499" t="str">
        <f>IF(OR(I55&gt;=0.3,I55&lt;=-0.3),"超过30%","")</f>
        <v/>
      </c>
      <c r="K55" s="1145"/>
      <c r="L55" s="1146"/>
      <c r="M55" s="1142"/>
      <c r="N55" s="1142"/>
      <c r="O55" s="1142"/>
      <c r="P55" s="2679"/>
    </row>
    <row r="56" spans="1:29" s="501"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2.2" thickBot="1">
      <c r="A58" s="760" t="s">
        <v>2673</v>
      </c>
      <c r="B58" s="756"/>
      <c r="C58" s="761"/>
      <c r="D58" s="761"/>
      <c r="E58" s="761"/>
      <c r="F58" s="762"/>
      <c r="G58" s="762"/>
      <c r="H58" s="761"/>
      <c r="I58" s="761"/>
      <c r="J58" s="761"/>
      <c r="K58" s="763"/>
      <c r="L58" s="1158"/>
      <c r="M58" s="1156"/>
      <c r="N58" s="1156"/>
      <c r="O58" s="1156"/>
      <c r="P58" s="2680"/>
      <c r="Q58" s="503"/>
    </row>
    <row r="59" spans="1:29" s="507" customFormat="1" ht="14.4">
      <c r="A59" s="504" t="s">
        <v>2547</v>
      </c>
      <c r="B59" s="505"/>
      <c r="C59" s="1571" t="str">
        <f>YEAR(C7)&amp;"-"&amp;MONTH(C7)</f>
        <v>2020-1</v>
      </c>
      <c r="D59" s="1572">
        <f>EDATE(C59,-1)</f>
        <v>43800</v>
      </c>
      <c r="E59" s="1572">
        <f>EDATE(D59,-1)</f>
        <v>43770</v>
      </c>
      <c r="F59" s="1572">
        <f t="shared" ref="F59:O59" si="16">EDATE(E59,-1)</f>
        <v>43739</v>
      </c>
      <c r="G59" s="1572">
        <f t="shared" si="16"/>
        <v>43709</v>
      </c>
      <c r="H59" s="1572">
        <f t="shared" si="16"/>
        <v>43678</v>
      </c>
      <c r="I59" s="1572">
        <f t="shared" si="16"/>
        <v>43647</v>
      </c>
      <c r="J59" s="1572">
        <f t="shared" si="16"/>
        <v>43617</v>
      </c>
      <c r="K59" s="1572">
        <f t="shared" si="16"/>
        <v>43586</v>
      </c>
      <c r="L59" s="1572">
        <f t="shared" si="16"/>
        <v>43556</v>
      </c>
      <c r="M59" s="1572">
        <f t="shared" si="16"/>
        <v>43525</v>
      </c>
      <c r="N59" s="1572">
        <f t="shared" si="16"/>
        <v>43497</v>
      </c>
      <c r="O59" s="1572">
        <f t="shared" si="16"/>
        <v>43466</v>
      </c>
      <c r="P59" s="1568"/>
    </row>
    <row r="60" spans="1:29" s="117" customFormat="1">
      <c r="A60" s="508"/>
      <c r="B60" s="509"/>
      <c r="C60" s="1570">
        <v>100</v>
      </c>
      <c r="D60" s="511"/>
      <c r="E60" s="511"/>
      <c r="F60" s="511"/>
      <c r="G60" s="511"/>
      <c r="H60" s="511"/>
      <c r="I60" s="511"/>
      <c r="J60" s="511"/>
      <c r="K60" s="511"/>
      <c r="L60" s="511"/>
      <c r="M60" s="512"/>
      <c r="N60" s="511"/>
      <c r="O60" s="512"/>
      <c r="P60" s="2681"/>
    </row>
    <row r="61" spans="1:29" s="117" customFormat="1" ht="15" thickBot="1">
      <c r="A61" s="514" t="s">
        <v>2584</v>
      </c>
      <c r="B61" s="515"/>
      <c r="C61" s="516"/>
      <c r="D61" s="517"/>
      <c r="E61" s="517"/>
      <c r="F61" s="517"/>
      <c r="G61" s="517"/>
      <c r="H61" s="517"/>
      <c r="I61" s="517"/>
      <c r="J61" s="517"/>
      <c r="K61" s="517"/>
      <c r="L61" s="517"/>
      <c r="M61" s="518"/>
      <c r="N61" s="517"/>
      <c r="O61" s="518"/>
      <c r="P61" s="2681"/>
      <c r="Q61" s="503"/>
    </row>
    <row r="62" spans="1:29" s="117" customFormat="1" ht="14.4">
      <c r="A62" s="520" t="s">
        <v>2549</v>
      </c>
      <c r="B62" s="509"/>
      <c r="C62" s="521" t="s">
        <v>2651</v>
      </c>
      <c r="D62" s="522"/>
      <c r="E62" s="522"/>
      <c r="F62" s="522"/>
      <c r="G62" s="522"/>
      <c r="H62" s="522"/>
      <c r="I62" s="522"/>
      <c r="J62" s="522"/>
      <c r="K62" s="522"/>
      <c r="L62" s="523"/>
      <c r="M62" s="524"/>
      <c r="N62" s="1148"/>
      <c r="O62" s="1148"/>
      <c r="P62" s="2682"/>
      <c r="Q62" s="503"/>
    </row>
    <row r="63" spans="1:29" s="117" customFormat="1" ht="14.4" thickBot="1">
      <c r="A63" s="520"/>
      <c r="B63" s="509"/>
      <c r="C63" s="510">
        <v>100</v>
      </c>
      <c r="D63" s="511"/>
      <c r="E63" s="511"/>
      <c r="F63" s="511"/>
      <c r="G63" s="511"/>
      <c r="H63" s="511"/>
      <c r="I63" s="511"/>
      <c r="J63" s="511"/>
      <c r="K63" s="511"/>
      <c r="L63" s="511"/>
      <c r="M63" s="513"/>
      <c r="N63" s="1148"/>
      <c r="O63" s="1148"/>
      <c r="P63" s="2681"/>
      <c r="Q63" s="503"/>
    </row>
    <row r="64" spans="1:29" ht="14.4">
      <c r="A64" s="526" t="s">
        <v>2587</v>
      </c>
      <c r="B64" s="527" t="s">
        <v>2553</v>
      </c>
      <c r="C64" s="528">
        <f>C9</f>
        <v>0</v>
      </c>
      <c r="D64" s="529"/>
      <c r="E64" s="529"/>
      <c r="F64" s="529"/>
      <c r="G64" s="529"/>
      <c r="H64" s="529"/>
      <c r="I64" s="529"/>
      <c r="J64" s="529"/>
      <c r="K64" s="530"/>
      <c r="L64" s="531"/>
      <c r="M64" s="532"/>
      <c r="N64" s="1149"/>
      <c r="O64" s="1149"/>
      <c r="P64" s="2683"/>
      <c r="Q64" s="503"/>
    </row>
    <row r="65" spans="1:17" ht="14.4" thickBot="1">
      <c r="A65" s="533"/>
      <c r="B65" s="534"/>
      <c r="C65" s="535">
        <v>100</v>
      </c>
      <c r="D65" s="535"/>
      <c r="E65" s="535"/>
      <c r="F65" s="535"/>
      <c r="G65" s="535"/>
      <c r="H65" s="535"/>
      <c r="I65" s="535"/>
      <c r="J65" s="535"/>
      <c r="K65" s="535"/>
      <c r="L65" s="535"/>
      <c r="M65" s="536"/>
      <c r="N65" s="1150"/>
      <c r="O65" s="1150"/>
      <c r="P65" s="2683"/>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49"/>
      <c r="O66" s="1149"/>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83"/>
      <c r="Q67" s="503"/>
    </row>
    <row r="68" spans="1:17" ht="15" thickTop="1">
      <c r="A68" s="533"/>
      <c r="B68" s="545" t="s">
        <v>2557</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83"/>
      <c r="Q68" s="503"/>
    </row>
    <row r="69" spans="1:17">
      <c r="A69" s="533"/>
      <c r="B69" s="547"/>
      <c r="C69" s="548">
        <v>0</v>
      </c>
      <c r="D69" s="548"/>
      <c r="E69" s="548"/>
      <c r="F69" s="548"/>
      <c r="G69" s="548"/>
      <c r="H69" s="548"/>
      <c r="I69" s="548"/>
      <c r="J69" s="548"/>
      <c r="K69" s="549"/>
      <c r="L69" s="550"/>
      <c r="M69" s="551"/>
      <c r="N69" s="1149"/>
      <c r="O69" s="1149"/>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83"/>
      <c r="Q70" s="503"/>
    </row>
    <row r="71" spans="1:17" s="470" customFormat="1" ht="14.4" thickTop="1">
      <c r="A71" s="552"/>
      <c r="B71" s="537">
        <f>B12</f>
        <v>111</v>
      </c>
      <c r="C71" s="553"/>
      <c r="D71" s="553"/>
      <c r="E71" s="553"/>
      <c r="F71" s="553"/>
      <c r="G71" s="553"/>
      <c r="H71" s="554"/>
      <c r="I71" s="554"/>
      <c r="J71" s="554"/>
      <c r="K71" s="554"/>
      <c r="L71" s="555"/>
      <c r="M71" s="556"/>
      <c r="N71" s="1151"/>
      <c r="O71" s="1151"/>
      <c r="P71" s="2684"/>
      <c r="Q71" s="558"/>
    </row>
    <row r="72" spans="1:17" s="470" customFormat="1" ht="14.4" thickBot="1">
      <c r="A72" s="552"/>
      <c r="B72" s="542"/>
      <c r="C72" s="559"/>
      <c r="D72" s="535"/>
      <c r="E72" s="535"/>
      <c r="F72" s="535"/>
      <c r="G72" s="535"/>
      <c r="H72" s="535"/>
      <c r="I72" s="535"/>
      <c r="J72" s="535"/>
      <c r="K72" s="535"/>
      <c r="L72" s="535"/>
      <c r="M72" s="536"/>
      <c r="N72" s="1150"/>
      <c r="O72" s="1150"/>
      <c r="P72" s="2684"/>
      <c r="Q72" s="558"/>
    </row>
    <row r="73" spans="1:17" s="470" customFormat="1" ht="14.4" thickTop="1">
      <c r="A73" s="552"/>
      <c r="B73" s="537">
        <f>B13</f>
        <v>111</v>
      </c>
      <c r="C73" s="553"/>
      <c r="D73" s="553"/>
      <c r="E73" s="553"/>
      <c r="F73" s="553"/>
      <c r="G73" s="553"/>
      <c r="H73" s="554"/>
      <c r="I73" s="554"/>
      <c r="J73" s="554"/>
      <c r="K73" s="554"/>
      <c r="L73" s="555"/>
      <c r="M73" s="556"/>
      <c r="N73" s="1151"/>
      <c r="O73" s="1151"/>
      <c r="P73" s="2685"/>
      <c r="Q73" s="560"/>
    </row>
    <row r="74" spans="1:17" s="470" customFormat="1" ht="14.4" thickBot="1">
      <c r="A74" s="552"/>
      <c r="B74" s="542"/>
      <c r="C74" s="559"/>
      <c r="D74" s="559"/>
      <c r="E74" s="559"/>
      <c r="F74" s="559"/>
      <c r="G74" s="559"/>
      <c r="H74" s="561"/>
      <c r="I74" s="561"/>
      <c r="J74" s="561"/>
      <c r="K74" s="561"/>
      <c r="L74" s="561"/>
      <c r="M74" s="562"/>
      <c r="N74" s="1151"/>
      <c r="O74" s="1151"/>
      <c r="P74" s="2684"/>
      <c r="Q74" s="558"/>
    </row>
    <row r="75" spans="1:17" s="470" customFormat="1" ht="14.4" thickTop="1">
      <c r="A75" s="552"/>
      <c r="B75" s="545">
        <f>B14</f>
        <v>111</v>
      </c>
      <c r="C75" s="522"/>
      <c r="D75" s="522"/>
      <c r="E75" s="522"/>
      <c r="F75" s="522"/>
      <c r="G75" s="522"/>
      <c r="H75" s="563"/>
      <c r="I75" s="563"/>
      <c r="J75" s="563"/>
      <c r="K75" s="563"/>
      <c r="L75" s="564"/>
      <c r="M75" s="565"/>
      <c r="N75" s="1151"/>
      <c r="O75" s="1151"/>
      <c r="P75" s="2686"/>
      <c r="Q75" s="558"/>
    </row>
    <row r="76" spans="1:17" s="470" customFormat="1" ht="14.4" thickBot="1">
      <c r="A76" s="567"/>
      <c r="B76" s="568"/>
      <c r="C76" s="569"/>
      <c r="D76" s="569"/>
      <c r="E76" s="569"/>
      <c r="F76" s="569"/>
      <c r="G76" s="569"/>
      <c r="H76" s="570"/>
      <c r="I76" s="570"/>
      <c r="J76" s="570"/>
      <c r="K76" s="570"/>
      <c r="L76" s="570"/>
      <c r="M76" s="571"/>
      <c r="N76" s="1151"/>
      <c r="O76" s="1151"/>
      <c r="P76" s="2684"/>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49"/>
      <c r="O77" s="1149"/>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83"/>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49"/>
      <c r="O79" s="1149"/>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83"/>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49"/>
      <c r="O81" s="1149"/>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83"/>
      <c r="Q82" s="503"/>
    </row>
    <row r="83" spans="1:17" ht="15" thickTop="1">
      <c r="A83" s="533"/>
      <c r="B83" s="545" t="s">
        <v>2688</v>
      </c>
      <c r="C83" s="658" t="s">
        <v>2674</v>
      </c>
      <c r="D83" s="658" t="s">
        <v>2675</v>
      </c>
      <c r="E83" s="658" t="s">
        <v>2676</v>
      </c>
      <c r="F83" s="658" t="s">
        <v>2677</v>
      </c>
      <c r="G83" s="658" t="s">
        <v>2678</v>
      </c>
      <c r="H83" s="538"/>
      <c r="I83" s="538"/>
      <c r="J83" s="538"/>
      <c r="K83" s="538"/>
      <c r="L83" s="538"/>
      <c r="M83" s="1379"/>
      <c r="N83" s="1150"/>
      <c r="O83" s="1150"/>
      <c r="P83" s="2683"/>
      <c r="Q83" s="503"/>
    </row>
    <row r="84" spans="1:17" ht="14.4" thickBot="1">
      <c r="A84" s="533"/>
      <c r="B84" s="545"/>
      <c r="C84" s="543">
        <v>100</v>
      </c>
      <c r="D84" s="543">
        <f>C84-$K21</f>
        <v>100</v>
      </c>
      <c r="E84" s="543">
        <f>D84-$K21</f>
        <v>100</v>
      </c>
      <c r="F84" s="543">
        <f>E84-$K21</f>
        <v>100</v>
      </c>
      <c r="G84" s="543">
        <f>F84-$K21</f>
        <v>100</v>
      </c>
      <c r="H84" s="658"/>
      <c r="I84" s="658"/>
      <c r="J84" s="658"/>
      <c r="K84" s="658"/>
      <c r="L84" s="658"/>
      <c r="M84" s="449"/>
      <c r="N84" s="1150"/>
      <c r="O84" s="1150"/>
      <c r="P84" s="2683"/>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49"/>
      <c r="O85" s="1149"/>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83"/>
      <c r="Q86" s="503"/>
    </row>
    <row r="87" spans="1:17" s="117" customFormat="1" ht="29.4" thickTop="1">
      <c r="A87" s="578"/>
      <c r="B87" s="537" t="s">
        <v>2698</v>
      </c>
      <c r="C87" s="553"/>
      <c r="D87" s="553"/>
      <c r="E87" s="553"/>
      <c r="F87" s="553"/>
      <c r="G87" s="553"/>
      <c r="H87" s="553"/>
      <c r="I87" s="553"/>
      <c r="J87" s="553"/>
      <c r="K87" s="553"/>
      <c r="L87" s="579"/>
      <c r="M87" s="580"/>
      <c r="N87" s="1148"/>
      <c r="O87" s="1148"/>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83"/>
      <c r="Q88" s="503"/>
    </row>
    <row r="89" spans="1:17" s="117" customFormat="1" ht="14.4" thickTop="1">
      <c r="A89" s="578"/>
      <c r="B89" s="537" t="str">
        <f>B27</f>
        <v>楼层</v>
      </c>
      <c r="C89" s="553"/>
      <c r="D89" s="553"/>
      <c r="E89" s="553"/>
      <c r="F89" s="2634"/>
      <c r="G89" s="553"/>
      <c r="H89" s="553"/>
      <c r="I89" s="553"/>
      <c r="J89" s="553"/>
      <c r="K89" s="553"/>
      <c r="L89" s="553"/>
      <c r="M89" s="580"/>
      <c r="N89" s="1148"/>
      <c r="O89" s="1148"/>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83"/>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84"/>
      <c r="Q92" s="558"/>
    </row>
    <row r="93" spans="1:17" ht="14.4" thickTop="1">
      <c r="A93" s="533"/>
      <c r="B93" s="537">
        <f>B29</f>
        <v>111</v>
      </c>
      <c r="C93" s="553"/>
      <c r="D93" s="553"/>
      <c r="E93" s="553"/>
      <c r="F93" s="553"/>
      <c r="G93" s="553"/>
      <c r="H93" s="553"/>
      <c r="I93" s="553"/>
      <c r="J93" s="553"/>
      <c r="K93" s="553"/>
      <c r="L93" s="579"/>
      <c r="M93" s="580"/>
      <c r="N93" s="1149"/>
      <c r="O93" s="1149"/>
      <c r="P93" s="2683"/>
      <c r="Q93" s="503"/>
    </row>
    <row r="94" spans="1:17" ht="14.4" thickBot="1">
      <c r="A94" s="533"/>
      <c r="B94" s="542"/>
      <c r="C94" s="559"/>
      <c r="D94" s="535"/>
      <c r="E94" s="535"/>
      <c r="F94" s="535"/>
      <c r="G94" s="535"/>
      <c r="H94" s="535"/>
      <c r="I94" s="535"/>
      <c r="J94" s="535"/>
      <c r="K94" s="535"/>
      <c r="L94" s="535"/>
      <c r="M94" s="536"/>
      <c r="N94" s="1150"/>
      <c r="O94" s="1150"/>
      <c r="P94" s="2683"/>
      <c r="Q94" s="503"/>
    </row>
    <row r="95" spans="1:17" ht="14.4" thickTop="1">
      <c r="A95" s="533"/>
      <c r="B95" s="537">
        <f>B30</f>
        <v>111</v>
      </c>
      <c r="C95" s="553"/>
      <c r="D95" s="553"/>
      <c r="E95" s="553"/>
      <c r="F95" s="553"/>
      <c r="G95" s="582"/>
      <c r="H95" s="582"/>
      <c r="I95" s="582"/>
      <c r="J95" s="582"/>
      <c r="K95" s="583"/>
      <c r="L95" s="584"/>
      <c r="M95" s="585"/>
      <c r="N95" s="1149"/>
      <c r="O95" s="1149"/>
      <c r="P95" s="2683"/>
      <c r="Q95" s="503"/>
    </row>
    <row r="96" spans="1:17" ht="14.4" thickBot="1">
      <c r="A96" s="533"/>
      <c r="B96" s="542"/>
      <c r="C96" s="559"/>
      <c r="D96" s="559"/>
      <c r="E96" s="559"/>
      <c r="F96" s="559"/>
      <c r="G96" s="535"/>
      <c r="H96" s="535"/>
      <c r="I96" s="535"/>
      <c r="J96" s="535"/>
      <c r="K96" s="535"/>
      <c r="L96" s="535"/>
      <c r="M96" s="536"/>
      <c r="N96" s="1150"/>
      <c r="O96" s="1150"/>
      <c r="P96" s="2683"/>
      <c r="Q96" s="503"/>
    </row>
    <row r="97" spans="1:17" ht="14.4" thickTop="1">
      <c r="A97" s="533"/>
      <c r="B97" s="537">
        <f>B31</f>
        <v>111</v>
      </c>
      <c r="C97" s="553"/>
      <c r="D97" s="553"/>
      <c r="E97" s="553"/>
      <c r="F97" s="553"/>
      <c r="G97" s="582"/>
      <c r="H97" s="582"/>
      <c r="I97" s="582"/>
      <c r="J97" s="582"/>
      <c r="K97" s="583"/>
      <c r="L97" s="584"/>
      <c r="M97" s="585"/>
      <c r="N97" s="1149"/>
      <c r="O97" s="1149"/>
      <c r="P97" s="2683"/>
      <c r="Q97" s="503"/>
    </row>
    <row r="98" spans="1:17" ht="14.4" thickBot="1">
      <c r="A98" s="533"/>
      <c r="B98" s="542"/>
      <c r="C98" s="559"/>
      <c r="D98" s="535"/>
      <c r="E98" s="535"/>
      <c r="F98" s="535"/>
      <c r="G98" s="535"/>
      <c r="H98" s="535"/>
      <c r="I98" s="535"/>
      <c r="J98" s="535"/>
      <c r="K98" s="535"/>
      <c r="L98" s="535"/>
      <c r="M98" s="536"/>
      <c r="N98" s="1150"/>
      <c r="O98" s="1150"/>
      <c r="P98" s="2683"/>
      <c r="Q98" s="503"/>
    </row>
    <row r="99" spans="1:17" ht="14.4" thickTop="1">
      <c r="A99" s="533"/>
      <c r="B99" s="545">
        <f>B32</f>
        <v>111</v>
      </c>
      <c r="C99" s="522"/>
      <c r="D99" s="522"/>
      <c r="E99" s="522"/>
      <c r="F99" s="522"/>
      <c r="G99" s="586"/>
      <c r="H99" s="586"/>
      <c r="I99" s="586"/>
      <c r="J99" s="586"/>
      <c r="K99" s="587"/>
      <c r="L99" s="588"/>
      <c r="M99" s="589"/>
      <c r="N99" s="1149"/>
      <c r="O99" s="1149"/>
      <c r="P99" s="2683"/>
      <c r="Q99" s="503"/>
    </row>
    <row r="100" spans="1:17" ht="14.4" thickBot="1">
      <c r="A100" s="2635"/>
      <c r="B100" s="568"/>
      <c r="C100" s="569"/>
      <c r="D100" s="569"/>
      <c r="E100" s="569"/>
      <c r="F100" s="569"/>
      <c r="G100" s="590"/>
      <c r="H100" s="590"/>
      <c r="I100" s="590"/>
      <c r="J100" s="590"/>
      <c r="K100" s="590"/>
      <c r="L100" s="590"/>
      <c r="M100" s="591"/>
      <c r="N100" s="1150"/>
      <c r="O100" s="1150"/>
      <c r="P100" s="2683"/>
      <c r="Q100" s="503"/>
    </row>
    <row r="101" spans="1:17" ht="14.4">
      <c r="A101" s="526" t="s">
        <v>2562</v>
      </c>
      <c r="B101" s="527" t="s">
        <v>2611</v>
      </c>
      <c r="C101" s="529"/>
      <c r="D101" s="529"/>
      <c r="E101" s="529"/>
      <c r="F101" s="529"/>
      <c r="G101" s="529"/>
      <c r="H101" s="529"/>
      <c r="I101" s="529"/>
      <c r="J101" s="529"/>
      <c r="K101" s="530"/>
      <c r="L101" s="531"/>
      <c r="M101" s="532"/>
      <c r="N101" s="1149"/>
      <c r="O101" s="1149"/>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83"/>
      <c r="Q102" s="503"/>
    </row>
    <row r="103" spans="1:17" ht="15" thickTop="1">
      <c r="A103" s="533"/>
      <c r="B103" s="537" t="s">
        <v>2612</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83"/>
      <c r="Q103" s="503"/>
    </row>
    <row r="104" spans="1:17" s="470" customFormat="1">
      <c r="A104" s="592"/>
      <c r="B104" s="593"/>
      <c r="C104" s="594">
        <v>0</v>
      </c>
      <c r="D104" s="594"/>
      <c r="E104" s="594"/>
      <c r="F104" s="594"/>
      <c r="G104" s="594"/>
      <c r="H104" s="594"/>
      <c r="I104" s="594"/>
      <c r="J104" s="595"/>
      <c r="K104" s="595"/>
      <c r="L104" s="596"/>
      <c r="M104" s="597"/>
      <c r="N104" s="1151"/>
      <c r="O104" s="1151"/>
      <c r="P104" s="2684"/>
      <c r="Q104" s="558"/>
    </row>
    <row r="105" spans="1:17" s="470" customFormat="1" ht="14.4" thickBot="1">
      <c r="A105" s="552"/>
      <c r="B105" s="542"/>
      <c r="C105" s="559"/>
      <c r="D105" s="535"/>
      <c r="E105" s="535"/>
      <c r="F105" s="535"/>
      <c r="G105" s="535"/>
      <c r="H105" s="535"/>
      <c r="I105" s="535"/>
      <c r="J105" s="535"/>
      <c r="K105" s="535"/>
      <c r="L105" s="535"/>
      <c r="M105" s="536"/>
      <c r="N105" s="1150"/>
      <c r="O105" s="1150"/>
      <c r="P105" s="2684"/>
      <c r="Q105" s="558"/>
    </row>
    <row r="106" spans="1:17" ht="15" thickTop="1">
      <c r="A106" s="598"/>
      <c r="B106" s="537" t="s">
        <v>2613</v>
      </c>
      <c r="C106" s="553"/>
      <c r="D106" s="553"/>
      <c r="E106" s="582"/>
      <c r="F106" s="582"/>
      <c r="G106" s="582"/>
      <c r="H106" s="582"/>
      <c r="I106" s="582"/>
      <c r="J106" s="582"/>
      <c r="K106" s="583"/>
      <c r="L106" s="584"/>
      <c r="M106" s="585"/>
      <c r="N106" s="1149"/>
      <c r="O106" s="1149"/>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83"/>
      <c r="Q107" s="503"/>
    </row>
    <row r="108" spans="1:17" ht="15" thickTop="1">
      <c r="A108" s="598"/>
      <c r="B108" s="537" t="s">
        <v>2615</v>
      </c>
      <c r="C108" s="553"/>
      <c r="D108" s="553"/>
      <c r="E108" s="553"/>
      <c r="F108" s="582"/>
      <c r="G108" s="582"/>
      <c r="H108" s="582"/>
      <c r="I108" s="582"/>
      <c r="J108" s="582"/>
      <c r="K108" s="583"/>
      <c r="L108" s="584"/>
      <c r="M108" s="585"/>
      <c r="N108" s="1149"/>
      <c r="O108" s="1149"/>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83"/>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83"/>
      <c r="Q112" s="503"/>
    </row>
    <row r="113" spans="1:17" s="470" customFormat="1" ht="15" thickTop="1">
      <c r="A113" s="592"/>
      <c r="B113" s="537" t="s">
        <v>2699</v>
      </c>
      <c r="C113" s="553"/>
      <c r="D113" s="553"/>
      <c r="E113" s="553"/>
      <c r="F113" s="553"/>
      <c r="G113" s="553"/>
      <c r="H113" s="582"/>
      <c r="I113" s="582"/>
      <c r="J113" s="582"/>
      <c r="K113" s="583"/>
      <c r="L113" s="584"/>
      <c r="M113" s="585"/>
      <c r="N113" s="1151"/>
      <c r="O113" s="1151"/>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84"/>
      <c r="Q114" s="558"/>
    </row>
    <row r="115" spans="1:17" ht="15" thickTop="1">
      <c r="A115" s="598"/>
      <c r="B115" s="537" t="s">
        <v>2616</v>
      </c>
      <c r="C115" s="553"/>
      <c r="D115" s="553"/>
      <c r="E115" s="582"/>
      <c r="F115" s="582"/>
      <c r="G115" s="582"/>
      <c r="H115" s="582"/>
      <c r="I115" s="582"/>
      <c r="J115" s="582"/>
      <c r="K115" s="583"/>
      <c r="L115" s="584"/>
      <c r="M115" s="585"/>
      <c r="N115" s="1149"/>
      <c r="O115" s="1149"/>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83"/>
      <c r="Q116" s="503"/>
    </row>
    <row r="117" spans="1:17" ht="15" thickTop="1">
      <c r="A117" s="598"/>
      <c r="B117" s="537" t="s">
        <v>2617</v>
      </c>
      <c r="C117" s="553"/>
      <c r="D117" s="553"/>
      <c r="E117" s="553"/>
      <c r="F117" s="553"/>
      <c r="G117" s="553"/>
      <c r="H117" s="582"/>
      <c r="I117" s="582"/>
      <c r="J117" s="582"/>
      <c r="K117" s="583"/>
      <c r="L117" s="584"/>
      <c r="M117" s="585"/>
      <c r="N117" s="1149"/>
      <c r="O117" s="1149"/>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83"/>
      <c r="Q118" s="503"/>
    </row>
    <row r="119" spans="1:17" ht="15" thickTop="1">
      <c r="A119" s="598"/>
      <c r="B119" s="634" t="s">
        <v>2700</v>
      </c>
      <c r="C119" s="582"/>
      <c r="D119" s="582"/>
      <c r="E119" s="582"/>
      <c r="F119" s="582"/>
      <c r="G119" s="582"/>
      <c r="H119" s="582"/>
      <c r="I119" s="582"/>
      <c r="J119" s="582"/>
      <c r="K119" s="582"/>
      <c r="L119" s="2688"/>
      <c r="M119" s="2689"/>
      <c r="N119" s="1150"/>
      <c r="O119" s="1150"/>
      <c r="P119" s="2690"/>
      <c r="Q119" s="636"/>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83"/>
      <c r="Q120" s="503"/>
    </row>
    <row r="121" spans="1:17" s="470" customFormat="1" ht="15" thickTop="1">
      <c r="A121" s="592"/>
      <c r="B121" s="537" t="s">
        <v>2683</v>
      </c>
      <c r="C121" s="553"/>
      <c r="D121" s="553"/>
      <c r="E121" s="553"/>
      <c r="F121" s="582"/>
      <c r="G121" s="554"/>
      <c r="H121" s="554"/>
      <c r="I121" s="554"/>
      <c r="J121" s="554"/>
      <c r="K121" s="554"/>
      <c r="L121" s="555"/>
      <c r="M121" s="556"/>
      <c r="N121" s="1151"/>
      <c r="O121" s="1151"/>
      <c r="P121" s="2684"/>
      <c r="Q121" s="558"/>
    </row>
    <row r="122" spans="1:17" s="470" customFormat="1" ht="14.4" thickBot="1">
      <c r="A122" s="552"/>
      <c r="B122" s="534"/>
      <c r="C122" s="559"/>
      <c r="D122" s="559"/>
      <c r="E122" s="559"/>
      <c r="F122" s="559"/>
      <c r="G122" s="559"/>
      <c r="H122" s="559"/>
      <c r="I122" s="559"/>
      <c r="J122" s="559"/>
      <c r="K122" s="559"/>
      <c r="L122" s="559"/>
      <c r="M122" s="559"/>
      <c r="N122" s="1151"/>
      <c r="O122" s="1151"/>
      <c r="P122" s="2684"/>
      <c r="Q122" s="558"/>
    </row>
    <row r="123" spans="1:17" ht="15" thickTop="1">
      <c r="A123" s="598"/>
      <c r="B123" s="537" t="s">
        <v>2619</v>
      </c>
      <c r="C123" s="553"/>
      <c r="D123" s="553"/>
      <c r="E123" s="553"/>
      <c r="F123" s="582"/>
      <c r="G123" s="582"/>
      <c r="H123" s="582"/>
      <c r="I123" s="582"/>
      <c r="J123" s="582"/>
      <c r="K123" s="583"/>
      <c r="L123" s="584"/>
      <c r="M123" s="585"/>
      <c r="N123" s="1149"/>
      <c r="O123" s="1149"/>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83"/>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49"/>
      <c r="O125" s="1149"/>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84"/>
      <c r="Q127" s="558"/>
    </row>
    <row r="128" spans="1:17" s="470" customFormat="1" ht="14.4" thickBot="1">
      <c r="A128" s="552"/>
      <c r="B128" s="542"/>
      <c r="C128" s="559"/>
      <c r="D128" s="535"/>
      <c r="E128" s="535"/>
      <c r="F128" s="535"/>
      <c r="G128" s="559"/>
      <c r="H128" s="561"/>
      <c r="I128" s="561"/>
      <c r="J128" s="561"/>
      <c r="K128" s="561"/>
      <c r="L128" s="561"/>
      <c r="M128" s="562"/>
      <c r="N128" s="1151"/>
      <c r="O128" s="1151"/>
      <c r="P128" s="2684"/>
      <c r="Q128" s="558"/>
    </row>
    <row r="129" spans="1:17" ht="14.4" thickTop="1">
      <c r="A129" s="598"/>
      <c r="B129" s="537">
        <f>B46</f>
        <v>111</v>
      </c>
      <c r="C129" s="553"/>
      <c r="D129" s="553"/>
      <c r="E129" s="553"/>
      <c r="F129" s="553"/>
      <c r="G129" s="582"/>
      <c r="H129" s="582"/>
      <c r="I129" s="582"/>
      <c r="J129" s="582"/>
      <c r="K129" s="583"/>
      <c r="L129" s="584"/>
      <c r="M129" s="585"/>
      <c r="N129" s="1149"/>
      <c r="O129" s="1149"/>
      <c r="P129" s="2683"/>
      <c r="Q129" s="503"/>
    </row>
    <row r="130" spans="1:17" ht="14.4" thickBot="1">
      <c r="A130" s="533"/>
      <c r="B130" s="542"/>
      <c r="C130" s="559"/>
      <c r="D130" s="559"/>
      <c r="E130" s="559"/>
      <c r="F130" s="559"/>
      <c r="G130" s="535"/>
      <c r="H130" s="535"/>
      <c r="I130" s="535"/>
      <c r="J130" s="535"/>
      <c r="K130" s="535"/>
      <c r="L130" s="535"/>
      <c r="M130" s="536"/>
      <c r="N130" s="1150"/>
      <c r="O130" s="1150"/>
      <c r="P130" s="2683"/>
      <c r="Q130" s="503"/>
    </row>
    <row r="131" spans="1:17" ht="14.4" thickTop="1">
      <c r="A131" s="598"/>
      <c r="B131" s="545">
        <f>B47</f>
        <v>111</v>
      </c>
      <c r="C131" s="522"/>
      <c r="D131" s="522"/>
      <c r="E131" s="522"/>
      <c r="F131" s="522"/>
      <c r="G131" s="586"/>
      <c r="H131" s="586"/>
      <c r="I131" s="586"/>
      <c r="J131" s="586"/>
      <c r="K131" s="522"/>
      <c r="L131" s="523"/>
      <c r="M131" s="589"/>
      <c r="N131" s="1149"/>
      <c r="O131" s="1149"/>
      <c r="P131" s="2683"/>
      <c r="Q131" s="503"/>
    </row>
    <row r="132" spans="1:17" ht="14.4" thickBot="1">
      <c r="A132" s="2635"/>
      <c r="B132" s="568"/>
      <c r="C132" s="569"/>
      <c r="D132" s="569"/>
      <c r="E132" s="569"/>
      <c r="F132" s="569"/>
      <c r="G132" s="590"/>
      <c r="H132" s="590"/>
      <c r="I132" s="590"/>
      <c r="J132" s="590"/>
      <c r="K132" s="590"/>
      <c r="L132" s="590"/>
      <c r="M132" s="591"/>
      <c r="N132" s="1150"/>
      <c r="O132" s="1150"/>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668" t="s">
        <v>2701</v>
      </c>
      <c r="C1" s="1617" t="s">
        <v>2529</v>
      </c>
      <c r="D1" s="1618"/>
      <c r="E1" s="1627"/>
      <c r="F1" s="258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IF(C2="——",ROUND(C43*D3/10000,0),ROUND(C43*D3/10000,0)-D2)</f>
        <v>#DIV/0!</v>
      </c>
      <c r="C2" s="2585"/>
      <c r="D2" s="1121" t="e">
        <f ca="1">SUMIF(INDIRECT("'"&amp;F2&amp;"'"&amp;"!A:A"),"承租人权益价值",INDIRECT("'"&amp;F2&amp;"'"&amp;"!c:c"))</f>
        <v>#REF!</v>
      </c>
      <c r="E2" s="2586" t="s">
        <v>2327</v>
      </c>
      <c r="F2" s="2587"/>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499.07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8" t="s">
        <v>2647</v>
      </c>
      <c r="AC4" s="3237" t="s">
        <v>2648</v>
      </c>
    </row>
    <row r="5" spans="1:29">
      <c r="A5" s="403"/>
      <c r="B5" s="404"/>
      <c r="C5" s="3257" t="s">
        <v>2541</v>
      </c>
      <c r="D5" s="3258"/>
      <c r="E5" s="3264" t="s">
        <v>2542</v>
      </c>
      <c r="F5" s="3265"/>
      <c r="G5" s="3257" t="s">
        <v>2543</v>
      </c>
      <c r="H5" s="3258"/>
      <c r="I5" s="3257" t="s">
        <v>2544</v>
      </c>
      <c r="J5" s="3258"/>
      <c r="K5" s="609"/>
      <c r="L5" s="1127"/>
      <c r="M5" s="1128"/>
      <c r="N5" s="1128"/>
      <c r="O5" s="1128"/>
      <c r="P5" s="3245"/>
      <c r="Q5" s="3246"/>
      <c r="R5" s="3251"/>
      <c r="S5" s="3252"/>
      <c r="T5" s="3251"/>
      <c r="U5" s="3252"/>
      <c r="V5" s="3236"/>
      <c r="W5" s="3236"/>
      <c r="X5" s="1810"/>
      <c r="Y5" s="3251"/>
      <c r="Z5" s="3252"/>
      <c r="AA5" s="3238"/>
      <c r="AB5" s="3238"/>
      <c r="AC5" s="3238"/>
    </row>
    <row r="6" spans="1:29" ht="15" thickBot="1">
      <c r="A6" s="405"/>
      <c r="B6" s="406"/>
      <c r="C6" s="3255" t="s">
        <v>2545</v>
      </c>
      <c r="D6" s="3256"/>
      <c r="E6" s="3262" t="s">
        <v>2545</v>
      </c>
      <c r="F6" s="3263"/>
      <c r="G6" s="3255" t="s">
        <v>2545</v>
      </c>
      <c r="H6" s="3256"/>
      <c r="I6" s="3255" t="s">
        <v>2545</v>
      </c>
      <c r="J6" s="3256"/>
      <c r="K6" s="609" t="s">
        <v>2546</v>
      </c>
      <c r="L6" s="1127"/>
      <c r="M6" s="1128"/>
      <c r="N6" s="1128"/>
      <c r="O6" s="1128"/>
      <c r="P6" s="3247"/>
      <c r="Q6" s="3248"/>
      <c r="R6" s="3251"/>
      <c r="S6" s="3252"/>
      <c r="T6" s="3253"/>
      <c r="U6" s="3254"/>
      <c r="V6" s="3236"/>
      <c r="W6" s="3236"/>
      <c r="X6" s="1810"/>
      <c r="Y6" s="3253"/>
      <c r="Z6" s="3254"/>
      <c r="AA6" s="3239"/>
      <c r="AB6" s="3239"/>
      <c r="AC6" s="3239"/>
    </row>
    <row r="7" spans="1:29" s="117" customFormat="1" ht="15" thickBot="1">
      <c r="A7" s="407" t="s">
        <v>2547</v>
      </c>
      <c r="B7" s="408"/>
      <c r="C7" s="409">
        <f>'数据-取费表'!B2</f>
        <v>43845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59" t="s">
        <v>2548</v>
      </c>
      <c r="Q7" s="3261"/>
      <c r="R7" s="767" t="s">
        <v>17</v>
      </c>
      <c r="S7" s="768">
        <f t="shared" ref="S7:S15" si="0">F7</f>
        <v>0</v>
      </c>
      <c r="T7" s="767" t="s">
        <v>17</v>
      </c>
      <c r="U7" s="768">
        <f t="shared" ref="U7:U15" si="1">H7</f>
        <v>0</v>
      </c>
      <c r="V7" s="767" t="s">
        <v>17</v>
      </c>
      <c r="W7" s="768">
        <f t="shared" ref="W7:W15" si="2">J7</f>
        <v>0</v>
      </c>
      <c r="X7" s="769"/>
      <c r="Y7" s="3259" t="s">
        <v>2548</v>
      </c>
      <c r="Z7" s="3260"/>
      <c r="AA7" s="770" t="e">
        <f>D7/F7</f>
        <v>#DIV/0!</v>
      </c>
      <c r="AB7" s="770" t="e">
        <f>D7/H7</f>
        <v>#DIV/0!</v>
      </c>
      <c r="AC7" s="770" t="e">
        <f>D7/J7</f>
        <v>#DIV/0!</v>
      </c>
    </row>
    <row r="8" spans="1:29" s="117"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59" t="s">
        <v>2551</v>
      </c>
      <c r="Q8" s="3260"/>
      <c r="R8" s="767" t="s">
        <v>17</v>
      </c>
      <c r="S8" s="768">
        <f t="shared" si="0"/>
        <v>0</v>
      </c>
      <c r="T8" s="767" t="s">
        <v>17</v>
      </c>
      <c r="U8" s="768">
        <f t="shared" si="1"/>
        <v>0</v>
      </c>
      <c r="V8" s="767" t="s">
        <v>17</v>
      </c>
      <c r="W8" s="768">
        <f t="shared" si="2"/>
        <v>0</v>
      </c>
      <c r="X8" s="769"/>
      <c r="Y8" s="3259" t="s">
        <v>2551</v>
      </c>
      <c r="Z8" s="3260"/>
      <c r="AA8" s="770" t="e">
        <f t="shared" ref="AA8:AA40" si="3">D8/F8</f>
        <v>#DIV/0!</v>
      </c>
      <c r="AB8" s="770" t="e">
        <f t="shared" ref="AB8:AB40" si="4">D8/H8</f>
        <v>#DIV/0!</v>
      </c>
      <c r="AC8" s="770" t="e">
        <f t="shared" ref="AC8:AC40" si="5">D8/J8</f>
        <v>#DIV/0!</v>
      </c>
    </row>
    <row r="9" spans="1:29" s="117" customFormat="1" ht="14.4">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30"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770">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74"/>
      <c r="Z11" s="55" t="str">
        <f t="shared" si="7"/>
        <v>容积率</v>
      </c>
      <c r="AA11" s="770" t="e">
        <f t="shared" si="3"/>
        <v>#N/A</v>
      </c>
      <c r="AB11" s="770" t="e">
        <f t="shared" si="4"/>
        <v>#N/A</v>
      </c>
      <c r="AC11" s="770"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770">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74"/>
      <c r="Z14" s="55">
        <f t="shared" si="7"/>
        <v>111</v>
      </c>
      <c r="AA14" s="770">
        <f t="shared" si="3"/>
        <v>1</v>
      </c>
      <c r="AB14" s="770">
        <f t="shared" si="4"/>
        <v>1</v>
      </c>
      <c r="AC14" s="770">
        <f t="shared" si="5"/>
        <v>1</v>
      </c>
    </row>
    <row r="15" spans="1:29" ht="69">
      <c r="A15" s="439" t="s">
        <v>2558</v>
      </c>
      <c r="B15" s="69" t="s">
        <v>2702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2" t="s">
        <v>2559</v>
      </c>
      <c r="Q15" s="1807" t="str">
        <f t="shared" si="6"/>
        <v>产业集聚程度</v>
      </c>
      <c r="R15" s="771" t="s">
        <v>17</v>
      </c>
      <c r="S15" s="772">
        <f t="shared" si="0"/>
        <v>100</v>
      </c>
      <c r="T15" s="771" t="s">
        <v>17</v>
      </c>
      <c r="U15" s="772">
        <f t="shared" si="1"/>
        <v>100</v>
      </c>
      <c r="V15" s="771" t="s">
        <v>17</v>
      </c>
      <c r="W15" s="772">
        <f t="shared" si="2"/>
        <v>100</v>
      </c>
      <c r="X15" s="1810"/>
      <c r="Y15" s="3232" t="s">
        <v>2559</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3"/>
      <c r="Q16" s="1807"/>
      <c r="R16" s="771"/>
      <c r="S16" s="772"/>
      <c r="T16" s="771"/>
      <c r="U16" s="772"/>
      <c r="V16" s="771"/>
      <c r="W16" s="772"/>
      <c r="X16" s="1810"/>
      <c r="Y16" s="3233"/>
      <c r="Z16" s="1811"/>
      <c r="AA16" s="1808">
        <v>1</v>
      </c>
      <c r="AB16" s="1808">
        <v>1</v>
      </c>
      <c r="AC16" s="1808">
        <v>1</v>
      </c>
    </row>
    <row r="17" spans="1:29" ht="96.6">
      <c r="A17" s="427"/>
      <c r="B17" s="450" t="s">
        <v>2095</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3"/>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7"/>
      <c r="B18" s="455"/>
      <c r="C18" s="2607"/>
      <c r="D18" s="449"/>
      <c r="E18" s="2609"/>
      <c r="F18" s="452"/>
      <c r="G18" s="2608"/>
      <c r="H18" s="447"/>
      <c r="I18" s="2609"/>
      <c r="J18" s="447"/>
      <c r="K18" s="614"/>
      <c r="L18" s="1137"/>
      <c r="M18" s="1128"/>
      <c r="N18" s="1128"/>
      <c r="O18" s="1136"/>
      <c r="P18" s="3233"/>
      <c r="Q18" s="1807"/>
      <c r="R18" s="771"/>
      <c r="S18" s="772"/>
      <c r="T18" s="771"/>
      <c r="U18" s="772"/>
      <c r="V18" s="771"/>
      <c r="W18" s="772"/>
      <c r="X18" s="1810"/>
      <c r="Y18" s="3233"/>
      <c r="Z18" s="1811"/>
      <c r="AA18" s="1808">
        <v>1</v>
      </c>
      <c r="AB18" s="1808">
        <v>1</v>
      </c>
      <c r="AC18" s="1808">
        <v>1</v>
      </c>
    </row>
    <row r="19" spans="1:29" ht="41.4">
      <c r="A19" s="427"/>
      <c r="B19" s="450" t="s">
        <v>2687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3"/>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1808">
        <f t="shared" si="5"/>
        <v>1</v>
      </c>
    </row>
    <row r="20" spans="1:29" ht="15">
      <c r="A20" s="427"/>
      <c r="B20" s="455"/>
      <c r="C20" s="446"/>
      <c r="D20" s="447"/>
      <c r="E20" s="2604"/>
      <c r="F20" s="448"/>
      <c r="G20" s="2603"/>
      <c r="H20" s="447"/>
      <c r="I20" s="2604"/>
      <c r="J20" s="447"/>
      <c r="K20" s="614"/>
      <c r="L20" s="1137"/>
      <c r="M20" s="1128"/>
      <c r="N20" s="1128"/>
      <c r="O20" s="1136"/>
      <c r="P20" s="3233"/>
      <c r="Q20" s="1807"/>
      <c r="R20" s="771"/>
      <c r="S20" s="772"/>
      <c r="T20" s="771"/>
      <c r="U20" s="772"/>
      <c r="V20" s="771"/>
      <c r="W20" s="772"/>
      <c r="X20" s="1810"/>
      <c r="Y20" s="3233"/>
      <c r="Z20" s="1811"/>
      <c r="AA20" s="1808">
        <v>1</v>
      </c>
      <c r="AB20" s="1808">
        <v>1</v>
      </c>
      <c r="AC20" s="1808">
        <v>1</v>
      </c>
    </row>
    <row r="21" spans="1:29" ht="41.4">
      <c r="A21" s="427"/>
      <c r="B21" s="1381" t="s">
        <v>2688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3"/>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7"/>
      <c r="B22" s="1381"/>
      <c r="C22" s="2607"/>
      <c r="D22" s="447"/>
      <c r="E22" s="446"/>
      <c r="F22" s="448"/>
      <c r="G22" s="446"/>
      <c r="H22" s="447"/>
      <c r="I22" s="446"/>
      <c r="J22" s="447"/>
      <c r="K22" s="1380"/>
      <c r="L22" s="1137"/>
      <c r="M22" s="1128"/>
      <c r="N22" s="1128"/>
      <c r="O22" s="1136"/>
      <c r="P22" s="3233"/>
      <c r="Q22" s="1807"/>
      <c r="R22" s="771"/>
      <c r="S22" s="772"/>
      <c r="T22" s="771"/>
      <c r="U22" s="772"/>
      <c r="V22" s="771"/>
      <c r="W22" s="772"/>
      <c r="X22" s="1810"/>
      <c r="Y22" s="3233"/>
      <c r="Z22" s="1811"/>
      <c r="AA22" s="1808">
        <v>1</v>
      </c>
      <c r="AB22" s="1808">
        <v>1</v>
      </c>
      <c r="AC22" s="1808">
        <v>1</v>
      </c>
    </row>
    <row r="23" spans="1:29" ht="82.8">
      <c r="A23" s="427"/>
      <c r="B23" s="450" t="s">
        <v>2689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3"/>
      <c r="Q23" s="1807" t="str">
        <f>B23</f>
        <v>环境质量</v>
      </c>
      <c r="R23" s="771" t="s">
        <v>17</v>
      </c>
      <c r="S23" s="772">
        <f>F23</f>
        <v>100</v>
      </c>
      <c r="T23" s="771" t="s">
        <v>17</v>
      </c>
      <c r="U23" s="772">
        <f>H23</f>
        <v>100</v>
      </c>
      <c r="V23" s="771" t="s">
        <v>17</v>
      </c>
      <c r="W23" s="772">
        <f>J23</f>
        <v>100</v>
      </c>
      <c r="X23" s="1810"/>
      <c r="Y23" s="3233"/>
      <c r="Z23" s="1811" t="str">
        <f>Q23</f>
        <v>环境质量</v>
      </c>
      <c r="AA23" s="1808">
        <f t="shared" si="3"/>
        <v>1</v>
      </c>
      <c r="AB23" s="1808">
        <f t="shared" si="4"/>
        <v>1</v>
      </c>
      <c r="AC23" s="1808">
        <f t="shared" si="5"/>
        <v>1</v>
      </c>
    </row>
    <row r="24" spans="1:29" ht="15">
      <c r="A24" s="427"/>
      <c r="B24" s="1381"/>
      <c r="C24" s="446"/>
      <c r="D24" s="447"/>
      <c r="E24" s="2604"/>
      <c r="F24" s="448"/>
      <c r="G24" s="2603"/>
      <c r="H24" s="447"/>
      <c r="I24" s="2604"/>
      <c r="J24" s="447"/>
      <c r="K24" s="614"/>
      <c r="L24" s="1137"/>
      <c r="M24" s="1128"/>
      <c r="N24" s="1128"/>
      <c r="O24" s="1136"/>
      <c r="P24" s="3233"/>
      <c r="Q24" s="1807"/>
      <c r="R24" s="771"/>
      <c r="S24" s="772"/>
      <c r="T24" s="771"/>
      <c r="U24" s="772"/>
      <c r="V24" s="771"/>
      <c r="W24" s="772"/>
      <c r="X24" s="1810"/>
      <c r="Y24" s="3233"/>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3"/>
      <c r="Q25" s="1807">
        <f>B25</f>
        <v>111</v>
      </c>
      <c r="R25" s="771" t="s">
        <v>17</v>
      </c>
      <c r="S25" s="772">
        <f>F25</f>
        <v>100</v>
      </c>
      <c r="T25" s="771" t="s">
        <v>17</v>
      </c>
      <c r="U25" s="772">
        <f>H25</f>
        <v>100</v>
      </c>
      <c r="V25" s="771" t="s">
        <v>17</v>
      </c>
      <c r="W25" s="772">
        <f>J25</f>
        <v>100</v>
      </c>
      <c r="X25" s="1810"/>
      <c r="Y25" s="3233"/>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3"/>
      <c r="Q26" s="1807">
        <f t="shared" ref="Q26:Q40" si="11">B26</f>
        <v>111</v>
      </c>
      <c r="R26" s="771" t="s">
        <v>17</v>
      </c>
      <c r="S26" s="772">
        <f>F26</f>
        <v>100</v>
      </c>
      <c r="T26" s="771" t="s">
        <v>17</v>
      </c>
      <c r="U26" s="772">
        <f>H26</f>
        <v>100</v>
      </c>
      <c r="V26" s="771" t="s">
        <v>17</v>
      </c>
      <c r="W26" s="772">
        <f>J26</f>
        <v>100</v>
      </c>
      <c r="X26" s="1810"/>
      <c r="Y26" s="3233"/>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3"/>
      <c r="Q27" s="1792">
        <f t="shared" si="11"/>
        <v>111</v>
      </c>
      <c r="R27" s="767" t="s">
        <v>17</v>
      </c>
      <c r="S27" s="768">
        <f>F27</f>
        <v>100</v>
      </c>
      <c r="T27" s="767" t="s">
        <v>17</v>
      </c>
      <c r="U27" s="768">
        <f>H27</f>
        <v>100</v>
      </c>
      <c r="V27" s="767" t="s">
        <v>17</v>
      </c>
      <c r="W27" s="768">
        <f>J27</f>
        <v>100</v>
      </c>
      <c r="X27" s="769"/>
      <c r="Y27" s="3233"/>
      <c r="Z27" s="55">
        <f>Q27</f>
        <v>111</v>
      </c>
      <c r="AA27" s="1808">
        <f>D27/F27</f>
        <v>1</v>
      </c>
      <c r="AB27" s="1808">
        <f>D27/H27</f>
        <v>1</v>
      </c>
      <c r="AC27" s="1808">
        <f>D27/J27</f>
        <v>1</v>
      </c>
    </row>
    <row r="28" spans="1:29" ht="15.6"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3"/>
      <c r="Q28" s="1807">
        <f t="shared" si="11"/>
        <v>111</v>
      </c>
      <c r="R28" s="771" t="s">
        <v>17</v>
      </c>
      <c r="S28" s="772">
        <f t="shared" ref="S28:S40" si="12">F28</f>
        <v>100</v>
      </c>
      <c r="T28" s="771" t="s">
        <v>17</v>
      </c>
      <c r="U28" s="772">
        <f t="shared" ref="U28:U40" si="13">H28</f>
        <v>100</v>
      </c>
      <c r="V28" s="771" t="s">
        <v>17</v>
      </c>
      <c r="W28" s="772">
        <f t="shared" ref="W28:W40" si="14">J28</f>
        <v>100</v>
      </c>
      <c r="X28" s="1810"/>
      <c r="Y28" s="3233"/>
      <c r="Z28" s="1811">
        <f t="shared" ref="Z28:Z40" si="15">Q28</f>
        <v>111</v>
      </c>
      <c r="AA28" s="1808">
        <f t="shared" si="3"/>
        <v>1</v>
      </c>
      <c r="AB28" s="1808">
        <f t="shared" si="4"/>
        <v>1</v>
      </c>
      <c r="AC28" s="1808">
        <f t="shared" si="5"/>
        <v>1</v>
      </c>
    </row>
    <row r="29" spans="1:29" ht="30">
      <c r="A29" s="465" t="s">
        <v>2562</v>
      </c>
      <c r="B29" s="71" t="s">
        <v>2692</v>
      </c>
      <c r="C29" s="2678"/>
      <c r="D29" s="466">
        <v>100</v>
      </c>
      <c r="E29" s="2678"/>
      <c r="F29" s="460">
        <f>SUMIF(88:88,E29,89:89)-SUMIF(88:88,C29,89:89)+100</f>
        <v>100</v>
      </c>
      <c r="G29" s="2678"/>
      <c r="H29" s="434">
        <f>SUMIF(88:88,G29,89:89)-SUMIF(88:88,C29,89:89)+100</f>
        <v>100</v>
      </c>
      <c r="I29" s="2678"/>
      <c r="J29" s="466">
        <f>SUMIF(88:88,I29,89:89)-SUMIF(88:88,C29,89:89)+100</f>
        <v>100</v>
      </c>
      <c r="K29" s="611"/>
      <c r="L29" s="1137"/>
      <c r="M29" s="1128"/>
      <c r="N29" s="1128"/>
      <c r="O29" s="1136"/>
      <c r="P29" s="3234" t="s">
        <v>2564</v>
      </c>
      <c r="Q29" s="1807" t="str">
        <f t="shared" si="11"/>
        <v>建筑类型</v>
      </c>
      <c r="R29" s="771" t="s">
        <v>17</v>
      </c>
      <c r="S29" s="772">
        <f t="shared" si="12"/>
        <v>100</v>
      </c>
      <c r="T29" s="771" t="s">
        <v>17</v>
      </c>
      <c r="U29" s="772">
        <f t="shared" si="13"/>
        <v>100</v>
      </c>
      <c r="V29" s="771" t="s">
        <v>17</v>
      </c>
      <c r="W29" s="772">
        <f t="shared" si="14"/>
        <v>100</v>
      </c>
      <c r="X29" s="1810"/>
      <c r="Y29" s="3235" t="s">
        <v>2564</v>
      </c>
      <c r="Z29" s="1811" t="str">
        <f t="shared" si="15"/>
        <v>建筑类型</v>
      </c>
      <c r="AA29" s="1808">
        <f t="shared" si="3"/>
        <v>1</v>
      </c>
      <c r="AB29" s="1808">
        <f t="shared" si="4"/>
        <v>1</v>
      </c>
      <c r="AC29" s="1808">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3" t="str">
        <f t="shared" si="11"/>
        <v>项目建筑规模</v>
      </c>
      <c r="R30" s="774" t="s">
        <v>17</v>
      </c>
      <c r="S30" s="775" t="e">
        <f t="shared" si="12"/>
        <v>#N/A</v>
      </c>
      <c r="T30" s="774" t="s">
        <v>17</v>
      </c>
      <c r="U30" s="775" t="e">
        <f t="shared" si="13"/>
        <v>#N/A</v>
      </c>
      <c r="V30" s="774" t="s">
        <v>17</v>
      </c>
      <c r="W30" s="775" t="e">
        <f t="shared" si="14"/>
        <v>#N/A</v>
      </c>
      <c r="X30" s="776"/>
      <c r="Y30" s="3235"/>
      <c r="Z30" s="777" t="str">
        <f t="shared" si="15"/>
        <v>项目建筑规模</v>
      </c>
      <c r="AA30" s="1808" t="e">
        <f t="shared" si="3"/>
        <v>#N/A</v>
      </c>
      <c r="AB30" s="1808" t="e">
        <f t="shared" si="4"/>
        <v>#N/A</v>
      </c>
      <c r="AC30" s="1808"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1" t="s">
        <v>17</v>
      </c>
      <c r="S31" s="772">
        <f t="shared" si="12"/>
        <v>100</v>
      </c>
      <c r="T31" s="771" t="s">
        <v>17</v>
      </c>
      <c r="U31" s="772">
        <f t="shared" si="13"/>
        <v>100</v>
      </c>
      <c r="V31" s="771" t="s">
        <v>17</v>
      </c>
      <c r="W31" s="772">
        <f t="shared" si="14"/>
        <v>100</v>
      </c>
      <c r="X31" s="1810"/>
      <c r="Y31" s="3235"/>
      <c r="Z31" s="1811" t="str">
        <f t="shared" si="15"/>
        <v>建筑结构</v>
      </c>
      <c r="AA31" s="1808">
        <f t="shared" si="3"/>
        <v>1</v>
      </c>
      <c r="AB31" s="1808">
        <f t="shared" si="4"/>
        <v>1</v>
      </c>
      <c r="AC31" s="1808">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1" t="s">
        <v>17</v>
      </c>
      <c r="S32" s="772">
        <f t="shared" si="12"/>
        <v>100</v>
      </c>
      <c r="T32" s="771" t="s">
        <v>17</v>
      </c>
      <c r="U32" s="772">
        <f t="shared" si="13"/>
        <v>100</v>
      </c>
      <c r="V32" s="771" t="s">
        <v>17</v>
      </c>
      <c r="W32" s="772">
        <f t="shared" si="14"/>
        <v>100</v>
      </c>
      <c r="X32" s="1810"/>
      <c r="Y32" s="3235"/>
      <c r="Z32" s="1811" t="str">
        <f t="shared" si="15"/>
        <v>公共部分装修</v>
      </c>
      <c r="AA32" s="1808">
        <f t="shared" si="3"/>
        <v>1</v>
      </c>
      <c r="AB32" s="1808">
        <f t="shared" si="4"/>
        <v>1</v>
      </c>
      <c r="AC32" s="1808">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1" t="s">
        <v>17</v>
      </c>
      <c r="S33" s="772" t="e">
        <f t="shared" si="12"/>
        <v>#N/A</v>
      </c>
      <c r="T33" s="771" t="s">
        <v>17</v>
      </c>
      <c r="U33" s="772" t="e">
        <f t="shared" si="13"/>
        <v>#N/A</v>
      </c>
      <c r="V33" s="771" t="s">
        <v>17</v>
      </c>
      <c r="W33" s="772"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7" t="s">
        <v>17</v>
      </c>
      <c r="S34" s="768">
        <f t="shared" si="12"/>
        <v>100</v>
      </c>
      <c r="T34" s="767" t="s">
        <v>17</v>
      </c>
      <c r="U34" s="768">
        <f t="shared" si="13"/>
        <v>100</v>
      </c>
      <c r="V34" s="767" t="s">
        <v>17</v>
      </c>
      <c r="W34" s="768">
        <f t="shared" si="14"/>
        <v>100</v>
      </c>
      <c r="X34" s="769"/>
      <c r="Y34" s="3235"/>
      <c r="Z34" s="55"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2564</v>
      </c>
      <c r="Q35" s="1807" t="str">
        <f t="shared" si="11"/>
        <v>市政基础设施</v>
      </c>
      <c r="R35" s="771" t="s">
        <v>17</v>
      </c>
      <c r="S35" s="772">
        <f t="shared" si="12"/>
        <v>100</v>
      </c>
      <c r="T35" s="771" t="s">
        <v>17</v>
      </c>
      <c r="U35" s="772">
        <f t="shared" si="13"/>
        <v>100</v>
      </c>
      <c r="V35" s="771" t="s">
        <v>17</v>
      </c>
      <c r="W35" s="772">
        <f t="shared" si="14"/>
        <v>100</v>
      </c>
      <c r="X35" s="1810"/>
      <c r="Y35" s="3235" t="s">
        <v>2564</v>
      </c>
      <c r="Z35" s="1811" t="str">
        <f t="shared" si="15"/>
        <v>市政基础设施</v>
      </c>
      <c r="AA35" s="1808">
        <f t="shared" si="3"/>
        <v>1</v>
      </c>
      <c r="AB35" s="1808">
        <f t="shared" si="4"/>
        <v>1</v>
      </c>
      <c r="AC35" s="1808">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1" t="s">
        <v>17</v>
      </c>
      <c r="S36" s="772">
        <f t="shared" si="12"/>
        <v>100</v>
      </c>
      <c r="T36" s="771" t="s">
        <v>17</v>
      </c>
      <c r="U36" s="772">
        <f t="shared" si="13"/>
        <v>100</v>
      </c>
      <c r="V36" s="771" t="s">
        <v>17</v>
      </c>
      <c r="W36" s="772">
        <f t="shared" si="14"/>
        <v>100</v>
      </c>
      <c r="X36" s="1810"/>
      <c r="Y36" s="3235"/>
      <c r="Z36" s="1811" t="str">
        <f t="shared" si="15"/>
        <v>内部装修</v>
      </c>
      <c r="AA36" s="1808">
        <f t="shared" si="3"/>
        <v>1</v>
      </c>
      <c r="AB36" s="1808">
        <f t="shared" si="4"/>
        <v>1</v>
      </c>
      <c r="AC36" s="1808">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1" t="s">
        <v>17</v>
      </c>
      <c r="S37" s="772">
        <f t="shared" si="12"/>
        <v>100</v>
      </c>
      <c r="T37" s="771" t="s">
        <v>17</v>
      </c>
      <c r="U37" s="772">
        <f t="shared" si="13"/>
        <v>100</v>
      </c>
      <c r="V37" s="771" t="s">
        <v>17</v>
      </c>
      <c r="W37" s="772">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3">
        <f t="shared" si="11"/>
        <v>111</v>
      </c>
      <c r="R38" s="774" t="s">
        <v>17</v>
      </c>
      <c r="S38" s="775">
        <f t="shared" si="12"/>
        <v>100</v>
      </c>
      <c r="T38" s="774" t="s">
        <v>17</v>
      </c>
      <c r="U38" s="775">
        <f t="shared" si="13"/>
        <v>100</v>
      </c>
      <c r="V38" s="774" t="s">
        <v>17</v>
      </c>
      <c r="W38" s="775">
        <f t="shared" si="14"/>
        <v>100</v>
      </c>
      <c r="X38" s="776"/>
      <c r="Y38" s="3235"/>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1" t="s">
        <v>17</v>
      </c>
      <c r="S39" s="772">
        <f t="shared" si="12"/>
        <v>100</v>
      </c>
      <c r="T39" s="771" t="s">
        <v>17</v>
      </c>
      <c r="U39" s="772">
        <f t="shared" si="13"/>
        <v>100</v>
      </c>
      <c r="V39" s="771" t="s">
        <v>17</v>
      </c>
      <c r="W39" s="772">
        <f t="shared" si="14"/>
        <v>100</v>
      </c>
      <c r="X39" s="1810"/>
      <c r="Y39" s="3235"/>
      <c r="Z39" s="1811">
        <f t="shared" si="15"/>
        <v>111</v>
      </c>
      <c r="AA39" s="1808">
        <f t="shared" si="3"/>
        <v>1</v>
      </c>
      <c r="AB39" s="1808">
        <f t="shared" si="4"/>
        <v>1</v>
      </c>
      <c r="AC39" s="1808">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94"/>
      <c r="Q40" s="1807">
        <f t="shared" si="11"/>
        <v>111</v>
      </c>
      <c r="R40" s="771" t="s">
        <v>17</v>
      </c>
      <c r="S40" s="772">
        <f t="shared" si="12"/>
        <v>100</v>
      </c>
      <c r="T40" s="771" t="s">
        <v>17</v>
      </c>
      <c r="U40" s="772">
        <f t="shared" si="13"/>
        <v>100</v>
      </c>
      <c r="V40" s="771" t="s">
        <v>17</v>
      </c>
      <c r="W40" s="772">
        <f t="shared" si="14"/>
        <v>100</v>
      </c>
      <c r="X40" s="1810"/>
      <c r="Y40" s="3294"/>
      <c r="Z40" s="1811">
        <f t="shared" si="15"/>
        <v>111</v>
      </c>
      <c r="AA40" s="1808">
        <f t="shared" si="3"/>
        <v>1</v>
      </c>
      <c r="AB40" s="1808">
        <f t="shared" si="4"/>
        <v>1</v>
      </c>
      <c r="AC40" s="1808">
        <f t="shared" si="5"/>
        <v>1</v>
      </c>
    </row>
    <row r="41" spans="1:29" ht="14.4">
      <c r="A41" s="478" t="s">
        <v>2576</v>
      </c>
      <c r="B41" s="479"/>
      <c r="C41" s="1404" t="s">
        <v>1</v>
      </c>
      <c r="D41" s="1405"/>
      <c r="E41" s="1406"/>
      <c r="F41" s="1407"/>
      <c r="G41" s="1408"/>
      <c r="H41" s="1409"/>
      <c r="I41" s="1406"/>
      <c r="J41" s="1409"/>
      <c r="K41" s="780"/>
      <c r="L41" s="1140"/>
      <c r="M41" s="1141"/>
      <c r="N41" s="1128"/>
      <c r="O41" s="1141"/>
      <c r="P41" s="3230" t="str">
        <f>A41</f>
        <v>成交单价（元/平方米）</v>
      </c>
      <c r="Q41" s="3230"/>
      <c r="R41" s="3287">
        <f>E41</f>
        <v>0</v>
      </c>
      <c r="S41" s="3287"/>
      <c r="T41" s="3287">
        <f>G41</f>
        <v>0</v>
      </c>
      <c r="U41" s="3287"/>
      <c r="V41" s="3287">
        <f>I41</f>
        <v>0</v>
      </c>
      <c r="W41" s="3287"/>
      <c r="X41" s="756"/>
      <c r="Y41" s="778"/>
      <c r="Z41" s="756"/>
      <c r="AA41" s="756"/>
      <c r="AB41" s="756"/>
      <c r="AC41" s="756"/>
    </row>
    <row r="42" spans="1:29" ht="15" thickBot="1">
      <c r="A42" s="485" t="s">
        <v>2668</v>
      </c>
      <c r="B42" s="486"/>
      <c r="C42" s="1410" t="e">
        <f>R43</f>
        <v>#DIV/0!</v>
      </c>
      <c r="D42" s="1411"/>
      <c r="E42" s="1412" t="e">
        <f>R42</f>
        <v>#DIV/0!</v>
      </c>
      <c r="F42" s="1412"/>
      <c r="G42" s="1410" t="e">
        <f>T42</f>
        <v>#DIV/0!</v>
      </c>
      <c r="H42" s="1411"/>
      <c r="I42" s="1412" t="e">
        <f>V42</f>
        <v>#DIV/0!</v>
      </c>
      <c r="J42" s="1411"/>
      <c r="K42" s="781"/>
      <c r="L42" s="1140"/>
      <c r="M42" s="1141"/>
      <c r="N42" s="1128"/>
      <c r="O42" s="1141"/>
      <c r="P42" s="3230" t="str">
        <f>A42</f>
        <v>比较价值（元/平方米）</v>
      </c>
      <c r="Q42" s="3230"/>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6"/>
      <c r="Y42" s="756"/>
      <c r="Z42" s="756"/>
      <c r="AA42" s="756"/>
      <c r="AB42" s="756"/>
      <c r="AC42" s="756"/>
    </row>
    <row r="43" spans="1:29" ht="15" thickBot="1">
      <c r="A43" s="491" t="s">
        <v>2669</v>
      </c>
      <c r="B43" s="492"/>
      <c r="C43" s="1414" t="e">
        <f>R43</f>
        <v>#DIV/0!</v>
      </c>
      <c r="D43" s="1414"/>
      <c r="E43" s="1414"/>
      <c r="F43" s="1414"/>
      <c r="G43" s="1414"/>
      <c r="H43" s="1414"/>
      <c r="I43" s="1414"/>
      <c r="J43" s="1414"/>
      <c r="K43" s="782"/>
      <c r="L43" s="1140"/>
      <c r="M43" s="1141"/>
      <c r="N43" s="1141"/>
      <c r="O43" s="1141"/>
      <c r="P43" s="3224" t="str">
        <f>A43</f>
        <v>估价对象XX用房的比较价值（楼面单价，元/平方米）</v>
      </c>
      <c r="Q43" s="3225"/>
      <c r="R43" s="3288" t="e">
        <f>IF(F1="售价",ROUND(AVERAGE(R42:V42),0),ROUND(AVERAGE(R42:V42),1))</f>
        <v>#DIV/0!</v>
      </c>
      <c r="S43" s="3288"/>
      <c r="T43" s="3288"/>
      <c r="U43" s="3288"/>
      <c r="V43" s="3288"/>
      <c r="W43" s="328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2673</v>
      </c>
      <c r="B51" s="756"/>
      <c r="C51" s="761"/>
      <c r="D51" s="761"/>
      <c r="E51" s="761"/>
      <c r="F51" s="762"/>
      <c r="G51" s="762"/>
      <c r="H51" s="761"/>
      <c r="I51" s="761"/>
      <c r="J51" s="761"/>
      <c r="K51" s="1157"/>
      <c r="L51" s="1158"/>
      <c r="M51" s="1156"/>
      <c r="N51" s="1156"/>
      <c r="O51" s="1156"/>
      <c r="P51" s="502"/>
      <c r="Q51" s="503"/>
    </row>
    <row r="52" spans="1:17" s="507" customFormat="1" ht="14.4">
      <c r="A52" s="504" t="s">
        <v>2547</v>
      </c>
      <c r="B52" s="505"/>
      <c r="C52" s="1571" t="str">
        <f>YEAR(C7)&amp;"-"&amp;MONTH(C7)</f>
        <v>2020-1</v>
      </c>
      <c r="D52" s="1572">
        <f>EDATE(C52,-1)</f>
        <v>43800</v>
      </c>
      <c r="E52" s="1572">
        <f t="shared" ref="E52:O52" si="16">EDATE(D52,-1)</f>
        <v>43770</v>
      </c>
      <c r="F52" s="1572">
        <f t="shared" si="16"/>
        <v>43739</v>
      </c>
      <c r="G52" s="1572">
        <f t="shared" si="16"/>
        <v>43709</v>
      </c>
      <c r="H52" s="1572">
        <f t="shared" si="16"/>
        <v>43678</v>
      </c>
      <c r="I52" s="1572">
        <f t="shared" si="16"/>
        <v>43647</v>
      </c>
      <c r="J52" s="1572">
        <f t="shared" si="16"/>
        <v>43617</v>
      </c>
      <c r="K52" s="1572">
        <f t="shared" si="16"/>
        <v>43586</v>
      </c>
      <c r="L52" s="1572">
        <f t="shared" si="16"/>
        <v>43556</v>
      </c>
      <c r="M52" s="1572">
        <f t="shared" si="16"/>
        <v>43525</v>
      </c>
      <c r="N52" s="1572">
        <f t="shared" si="16"/>
        <v>43497</v>
      </c>
      <c r="O52" s="1572">
        <f t="shared" si="16"/>
        <v>43466</v>
      </c>
      <c r="P52" s="506"/>
    </row>
    <row r="53" spans="1:17" s="117" customFormat="1">
      <c r="A53" s="508"/>
      <c r="B53" s="509"/>
      <c r="C53" s="1570">
        <v>100</v>
      </c>
      <c r="D53" s="511"/>
      <c r="E53" s="511"/>
      <c r="F53" s="511"/>
      <c r="G53" s="511"/>
      <c r="H53" s="511"/>
      <c r="I53" s="511"/>
      <c r="J53" s="511"/>
      <c r="K53" s="511"/>
      <c r="L53" s="511"/>
      <c r="M53" s="512"/>
      <c r="N53" s="511"/>
      <c r="O53" s="513"/>
      <c r="P53" s="503"/>
    </row>
    <row r="54" spans="1:17" s="117" customFormat="1" ht="15" thickBot="1">
      <c r="A54" s="514" t="s">
        <v>2584</v>
      </c>
      <c r="B54" s="515"/>
      <c r="C54" s="516"/>
      <c r="D54" s="517"/>
      <c r="E54" s="517"/>
      <c r="F54" s="517"/>
      <c r="G54" s="517"/>
      <c r="H54" s="517"/>
      <c r="I54" s="517"/>
      <c r="J54" s="517"/>
      <c r="K54" s="517"/>
      <c r="L54" s="517"/>
      <c r="M54" s="518"/>
      <c r="N54" s="517"/>
      <c r="O54" s="519"/>
      <c r="P54" s="503"/>
      <c r="Q54" s="503"/>
    </row>
    <row r="55" spans="1:17" s="117" customFormat="1" ht="14.4">
      <c r="A55" s="520" t="s">
        <v>2549</v>
      </c>
      <c r="B55" s="509"/>
      <c r="C55" s="521" t="s">
        <v>2651</v>
      </c>
      <c r="D55" s="522"/>
      <c r="E55" s="522"/>
      <c r="F55" s="522"/>
      <c r="G55" s="522"/>
      <c r="H55" s="522"/>
      <c r="I55" s="522"/>
      <c r="J55" s="522"/>
      <c r="K55" s="522"/>
      <c r="L55" s="523"/>
      <c r="M55" s="524"/>
      <c r="N55" s="1148"/>
      <c r="O55" s="1148"/>
      <c r="P55" s="525"/>
      <c r="Q55" s="503"/>
    </row>
    <row r="56" spans="1:17" s="117" customFormat="1" ht="14.4" thickBot="1">
      <c r="A56" s="520"/>
      <c r="B56" s="509"/>
      <c r="C56" s="637">
        <v>100</v>
      </c>
      <c r="D56" s="511"/>
      <c r="E56" s="511"/>
      <c r="F56" s="511"/>
      <c r="G56" s="511"/>
      <c r="H56" s="511"/>
      <c r="I56" s="511"/>
      <c r="J56" s="511"/>
      <c r="K56" s="511"/>
      <c r="L56" s="511"/>
      <c r="M56" s="513"/>
      <c r="N56" s="1148"/>
      <c r="O56" s="1148"/>
      <c r="P56" s="503"/>
      <c r="Q56" s="503"/>
    </row>
    <row r="57" spans="1:17" ht="14.4">
      <c r="A57" s="526" t="s">
        <v>2587</v>
      </c>
      <c r="B57" s="527" t="s">
        <v>2553</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2688</v>
      </c>
      <c r="C76" s="658" t="s">
        <v>2674</v>
      </c>
      <c r="D76" s="658" t="s">
        <v>2675</v>
      </c>
      <c r="E76" s="658" t="s">
        <v>2676</v>
      </c>
      <c r="F76" s="658" t="s">
        <v>2677</v>
      </c>
      <c r="G76" s="658" t="s">
        <v>2678</v>
      </c>
      <c r="H76" s="538"/>
      <c r="I76" s="538"/>
      <c r="J76" s="538"/>
      <c r="K76" s="538"/>
      <c r="L76" s="538"/>
      <c r="M76" s="1379"/>
      <c r="N76" s="1150"/>
      <c r="O76" s="1150"/>
      <c r="P76" s="45"/>
      <c r="Q76" s="503"/>
    </row>
    <row r="77" spans="1:17" ht="14.4" thickBot="1">
      <c r="A77" s="533"/>
      <c r="B77" s="545"/>
      <c r="C77" s="543">
        <v>100</v>
      </c>
      <c r="D77" s="543">
        <f>C77-$K21</f>
        <v>100</v>
      </c>
      <c r="E77" s="543">
        <f>D77-$K21</f>
        <v>100</v>
      </c>
      <c r="F77" s="543">
        <f>E77-$K21</f>
        <v>100</v>
      </c>
      <c r="G77" s="543">
        <f>F77-$K21</f>
        <v>100</v>
      </c>
      <c r="H77" s="658"/>
      <c r="I77" s="658"/>
      <c r="J77" s="658"/>
      <c r="K77" s="658"/>
      <c r="L77" s="658"/>
      <c r="M77" s="449"/>
      <c r="N77" s="1150"/>
      <c r="O77" s="1150"/>
      <c r="P77" s="45"/>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4.4" thickTop="1">
      <c r="A80" s="578"/>
      <c r="B80" s="537">
        <f>B25</f>
        <v>111</v>
      </c>
      <c r="C80" s="553"/>
      <c r="D80" s="553"/>
      <c r="E80" s="553"/>
      <c r="F80" s="553"/>
      <c r="G80" s="553"/>
      <c r="H80" s="553"/>
      <c r="I80" s="553"/>
      <c r="J80" s="553"/>
      <c r="K80" s="553"/>
      <c r="L80" s="579"/>
      <c r="M80" s="580"/>
      <c r="N80" s="1148"/>
      <c r="O80" s="1148"/>
      <c r="P80" s="45"/>
      <c r="Q80" s="503"/>
    </row>
    <row r="81" spans="1:17" s="117" customFormat="1" ht="14.4" thickBot="1">
      <c r="A81" s="578"/>
      <c r="B81" s="542"/>
      <c r="C81" s="559"/>
      <c r="D81" s="535"/>
      <c r="E81" s="535"/>
      <c r="F81" s="535"/>
      <c r="G81" s="535"/>
      <c r="H81" s="535"/>
      <c r="I81" s="535"/>
      <c r="J81" s="535"/>
      <c r="K81" s="535"/>
      <c r="L81" s="535"/>
      <c r="M81" s="536"/>
      <c r="N81" s="1150"/>
      <c r="O81" s="1150"/>
      <c r="P81" s="45"/>
      <c r="Q81" s="503"/>
    </row>
    <row r="82" spans="1:17" s="117" customFormat="1" ht="14.4" thickTop="1">
      <c r="A82" s="578"/>
      <c r="B82" s="537">
        <f>B26</f>
        <v>111</v>
      </c>
      <c r="C82" s="553"/>
      <c r="D82" s="553"/>
      <c r="E82" s="553"/>
      <c r="F82" s="553"/>
      <c r="G82" s="553"/>
      <c r="H82" s="553"/>
      <c r="I82" s="553"/>
      <c r="J82" s="553"/>
      <c r="K82" s="553"/>
      <c r="L82" s="579"/>
      <c r="M82" s="580"/>
      <c r="N82" s="1148"/>
      <c r="O82" s="1148"/>
      <c r="P82" s="45"/>
      <c r="Q82" s="503"/>
    </row>
    <row r="83" spans="1:17" s="117"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35"/>
      <c r="B87" s="568"/>
      <c r="C87" s="569"/>
      <c r="D87" s="569"/>
      <c r="E87" s="569"/>
      <c r="F87" s="569"/>
      <c r="G87" s="590"/>
      <c r="H87" s="590"/>
      <c r="I87" s="590"/>
      <c r="J87" s="590"/>
      <c r="K87" s="590"/>
      <c r="L87" s="590"/>
      <c r="M87" s="591"/>
      <c r="N87" s="1150"/>
      <c r="O87" s="1150"/>
      <c r="P87" s="45"/>
      <c r="Q87" s="503"/>
    </row>
    <row r="88" spans="1:17" ht="14.4">
      <c r="A88" s="526" t="s">
        <v>2562</v>
      </c>
      <c r="B88" s="527" t="s">
        <v>2611</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2613</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2615</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1"/>
      <c r="J98" s="621"/>
      <c r="K98" s="622"/>
      <c r="L98" s="623"/>
      <c r="M98" s="624"/>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2616</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2617</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2619</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4" t="s">
        <v>2705</v>
      </c>
      <c r="C106" s="577" t="s">
        <v>2596</v>
      </c>
      <c r="D106" s="577" t="s">
        <v>2597</v>
      </c>
      <c r="E106" s="577" t="s">
        <v>2598</v>
      </c>
      <c r="F106" s="577" t="s">
        <v>2599</v>
      </c>
      <c r="G106" s="577" t="s">
        <v>2600</v>
      </c>
      <c r="H106" s="538"/>
      <c r="I106" s="538"/>
      <c r="J106" s="538"/>
      <c r="K106" s="539"/>
      <c r="L106" s="540"/>
      <c r="M106" s="541"/>
      <c r="N106" s="1150"/>
      <c r="O106" s="1150"/>
      <c r="P106" s="635"/>
      <c r="Q106" s="636"/>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35"/>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2706</v>
      </c>
      <c r="B1" s="1616"/>
      <c r="C1" s="1617" t="s">
        <v>2529</v>
      </c>
      <c r="D1" s="1618"/>
      <c r="E1" s="1619"/>
      <c r="F1" s="2583"/>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2326</v>
      </c>
      <c r="B2" s="1415" t="e">
        <f ca="1">IF(C2="——",IF(B37="元/平方米",ROUND(C39*D3/10000,0),ROUND(F3*C39/10000,0)),IF(B37="元/平方米",ROUND(C39*D3/10000,0),ROUND(F3*C39/10000,0))-D2)</f>
        <v>#DIV/0!</v>
      </c>
      <c r="C2" s="2585"/>
      <c r="D2" s="1121" t="e">
        <f ca="1">SUMIF(INDIRECT("'"&amp;F2&amp;"'"&amp;"!A:A"),"承租人权益价值",INDIRECT("'"&amp;F2&amp;"'"&amp;"!c:c"))</f>
        <v>#REF!</v>
      </c>
      <c r="E2" s="2586" t="s">
        <v>2327</v>
      </c>
      <c r="F2" s="2587"/>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8" t="s">
        <v>2647</v>
      </c>
      <c r="AC4" s="3237" t="s">
        <v>2648</v>
      </c>
    </row>
    <row r="5" spans="1:29">
      <c r="A5" s="403"/>
      <c r="B5" s="404"/>
      <c r="C5" s="3257" t="s">
        <v>2541</v>
      </c>
      <c r="D5" s="3258"/>
      <c r="E5" s="3264" t="s">
        <v>2542</v>
      </c>
      <c r="F5" s="3265"/>
      <c r="G5" s="3257" t="s">
        <v>2543</v>
      </c>
      <c r="H5" s="3258"/>
      <c r="I5" s="3257" t="s">
        <v>2544</v>
      </c>
      <c r="J5" s="3258"/>
      <c r="K5" s="609"/>
      <c r="L5" s="1127"/>
      <c r="M5" s="1128"/>
      <c r="N5" s="1128"/>
      <c r="O5" s="1128"/>
      <c r="P5" s="3245"/>
      <c r="Q5" s="3246"/>
      <c r="R5" s="3251"/>
      <c r="S5" s="3252"/>
      <c r="T5" s="3251"/>
      <c r="U5" s="3252"/>
      <c r="V5" s="3236"/>
      <c r="W5" s="3236"/>
      <c r="X5" s="1810"/>
      <c r="Y5" s="3251"/>
      <c r="Z5" s="3252"/>
      <c r="AA5" s="3238"/>
      <c r="AB5" s="3238"/>
      <c r="AC5" s="3238"/>
    </row>
    <row r="6" spans="1:29" ht="15" thickBot="1">
      <c r="A6" s="405"/>
      <c r="B6" s="406"/>
      <c r="C6" s="3255" t="s">
        <v>2545</v>
      </c>
      <c r="D6" s="3256"/>
      <c r="E6" s="3262" t="s">
        <v>2545</v>
      </c>
      <c r="F6" s="3263"/>
      <c r="G6" s="3255" t="s">
        <v>2545</v>
      </c>
      <c r="H6" s="3256"/>
      <c r="I6" s="3255" t="s">
        <v>2545</v>
      </c>
      <c r="J6" s="3256"/>
      <c r="K6" s="609" t="s">
        <v>2546</v>
      </c>
      <c r="L6" s="1127"/>
      <c r="M6" s="1128"/>
      <c r="N6" s="1128"/>
      <c r="O6" s="1128"/>
      <c r="P6" s="3247"/>
      <c r="Q6" s="3248"/>
      <c r="R6" s="3251"/>
      <c r="S6" s="3252"/>
      <c r="T6" s="3253"/>
      <c r="U6" s="3254"/>
      <c r="V6" s="3236"/>
      <c r="W6" s="3236"/>
      <c r="X6" s="1810"/>
      <c r="Y6" s="3253"/>
      <c r="Z6" s="3254"/>
      <c r="AA6" s="3239"/>
      <c r="AB6" s="3239"/>
      <c r="AC6" s="3239"/>
    </row>
    <row r="7" spans="1:29" s="117" customFormat="1" ht="15" thickBot="1">
      <c r="A7" s="407" t="s">
        <v>2547</v>
      </c>
      <c r="B7" s="408"/>
      <c r="C7" s="409">
        <f>'数据-取费表'!B2</f>
        <v>43845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59" t="s">
        <v>2548</v>
      </c>
      <c r="Q7" s="3261"/>
      <c r="R7" s="767" t="s">
        <v>17</v>
      </c>
      <c r="S7" s="768">
        <f t="shared" ref="S7:S14" si="0">F7</f>
        <v>0</v>
      </c>
      <c r="T7" s="767" t="s">
        <v>17</v>
      </c>
      <c r="U7" s="768">
        <f t="shared" ref="U7:U14" si="1">H7</f>
        <v>0</v>
      </c>
      <c r="V7" s="767" t="s">
        <v>17</v>
      </c>
      <c r="W7" s="768">
        <f t="shared" ref="W7:W14" si="2">J7</f>
        <v>0</v>
      </c>
      <c r="X7" s="769"/>
      <c r="Y7" s="3259" t="s">
        <v>2548</v>
      </c>
      <c r="Z7" s="3260"/>
      <c r="AA7" s="770" t="e">
        <f>D7/F7</f>
        <v>#DIV/0!</v>
      </c>
      <c r="AB7" s="770" t="e">
        <f>D7/H7</f>
        <v>#DIV/0!</v>
      </c>
      <c r="AC7" s="770" t="e">
        <f>D7/J7</f>
        <v>#DIV/0!</v>
      </c>
    </row>
    <row r="8" spans="1:29" s="117"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59" t="s">
        <v>2551</v>
      </c>
      <c r="Q8" s="3260"/>
      <c r="R8" s="767" t="s">
        <v>17</v>
      </c>
      <c r="S8" s="768">
        <f t="shared" si="0"/>
        <v>0</v>
      </c>
      <c r="T8" s="767" t="s">
        <v>17</v>
      </c>
      <c r="U8" s="768">
        <f t="shared" si="1"/>
        <v>0</v>
      </c>
      <c r="V8" s="767" t="s">
        <v>17</v>
      </c>
      <c r="W8" s="768">
        <f t="shared" si="2"/>
        <v>0</v>
      </c>
      <c r="X8" s="769"/>
      <c r="Y8" s="3259" t="s">
        <v>2551</v>
      </c>
      <c r="Z8" s="3260"/>
      <c r="AA8" s="770" t="e">
        <f t="shared" ref="AA8:AA36" si="3">D8/F8</f>
        <v>#DIV/0!</v>
      </c>
      <c r="AB8" s="770" t="e">
        <f t="shared" ref="AB8:AB36" si="4">D8/H8</f>
        <v>#DIV/0!</v>
      </c>
      <c r="AC8" s="770" t="e">
        <f t="shared" ref="AC8:AC36" si="5">D8/J8</f>
        <v>#DIV/0!</v>
      </c>
    </row>
    <row r="9" spans="1:29" s="117" customFormat="1" ht="14.4">
      <c r="A9" s="68" t="s">
        <v>2552</v>
      </c>
      <c r="B9" s="638" t="s">
        <v>2553</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30" t="s">
        <v>2554</v>
      </c>
      <c r="Q9" s="1792" t="str">
        <f t="shared" ref="Q9:Q14" si="6">B9</f>
        <v>用途</v>
      </c>
      <c r="R9" s="767" t="s">
        <v>17</v>
      </c>
      <c r="S9" s="768">
        <f t="shared" si="0"/>
        <v>100</v>
      </c>
      <c r="T9" s="767" t="s">
        <v>17</v>
      </c>
      <c r="U9" s="768">
        <f t="shared" si="1"/>
        <v>100</v>
      </c>
      <c r="V9" s="767" t="s">
        <v>17</v>
      </c>
      <c r="W9" s="768">
        <f t="shared" si="2"/>
        <v>100</v>
      </c>
      <c r="X9" s="769"/>
      <c r="Y9" s="3074" t="s">
        <v>2555</v>
      </c>
      <c r="Z9" s="55" t="str">
        <f t="shared" ref="Z9:Z14" si="7">Q9</f>
        <v>用途</v>
      </c>
      <c r="AA9" s="770">
        <f t="shared" si="3"/>
        <v>1</v>
      </c>
      <c r="AB9" s="770">
        <f t="shared" si="4"/>
        <v>1</v>
      </c>
      <c r="AC9" s="770">
        <f t="shared" si="5"/>
        <v>1</v>
      </c>
    </row>
    <row r="10" spans="1:29" s="426" customFormat="1" ht="28.8">
      <c r="A10" s="639"/>
      <c r="B10" s="640" t="s">
        <v>2556</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30"/>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30"/>
      <c r="Q11" s="1792">
        <f t="shared" si="6"/>
        <v>111</v>
      </c>
      <c r="R11" s="767" t="s">
        <v>17</v>
      </c>
      <c r="S11" s="768">
        <f t="shared" si="0"/>
        <v>100</v>
      </c>
      <c r="T11" s="767" t="s">
        <v>17</v>
      </c>
      <c r="U11" s="768">
        <f t="shared" si="1"/>
        <v>100</v>
      </c>
      <c r="V11" s="767" t="s">
        <v>17</v>
      </c>
      <c r="W11" s="768">
        <f t="shared" si="2"/>
        <v>100</v>
      </c>
      <c r="X11" s="769"/>
      <c r="Y11" s="3074"/>
      <c r="Z11" s="55">
        <f t="shared" si="7"/>
        <v>111</v>
      </c>
      <c r="AA11" s="770">
        <f t="shared" si="3"/>
        <v>1</v>
      </c>
      <c r="AB11" s="770">
        <f t="shared" si="4"/>
        <v>1</v>
      </c>
      <c r="AC11" s="770">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30"/>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770">
        <f>D12/J12</f>
        <v>1</v>
      </c>
    </row>
    <row r="13" spans="1:29" ht="15.6"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30"/>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770">
        <f t="shared" si="5"/>
        <v>1</v>
      </c>
    </row>
    <row r="14" spans="1:29" ht="96.6">
      <c r="A14" s="400" t="s">
        <v>2558</v>
      </c>
      <c r="B14" s="627" t="s">
        <v>2708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2" t="s">
        <v>2559</v>
      </c>
      <c r="Q14" s="1807" t="str">
        <f t="shared" si="6"/>
        <v>交通便捷度</v>
      </c>
      <c r="R14" s="771" t="s">
        <v>17</v>
      </c>
      <c r="S14" s="772">
        <f t="shared" si="0"/>
        <v>100</v>
      </c>
      <c r="T14" s="771" t="s">
        <v>17</v>
      </c>
      <c r="U14" s="772">
        <f t="shared" si="1"/>
        <v>100</v>
      </c>
      <c r="V14" s="771" t="s">
        <v>17</v>
      </c>
      <c r="W14" s="772">
        <f t="shared" si="2"/>
        <v>100</v>
      </c>
      <c r="X14" s="1810"/>
      <c r="Y14" s="3232" t="s">
        <v>2559</v>
      </c>
      <c r="Z14" s="1811" t="str">
        <f t="shared" si="7"/>
        <v>交通便捷度</v>
      </c>
      <c r="AA14" s="1808">
        <f t="shared" si="3"/>
        <v>1</v>
      </c>
      <c r="AB14" s="1808">
        <f t="shared" si="4"/>
        <v>1</v>
      </c>
      <c r="AC14" s="1808">
        <f t="shared" si="5"/>
        <v>1</v>
      </c>
    </row>
    <row r="15" spans="1:29" ht="15">
      <c r="A15" s="403"/>
      <c r="B15" s="645"/>
      <c r="C15" s="446"/>
      <c r="D15" s="447"/>
      <c r="E15" s="446"/>
      <c r="F15" s="448"/>
      <c r="G15" s="446"/>
      <c r="H15" s="449"/>
      <c r="I15" s="446"/>
      <c r="J15" s="447"/>
      <c r="K15" s="614"/>
      <c r="L15" s="1137"/>
      <c r="M15" s="1128"/>
      <c r="N15" s="1128"/>
      <c r="O15" s="1128"/>
      <c r="P15" s="3233"/>
      <c r="Q15" s="1807"/>
      <c r="R15" s="771"/>
      <c r="S15" s="772"/>
      <c r="T15" s="771"/>
      <c r="U15" s="772"/>
      <c r="V15" s="771"/>
      <c r="W15" s="772"/>
      <c r="X15" s="1810"/>
      <c r="Y15" s="3233"/>
      <c r="Z15" s="1811"/>
      <c r="AA15" s="1808">
        <v>1</v>
      </c>
      <c r="AB15" s="1808">
        <v>1</v>
      </c>
      <c r="AC15" s="1808">
        <v>1</v>
      </c>
    </row>
    <row r="16" spans="1:29" ht="41.4">
      <c r="A16" s="403"/>
      <c r="B16" s="629" t="s">
        <v>2687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3"/>
      <c r="Q16" s="1807" t="str">
        <f>B16</f>
        <v>公共配套设施</v>
      </c>
      <c r="R16" s="771" t="s">
        <v>17</v>
      </c>
      <c r="S16" s="772">
        <f>F16</f>
        <v>100</v>
      </c>
      <c r="T16" s="771" t="s">
        <v>17</v>
      </c>
      <c r="U16" s="772">
        <f>H16</f>
        <v>100</v>
      </c>
      <c r="V16" s="771" t="s">
        <v>17</v>
      </c>
      <c r="W16" s="772">
        <f>J16</f>
        <v>100</v>
      </c>
      <c r="X16" s="1810"/>
      <c r="Y16" s="3233"/>
      <c r="Z16" s="1811" t="str">
        <f>Q16</f>
        <v>公共配套设施</v>
      </c>
      <c r="AA16" s="1808">
        <f t="shared" si="3"/>
        <v>1</v>
      </c>
      <c r="AB16" s="1808">
        <f t="shared" si="4"/>
        <v>1</v>
      </c>
      <c r="AC16" s="1808">
        <f t="shared" si="5"/>
        <v>1</v>
      </c>
    </row>
    <row r="17" spans="1:29" ht="15">
      <c r="A17" s="403"/>
      <c r="B17" s="630"/>
      <c r="C17" s="2607"/>
      <c r="D17" s="447"/>
      <c r="E17" s="446"/>
      <c r="F17" s="448"/>
      <c r="G17" s="446"/>
      <c r="H17" s="447"/>
      <c r="I17" s="446"/>
      <c r="J17" s="447"/>
      <c r="K17" s="614"/>
      <c r="L17" s="1137"/>
      <c r="M17" s="1128"/>
      <c r="N17" s="1128"/>
      <c r="O17" s="1128"/>
      <c r="P17" s="3233"/>
      <c r="Q17" s="1807"/>
      <c r="R17" s="771"/>
      <c r="S17" s="772"/>
      <c r="T17" s="771"/>
      <c r="U17" s="772"/>
      <c r="V17" s="771"/>
      <c r="W17" s="772"/>
      <c r="X17" s="1810"/>
      <c r="Y17" s="3233"/>
      <c r="Z17" s="1811"/>
      <c r="AA17" s="1808">
        <v>1</v>
      </c>
      <c r="AB17" s="1808">
        <v>1</v>
      </c>
      <c r="AC17" s="1808">
        <v>1</v>
      </c>
    </row>
    <row r="18" spans="1:29" ht="41.4">
      <c r="A18" s="403"/>
      <c r="B18" s="631" t="s">
        <v>2688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3"/>
      <c r="Q18" s="1807" t="str">
        <f>B18</f>
        <v>基础设施水平</v>
      </c>
      <c r="R18" s="771" t="s">
        <v>17</v>
      </c>
      <c r="S18" s="772">
        <f>F18</f>
        <v>100</v>
      </c>
      <c r="T18" s="771" t="s">
        <v>17</v>
      </c>
      <c r="U18" s="772">
        <f>H18</f>
        <v>100</v>
      </c>
      <c r="V18" s="771" t="s">
        <v>17</v>
      </c>
      <c r="W18" s="772">
        <f>J18</f>
        <v>100</v>
      </c>
      <c r="X18" s="1810"/>
      <c r="Y18" s="3233"/>
      <c r="Z18" s="1811" t="str">
        <f>Q18</f>
        <v>基础设施水平</v>
      </c>
      <c r="AA18" s="1808">
        <f t="shared" ref="AA18" si="8">D18/F18</f>
        <v>1</v>
      </c>
      <c r="AB18" s="1808">
        <f t="shared" ref="AB18" si="9">D18/H18</f>
        <v>1</v>
      </c>
      <c r="AC18" s="1808">
        <f t="shared" ref="AC18" si="10">D18/J18</f>
        <v>1</v>
      </c>
    </row>
    <row r="19" spans="1:29" ht="15">
      <c r="A19" s="403"/>
      <c r="B19" s="631"/>
      <c r="C19" s="2607"/>
      <c r="D19" s="449"/>
      <c r="E19" s="2607"/>
      <c r="F19" s="452"/>
      <c r="G19" s="2607"/>
      <c r="H19" s="447"/>
      <c r="I19" s="446"/>
      <c r="J19" s="447"/>
      <c r="K19" s="1380"/>
      <c r="L19" s="1137"/>
      <c r="M19" s="1128"/>
      <c r="N19" s="1128"/>
      <c r="O19" s="1128"/>
      <c r="P19" s="3233"/>
      <c r="Q19" s="1807"/>
      <c r="R19" s="771"/>
      <c r="S19" s="772"/>
      <c r="T19" s="771"/>
      <c r="U19" s="772"/>
      <c r="V19" s="771"/>
      <c r="W19" s="772"/>
      <c r="X19" s="1810"/>
      <c r="Y19" s="3233"/>
      <c r="Z19" s="1811"/>
      <c r="AA19" s="1808">
        <v>1</v>
      </c>
      <c r="AB19" s="1808">
        <v>1</v>
      </c>
      <c r="AC19" s="1808">
        <v>1</v>
      </c>
    </row>
    <row r="20" spans="1:29" ht="55.2">
      <c r="A20" s="403"/>
      <c r="B20" s="629" t="s">
        <v>2709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3"/>
      <c r="Q20" s="1807" t="str">
        <f>B20</f>
        <v>自然及人文环境</v>
      </c>
      <c r="R20" s="771" t="s">
        <v>17</v>
      </c>
      <c r="S20" s="772">
        <f>F20</f>
        <v>100</v>
      </c>
      <c r="T20" s="771" t="s">
        <v>17</v>
      </c>
      <c r="U20" s="772">
        <f>H20</f>
        <v>100</v>
      </c>
      <c r="V20" s="771" t="s">
        <v>17</v>
      </c>
      <c r="W20" s="772">
        <f>J20</f>
        <v>100</v>
      </c>
      <c r="X20" s="1810"/>
      <c r="Y20" s="3233"/>
      <c r="Z20" s="1811" t="str">
        <f>Q20</f>
        <v>自然及人文环境</v>
      </c>
      <c r="AA20" s="1808">
        <f t="shared" si="3"/>
        <v>1</v>
      </c>
      <c r="AB20" s="1808">
        <f t="shared" si="4"/>
        <v>1</v>
      </c>
      <c r="AC20" s="1808">
        <f t="shared" si="5"/>
        <v>1</v>
      </c>
    </row>
    <row r="21" spans="1:29" ht="15">
      <c r="A21" s="403"/>
      <c r="B21" s="630"/>
      <c r="C21" s="446"/>
      <c r="D21" s="447"/>
      <c r="E21" s="446"/>
      <c r="F21" s="448"/>
      <c r="G21" s="446"/>
      <c r="H21" s="447"/>
      <c r="I21" s="446"/>
      <c r="J21" s="447"/>
      <c r="K21" s="614"/>
      <c r="L21" s="1137"/>
      <c r="M21" s="1128"/>
      <c r="N21" s="1128"/>
      <c r="O21" s="1128"/>
      <c r="P21" s="3233"/>
      <c r="Q21" s="1807"/>
      <c r="R21" s="771"/>
      <c r="S21" s="772"/>
      <c r="T21" s="771"/>
      <c r="U21" s="772"/>
      <c r="V21" s="771"/>
      <c r="W21" s="772"/>
      <c r="X21" s="1810"/>
      <c r="Y21" s="3233"/>
      <c r="Z21" s="1811"/>
      <c r="AA21" s="1808">
        <v>1</v>
      </c>
      <c r="AB21" s="1808">
        <v>1</v>
      </c>
      <c r="AC21" s="1808">
        <v>1</v>
      </c>
    </row>
    <row r="22" spans="1:29" ht="15">
      <c r="A22" s="403"/>
      <c r="B22" s="629" t="s">
        <v>2710</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3"/>
      <c r="Q22" s="1807" t="str">
        <f>B22</f>
        <v>楼层</v>
      </c>
      <c r="R22" s="771" t="s">
        <v>17</v>
      </c>
      <c r="S22" s="772">
        <f>F22</f>
        <v>100</v>
      </c>
      <c r="T22" s="771" t="s">
        <v>17</v>
      </c>
      <c r="U22" s="772">
        <f>H22</f>
        <v>100</v>
      </c>
      <c r="V22" s="771" t="s">
        <v>17</v>
      </c>
      <c r="W22" s="772">
        <f>J22</f>
        <v>100</v>
      </c>
      <c r="X22" s="1810"/>
      <c r="Y22" s="3233"/>
      <c r="Z22" s="1811" t="str">
        <f>Q22</f>
        <v>楼层</v>
      </c>
      <c r="AA22" s="1808">
        <f t="shared" si="3"/>
        <v>1</v>
      </c>
      <c r="AB22" s="1808">
        <f t="shared" si="4"/>
        <v>1</v>
      </c>
      <c r="AC22" s="1808">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3"/>
      <c r="Q23" s="1807">
        <f>B23</f>
        <v>111</v>
      </c>
      <c r="R23" s="771" t="s">
        <v>17</v>
      </c>
      <c r="S23" s="772">
        <f>F23</f>
        <v>100</v>
      </c>
      <c r="T23" s="771" t="s">
        <v>17</v>
      </c>
      <c r="U23" s="772">
        <f>H23</f>
        <v>100</v>
      </c>
      <c r="V23" s="771" t="s">
        <v>17</v>
      </c>
      <c r="W23" s="772">
        <f>J23</f>
        <v>100</v>
      </c>
      <c r="X23" s="1810"/>
      <c r="Y23" s="3233"/>
      <c r="Z23" s="1811">
        <f>Q23</f>
        <v>111</v>
      </c>
      <c r="AA23" s="1808">
        <f t="shared" si="3"/>
        <v>1</v>
      </c>
      <c r="AB23" s="1808">
        <f t="shared" si="4"/>
        <v>1</v>
      </c>
      <c r="AC23" s="1808">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3"/>
      <c r="Q24" s="1807">
        <f t="shared" ref="Q24:Q36" si="11">B24</f>
        <v>111</v>
      </c>
      <c r="R24" s="771" t="s">
        <v>17</v>
      </c>
      <c r="S24" s="772">
        <f>F24</f>
        <v>100</v>
      </c>
      <c r="T24" s="771" t="s">
        <v>17</v>
      </c>
      <c r="U24" s="772">
        <f>H24</f>
        <v>100</v>
      </c>
      <c r="V24" s="771" t="s">
        <v>17</v>
      </c>
      <c r="W24" s="772">
        <f>J24</f>
        <v>100</v>
      </c>
      <c r="X24" s="1810"/>
      <c r="Y24" s="3233"/>
      <c r="Z24" s="1811">
        <f>Q24</f>
        <v>111</v>
      </c>
      <c r="AA24" s="1808">
        <f t="shared" si="3"/>
        <v>1</v>
      </c>
      <c r="AB24" s="1808">
        <f t="shared" si="4"/>
        <v>1</v>
      </c>
      <c r="AC24" s="1808">
        <f t="shared" si="5"/>
        <v>1</v>
      </c>
    </row>
    <row r="25" spans="1:29" s="117" customFormat="1" ht="15.6"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233"/>
      <c r="Q25" s="1792">
        <f t="shared" si="11"/>
        <v>111</v>
      </c>
      <c r="R25" s="767" t="s">
        <v>17</v>
      </c>
      <c r="S25" s="768">
        <f>F25</f>
        <v>100</v>
      </c>
      <c r="T25" s="767" t="s">
        <v>17</v>
      </c>
      <c r="U25" s="768">
        <f>H25</f>
        <v>100</v>
      </c>
      <c r="V25" s="767" t="s">
        <v>17</v>
      </c>
      <c r="W25" s="768">
        <f>J25</f>
        <v>100</v>
      </c>
      <c r="X25" s="769"/>
      <c r="Y25" s="3233"/>
      <c r="Z25" s="55">
        <f>Q25</f>
        <v>111</v>
      </c>
      <c r="AA25" s="1808">
        <f>D25/F25</f>
        <v>1</v>
      </c>
      <c r="AB25" s="1808">
        <f>D25/H25</f>
        <v>1</v>
      </c>
      <c r="AC25" s="1808">
        <f>D25/J25</f>
        <v>1</v>
      </c>
    </row>
    <row r="26" spans="1:29" ht="30">
      <c r="A26" s="650" t="s">
        <v>2562</v>
      </c>
      <c r="B26" s="70" t="s">
        <v>2711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34" t="s">
        <v>2564</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35" t="s">
        <v>2564</v>
      </c>
      <c r="Z26" s="1811" t="str">
        <f t="shared" ref="Z26:Z36" si="15">Q26</f>
        <v>配套类型</v>
      </c>
      <c r="AA26" s="1808">
        <f t="shared" si="3"/>
        <v>1</v>
      </c>
      <c r="AB26" s="1808">
        <f t="shared" si="4"/>
        <v>1</v>
      </c>
      <c r="AC26" s="1808">
        <f t="shared" si="5"/>
        <v>1</v>
      </c>
    </row>
    <row r="27" spans="1:29" s="470" customFormat="1" ht="15">
      <c r="A27" s="651"/>
      <c r="B27" s="652" t="s">
        <v>2712</v>
      </c>
      <c r="C27" s="653"/>
      <c r="D27" s="135">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235"/>
      <c r="Q27" s="773" t="str">
        <f t="shared" si="11"/>
        <v>项目停车位配比</v>
      </c>
      <c r="R27" s="774" t="s">
        <v>17</v>
      </c>
      <c r="S27" s="775">
        <f t="shared" si="12"/>
        <v>100</v>
      </c>
      <c r="T27" s="774" t="s">
        <v>17</v>
      </c>
      <c r="U27" s="775">
        <f t="shared" si="13"/>
        <v>100</v>
      </c>
      <c r="V27" s="774" t="s">
        <v>17</v>
      </c>
      <c r="W27" s="775">
        <f t="shared" si="14"/>
        <v>100</v>
      </c>
      <c r="X27" s="776"/>
      <c r="Y27" s="3235"/>
      <c r="Z27" s="777" t="str">
        <f t="shared" si="15"/>
        <v>项目停车位配比</v>
      </c>
      <c r="AA27" s="1808">
        <f t="shared" si="3"/>
        <v>1</v>
      </c>
      <c r="AB27" s="1808">
        <f t="shared" si="4"/>
        <v>1</v>
      </c>
      <c r="AC27" s="1808">
        <f t="shared" si="5"/>
        <v>1</v>
      </c>
    </row>
    <row r="28" spans="1:29" ht="15">
      <c r="A28" s="654"/>
      <c r="B28" s="652" t="s">
        <v>2713</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1" t="s">
        <v>17</v>
      </c>
      <c r="S28" s="772">
        <f t="shared" si="12"/>
        <v>100</v>
      </c>
      <c r="T28" s="771" t="s">
        <v>17</v>
      </c>
      <c r="U28" s="772">
        <f t="shared" si="13"/>
        <v>100</v>
      </c>
      <c r="V28" s="771" t="s">
        <v>17</v>
      </c>
      <c r="W28" s="772">
        <f t="shared" si="14"/>
        <v>100</v>
      </c>
      <c r="X28" s="1810"/>
      <c r="Y28" s="3235"/>
      <c r="Z28" s="1811" t="str">
        <f t="shared" si="15"/>
        <v>公共部分装修</v>
      </c>
      <c r="AA28" s="1808">
        <f t="shared" si="3"/>
        <v>1</v>
      </c>
      <c r="AB28" s="1808">
        <f t="shared" si="4"/>
        <v>1</v>
      </c>
      <c r="AC28" s="1808">
        <f t="shared" si="5"/>
        <v>1</v>
      </c>
    </row>
    <row r="29" spans="1:29" ht="15">
      <c r="A29" s="654"/>
      <c r="B29" s="652"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1" t="s">
        <v>17</v>
      </c>
      <c r="S29" s="772" t="e">
        <f t="shared" si="12"/>
        <v>#N/A</v>
      </c>
      <c r="T29" s="771" t="s">
        <v>17</v>
      </c>
      <c r="U29" s="772" t="e">
        <f t="shared" si="13"/>
        <v>#N/A</v>
      </c>
      <c r="V29" s="771" t="s">
        <v>17</v>
      </c>
      <c r="W29" s="772" t="e">
        <f t="shared" si="14"/>
        <v>#N/A</v>
      </c>
      <c r="X29" s="1810"/>
      <c r="Y29" s="3235"/>
      <c r="Z29" s="1811" t="str">
        <f t="shared" si="15"/>
        <v>成新率</v>
      </c>
      <c r="AA29" s="1808" t="e">
        <f t="shared" si="3"/>
        <v>#N/A</v>
      </c>
      <c r="AB29" s="1808" t="e">
        <f t="shared" si="4"/>
        <v>#N/A</v>
      </c>
      <c r="AC29" s="1808" t="e">
        <f t="shared" si="5"/>
        <v>#N/A</v>
      </c>
    </row>
    <row r="30" spans="1:29" ht="15">
      <c r="A30" s="654"/>
      <c r="B30" s="652" t="s">
        <v>2715</v>
      </c>
      <c r="C30" s="655"/>
      <c r="D30" s="434">
        <v>100</v>
      </c>
      <c r="E30" s="655"/>
      <c r="F30" s="460">
        <f>SUMIF(88:88,E30,89:89)-SUMIF(88:88,C30,89:89)+100</f>
        <v>100</v>
      </c>
      <c r="G30" s="655"/>
      <c r="H30" s="434">
        <f>SUMIF(88:88,E30,89:89)-SUMIF(88:88,C30,89:89)+100</f>
        <v>100</v>
      </c>
      <c r="I30" s="655"/>
      <c r="J30" s="434">
        <f>SUMIF(88:88,E30,89:89)-SUMIF(88:88,C30,89:89)+100</f>
        <v>100</v>
      </c>
      <c r="K30" s="611"/>
      <c r="L30" s="1137"/>
      <c r="M30" s="1128"/>
      <c r="N30" s="1128"/>
      <c r="O30" s="1128"/>
      <c r="P30" s="3235"/>
      <c r="Q30" s="1807" t="str">
        <f t="shared" si="11"/>
        <v>物业等级</v>
      </c>
      <c r="R30" s="771" t="s">
        <v>17</v>
      </c>
      <c r="S30" s="772">
        <f t="shared" si="12"/>
        <v>100</v>
      </c>
      <c r="T30" s="771" t="s">
        <v>17</v>
      </c>
      <c r="U30" s="772">
        <f t="shared" si="13"/>
        <v>100</v>
      </c>
      <c r="V30" s="771" t="s">
        <v>17</v>
      </c>
      <c r="W30" s="772">
        <f t="shared" si="14"/>
        <v>100</v>
      </c>
      <c r="X30" s="1810"/>
      <c r="Y30" s="3235"/>
      <c r="Z30" s="1811" t="str">
        <f t="shared" si="15"/>
        <v>物业等级</v>
      </c>
      <c r="AA30" s="1808">
        <f t="shared" si="3"/>
        <v>1</v>
      </c>
      <c r="AB30" s="1808">
        <f t="shared" si="4"/>
        <v>1</v>
      </c>
      <c r="AC30" s="1808">
        <f t="shared" si="5"/>
        <v>1</v>
      </c>
    </row>
    <row r="31" spans="1:29" s="117" customFormat="1" ht="15">
      <c r="A31" s="656"/>
      <c r="B31" s="652"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7" t="s">
        <v>17</v>
      </c>
      <c r="S31" s="768" t="e">
        <f t="shared" si="12"/>
        <v>#N/A</v>
      </c>
      <c r="T31" s="767" t="s">
        <v>17</v>
      </c>
      <c r="U31" s="768" t="e">
        <f t="shared" si="13"/>
        <v>#N/A</v>
      </c>
      <c r="V31" s="767" t="s">
        <v>17</v>
      </c>
      <c r="W31" s="768" t="e">
        <f t="shared" si="14"/>
        <v>#N/A</v>
      </c>
      <c r="X31" s="769"/>
      <c r="Y31" s="3235"/>
      <c r="Z31" s="55" t="str">
        <f t="shared" si="15"/>
        <v>停车位面积</v>
      </c>
      <c r="AA31" s="770" t="e">
        <f t="shared" si="3"/>
        <v>#N/A</v>
      </c>
      <c r="AB31" s="770" t="e">
        <f t="shared" si="4"/>
        <v>#N/A</v>
      </c>
      <c r="AC31" s="770" t="e">
        <f t="shared" si="5"/>
        <v>#N/A</v>
      </c>
    </row>
    <row r="32" spans="1:29" ht="15">
      <c r="A32" s="654"/>
      <c r="B32" s="652" t="s">
        <v>2717</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2564</v>
      </c>
      <c r="Q32" s="1807" t="str">
        <f t="shared" si="11"/>
        <v>车位类型</v>
      </c>
      <c r="R32" s="771" t="s">
        <v>17</v>
      </c>
      <c r="S32" s="772">
        <f t="shared" si="12"/>
        <v>100</v>
      </c>
      <c r="T32" s="771" t="s">
        <v>17</v>
      </c>
      <c r="U32" s="772">
        <f t="shared" si="13"/>
        <v>100</v>
      </c>
      <c r="V32" s="771" t="s">
        <v>17</v>
      </c>
      <c r="W32" s="772">
        <f t="shared" si="14"/>
        <v>100</v>
      </c>
      <c r="X32" s="1810"/>
      <c r="Y32" s="3235" t="s">
        <v>2564</v>
      </c>
      <c r="Z32" s="1811" t="str">
        <f t="shared" si="15"/>
        <v>车位类型</v>
      </c>
      <c r="AA32" s="1808">
        <f t="shared" si="3"/>
        <v>1</v>
      </c>
      <c r="AB32" s="1808">
        <f t="shared" si="4"/>
        <v>1</v>
      </c>
      <c r="AC32" s="1808">
        <f t="shared" si="5"/>
        <v>1</v>
      </c>
    </row>
    <row r="33" spans="1:29" ht="15">
      <c r="A33" s="654"/>
      <c r="B33" s="652" t="s">
        <v>2718</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1" t="s">
        <v>17</v>
      </c>
      <c r="S33" s="772">
        <f t="shared" si="12"/>
        <v>100</v>
      </c>
      <c r="T33" s="771" t="s">
        <v>17</v>
      </c>
      <c r="U33" s="772">
        <f t="shared" si="13"/>
        <v>100</v>
      </c>
      <c r="V33" s="771" t="s">
        <v>17</v>
      </c>
      <c r="W33" s="772">
        <f t="shared" si="14"/>
        <v>100</v>
      </c>
      <c r="X33" s="1810"/>
      <c r="Y33" s="3235"/>
      <c r="Z33" s="1811" t="str">
        <f t="shared" si="15"/>
        <v>是否直接入户</v>
      </c>
      <c r="AA33" s="1808">
        <f t="shared" si="3"/>
        <v>1</v>
      </c>
      <c r="AB33" s="1808">
        <f t="shared" si="4"/>
        <v>1</v>
      </c>
      <c r="AC33" s="1808">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1" t="s">
        <v>17</v>
      </c>
      <c r="S34" s="772">
        <f t="shared" si="12"/>
        <v>100</v>
      </c>
      <c r="T34" s="771" t="s">
        <v>17</v>
      </c>
      <c r="U34" s="772">
        <f t="shared" si="13"/>
        <v>100</v>
      </c>
      <c r="V34" s="771" t="s">
        <v>17</v>
      </c>
      <c r="W34" s="772">
        <f t="shared" si="14"/>
        <v>100</v>
      </c>
      <c r="X34" s="1810"/>
      <c r="Y34" s="3235"/>
      <c r="Z34" s="1811">
        <f t="shared" si="15"/>
        <v>111</v>
      </c>
      <c r="AA34" s="1808">
        <f t="shared" si="3"/>
        <v>1</v>
      </c>
      <c r="AB34" s="1808">
        <f t="shared" si="4"/>
        <v>1</v>
      </c>
      <c r="AC34" s="1808">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3">
        <f t="shared" si="11"/>
        <v>111</v>
      </c>
      <c r="R35" s="774" t="s">
        <v>17</v>
      </c>
      <c r="S35" s="775">
        <f t="shared" si="12"/>
        <v>100</v>
      </c>
      <c r="T35" s="774" t="s">
        <v>17</v>
      </c>
      <c r="U35" s="775">
        <f t="shared" si="13"/>
        <v>100</v>
      </c>
      <c r="V35" s="774" t="s">
        <v>17</v>
      </c>
      <c r="W35" s="775">
        <f t="shared" si="14"/>
        <v>100</v>
      </c>
      <c r="X35" s="776"/>
      <c r="Y35" s="3235"/>
      <c r="Z35" s="777">
        <f t="shared" si="15"/>
        <v>111</v>
      </c>
      <c r="AA35" s="1808">
        <f t="shared" si="3"/>
        <v>1</v>
      </c>
      <c r="AB35" s="1808">
        <f t="shared" si="4"/>
        <v>1</v>
      </c>
      <c r="AC35" s="1808">
        <f t="shared" si="5"/>
        <v>1</v>
      </c>
    </row>
    <row r="36" spans="1:29" ht="15.6"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1" t="s">
        <v>17</v>
      </c>
      <c r="S36" s="772">
        <f t="shared" si="12"/>
        <v>100</v>
      </c>
      <c r="T36" s="771" t="s">
        <v>17</v>
      </c>
      <c r="U36" s="772">
        <f t="shared" si="13"/>
        <v>100</v>
      </c>
      <c r="V36" s="771" t="s">
        <v>17</v>
      </c>
      <c r="W36" s="772">
        <f t="shared" si="14"/>
        <v>100</v>
      </c>
      <c r="X36" s="1810"/>
      <c r="Y36" s="3235"/>
      <c r="Z36" s="1811">
        <f t="shared" si="15"/>
        <v>111</v>
      </c>
      <c r="AA36" s="1808">
        <f t="shared" si="3"/>
        <v>1</v>
      </c>
      <c r="AB36" s="1808">
        <f t="shared" si="4"/>
        <v>1</v>
      </c>
      <c r="AC36" s="1808">
        <f t="shared" si="5"/>
        <v>1</v>
      </c>
    </row>
    <row r="37" spans="1:29" ht="14.4">
      <c r="A37" s="478" t="s">
        <v>2719</v>
      </c>
      <c r="B37" s="2694" t="s">
        <v>2720</v>
      </c>
      <c r="C37" s="1404" t="s">
        <v>1</v>
      </c>
      <c r="D37" s="1405"/>
      <c r="E37" s="1406"/>
      <c r="F37" s="1407"/>
      <c r="G37" s="1408"/>
      <c r="H37" s="1409"/>
      <c r="I37" s="1406"/>
      <c r="J37" s="1409"/>
      <c r="K37" s="617"/>
      <c r="L37" s="1140"/>
      <c r="M37" s="1141"/>
      <c r="N37" s="1128"/>
      <c r="O37" s="1141"/>
      <c r="P37" s="3230" t="str">
        <f>A37</f>
        <v>成交单价</v>
      </c>
      <c r="Q37" s="3230"/>
      <c r="R37" s="3287">
        <f>E37</f>
        <v>0</v>
      </c>
      <c r="S37" s="3287"/>
      <c r="T37" s="3287">
        <f>G37</f>
        <v>0</v>
      </c>
      <c r="U37" s="3287"/>
      <c r="V37" s="3287">
        <f>I37</f>
        <v>0</v>
      </c>
      <c r="W37" s="3287"/>
      <c r="X37" s="756"/>
      <c r="Y37" s="778"/>
      <c r="Z37" s="756"/>
      <c r="AA37" s="756"/>
      <c r="AB37" s="756"/>
      <c r="AC37" s="756"/>
    </row>
    <row r="38" spans="1:29" ht="15" thickBot="1">
      <c r="A38" s="485" t="s">
        <v>2721</v>
      </c>
      <c r="B38" s="486" t="str">
        <f>B37</f>
        <v>元/车位</v>
      </c>
      <c r="C38" s="1410" t="e">
        <f>R39</f>
        <v>#DIV/0!</v>
      </c>
      <c r="D38" s="1411"/>
      <c r="E38" s="1412" t="e">
        <f>R38</f>
        <v>#DIV/0!</v>
      </c>
      <c r="F38" s="1412"/>
      <c r="G38" s="1410" t="e">
        <f>T38</f>
        <v>#DIV/0!</v>
      </c>
      <c r="H38" s="1411"/>
      <c r="I38" s="1412" t="e">
        <f>V38</f>
        <v>#DIV/0!</v>
      </c>
      <c r="J38" s="1411"/>
      <c r="K38" s="618"/>
      <c r="L38" s="1140"/>
      <c r="M38" s="1141"/>
      <c r="N38" s="1141"/>
      <c r="O38" s="1141"/>
      <c r="P38" s="3230" t="str">
        <f>A38</f>
        <v>比较价值（元/平方米）</v>
      </c>
      <c r="Q38" s="3230"/>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6"/>
      <c r="Y38" s="756"/>
      <c r="Z38" s="756"/>
      <c r="AA38" s="756"/>
      <c r="AB38" s="756"/>
      <c r="AC38" s="756"/>
    </row>
    <row r="39" spans="1:29" ht="15" thickBot="1">
      <c r="A39" s="491" t="s">
        <v>2722</v>
      </c>
      <c r="B39" s="492"/>
      <c r="C39" s="1414" t="e">
        <f>R39</f>
        <v>#DIV/0!</v>
      </c>
      <c r="D39" s="1414"/>
      <c r="E39" s="1414"/>
      <c r="F39" s="1414"/>
      <c r="G39" s="1414"/>
      <c r="H39" s="1414"/>
      <c r="I39" s="1414"/>
      <c r="J39" s="1414"/>
      <c r="K39" s="619"/>
      <c r="L39" s="1140"/>
      <c r="M39" s="1141"/>
      <c r="N39" s="1141"/>
      <c r="O39" s="1141"/>
      <c r="P39" s="3224" t="str">
        <f>A39</f>
        <v>估价对象XX用房的比较价值（楼面单价，元/平方米）</v>
      </c>
      <c r="Q39" s="3225"/>
      <c r="R39" s="3288" t="e">
        <f>IF(F1="售价",ROUND(AVERAGE(R38:V38),0),ROUND(AVERAGE(R38:V38),1))</f>
        <v>#DIV/0!</v>
      </c>
      <c r="S39" s="3288"/>
      <c r="T39" s="3288"/>
      <c r="U39" s="3288"/>
      <c r="V39" s="3288"/>
      <c r="W39" s="328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4.4">
      <c r="A48" s="504" t="s">
        <v>2727</v>
      </c>
      <c r="B48" s="505"/>
      <c r="C48" s="1571" t="str">
        <f>YEAR(C7)&amp;"-"&amp;MONTH(C7)</f>
        <v>2020-1</v>
      </c>
      <c r="D48" s="1572">
        <f>EDATE(C48,-1)</f>
        <v>43800</v>
      </c>
      <c r="E48" s="1572">
        <f t="shared" ref="E48:O48" si="16">EDATE(D48,-1)</f>
        <v>43770</v>
      </c>
      <c r="F48" s="1572">
        <f t="shared" si="16"/>
        <v>43739</v>
      </c>
      <c r="G48" s="1572">
        <f t="shared" si="16"/>
        <v>43709</v>
      </c>
      <c r="H48" s="1572">
        <f t="shared" si="16"/>
        <v>43678</v>
      </c>
      <c r="I48" s="1572">
        <f t="shared" si="16"/>
        <v>43647</v>
      </c>
      <c r="J48" s="1572">
        <f t="shared" si="16"/>
        <v>43617</v>
      </c>
      <c r="K48" s="1572">
        <f t="shared" si="16"/>
        <v>43586</v>
      </c>
      <c r="L48" s="1572">
        <f t="shared" si="16"/>
        <v>43556</v>
      </c>
      <c r="M48" s="1572">
        <f t="shared" si="16"/>
        <v>43525</v>
      </c>
      <c r="N48" s="1572">
        <f t="shared" si="16"/>
        <v>43497</v>
      </c>
      <c r="O48" s="1572">
        <f t="shared" si="16"/>
        <v>43466</v>
      </c>
      <c r="P48" s="1435"/>
      <c r="Q48" s="1436"/>
      <c r="R48" s="1436"/>
      <c r="S48" s="1436"/>
      <c r="T48" s="1436"/>
      <c r="U48" s="1436"/>
      <c r="V48" s="1436"/>
      <c r="W48" s="1436"/>
      <c r="X48" s="1436"/>
      <c r="Y48" s="1436"/>
      <c r="Z48" s="1436"/>
      <c r="AA48" s="1436"/>
      <c r="AB48" s="1436"/>
      <c r="AC48" s="1436"/>
    </row>
    <row r="49" spans="1:29" s="117"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 thickBot="1">
      <c r="A50" s="514" t="s">
        <v>2584</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4.4">
      <c r="A51" s="520" t="s">
        <v>2549</v>
      </c>
      <c r="B51" s="509"/>
      <c r="C51" s="521" t="s">
        <v>2651</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4.4" thickBot="1">
      <c r="A52" s="520"/>
      <c r="B52" s="509"/>
      <c r="C52" s="637">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ht="14.4">
      <c r="A53" s="526" t="s">
        <v>2587</v>
      </c>
      <c r="B53" s="527" t="s">
        <v>2553</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4.4" thickTop="1">
      <c r="A57" s="533"/>
      <c r="B57" s="658">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4.4"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4.4"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4.4"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 thickTop="1">
      <c r="A65" s="533"/>
      <c r="B65" s="537" t="s">
        <v>2602</v>
      </c>
      <c r="C65" s="577" t="s">
        <v>2596</v>
      </c>
      <c r="D65" s="577" t="s">
        <v>2597</v>
      </c>
      <c r="E65" s="577" t="s">
        <v>2598</v>
      </c>
      <c r="F65" s="577" t="s">
        <v>2599</v>
      </c>
      <c r="G65" s="577" t="s">
        <v>2600</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 thickTop="1">
      <c r="A67" s="533"/>
      <c r="B67" s="545" t="s">
        <v>2688</v>
      </c>
      <c r="C67" s="658" t="s">
        <v>2674</v>
      </c>
      <c r="D67" s="658" t="s">
        <v>2675</v>
      </c>
      <c r="E67" s="658" t="s">
        <v>2676</v>
      </c>
      <c r="F67" s="658" t="s">
        <v>2677</v>
      </c>
      <c r="G67" s="658" t="s">
        <v>2678</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8"/>
      <c r="I68" s="658"/>
      <c r="J68" s="658"/>
      <c r="K68" s="658"/>
      <c r="L68" s="658"/>
      <c r="M68" s="449"/>
      <c r="N68" s="1150"/>
      <c r="O68" s="1150"/>
      <c r="P68" s="1426"/>
      <c r="Q68" s="1420"/>
      <c r="R68" s="1141"/>
      <c r="S68" s="1141"/>
      <c r="T68" s="1141"/>
      <c r="U68" s="1141"/>
      <c r="V68" s="1141"/>
      <c r="W68" s="1141"/>
      <c r="X68" s="1141"/>
      <c r="Y68" s="1141"/>
      <c r="Z68" s="1141"/>
      <c r="AA68" s="1141"/>
      <c r="AB68" s="1141"/>
      <c r="AC68" s="1141"/>
    </row>
    <row r="69" spans="1:29" ht="15" thickTop="1">
      <c r="A69" s="533"/>
      <c r="B69" s="537" t="s">
        <v>2608</v>
      </c>
      <c r="C69" s="577" t="s">
        <v>2596</v>
      </c>
      <c r="D69" s="577" t="s">
        <v>2597</v>
      </c>
      <c r="E69" s="577" t="s">
        <v>2598</v>
      </c>
      <c r="F69" s="577" t="s">
        <v>2599</v>
      </c>
      <c r="G69" s="577" t="s">
        <v>2600</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 thickTop="1">
      <c r="A71" s="533"/>
      <c r="B71" s="537" t="s">
        <v>2728</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4.4"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4.4"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4.4"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4.4"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4.4"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4.4"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9.4" thickTop="1">
      <c r="A79" s="526" t="s">
        <v>2562</v>
      </c>
      <c r="B79" s="527" t="s">
        <v>2729</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3"/>
      <c r="B81" s="537" t="s">
        <v>2730</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2615</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2732</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4.4"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2734</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2735</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4.4" thickTop="1">
      <c r="A97" s="598"/>
      <c r="B97" s="634">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4.4"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4.4"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2706</v>
      </c>
      <c r="B1" s="1616"/>
      <c r="C1" s="1617" t="s">
        <v>2529</v>
      </c>
      <c r="D1" s="1618"/>
      <c r="E1" s="1627"/>
      <c r="F1" s="258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IF(C2="——",ROUND(C37*D3/10000,0),ROUND(C37*D3/10000,0)-D2)</f>
        <v>#DIV/0!</v>
      </c>
      <c r="C2" s="2585"/>
      <c r="D2" s="1121" t="e">
        <f ca="1">SUMIF(INDIRECT("'"&amp;F2&amp;"'"&amp;"!A:A"),"承租人权益价值",INDIRECT("'"&amp;F2&amp;"'"&amp;"!c:c"))</f>
        <v>#REF!</v>
      </c>
      <c r="E2" s="2586" t="s">
        <v>2327</v>
      </c>
      <c r="F2" s="2587"/>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8" t="s">
        <v>2647</v>
      </c>
      <c r="AC4" s="3237" t="s">
        <v>2648</v>
      </c>
    </row>
    <row r="5" spans="1:29">
      <c r="A5" s="403"/>
      <c r="B5" s="404"/>
      <c r="C5" s="3257" t="s">
        <v>2541</v>
      </c>
      <c r="D5" s="3258"/>
      <c r="E5" s="3264" t="s">
        <v>2542</v>
      </c>
      <c r="F5" s="3265"/>
      <c r="G5" s="3257" t="s">
        <v>2543</v>
      </c>
      <c r="H5" s="3258"/>
      <c r="I5" s="3257" t="s">
        <v>2544</v>
      </c>
      <c r="J5" s="3258"/>
      <c r="K5" s="609"/>
      <c r="L5" s="1127"/>
      <c r="M5" s="1128"/>
      <c r="N5" s="1128"/>
      <c r="O5" s="1128"/>
      <c r="P5" s="3245"/>
      <c r="Q5" s="3246"/>
      <c r="R5" s="3251"/>
      <c r="S5" s="3252"/>
      <c r="T5" s="3251"/>
      <c r="U5" s="3252"/>
      <c r="V5" s="3236"/>
      <c r="W5" s="3236"/>
      <c r="X5" s="1810"/>
      <c r="Y5" s="3251"/>
      <c r="Z5" s="3252"/>
      <c r="AA5" s="3238"/>
      <c r="AB5" s="3238"/>
      <c r="AC5" s="3238"/>
    </row>
    <row r="6" spans="1:29" ht="15" thickBot="1">
      <c r="A6" s="405"/>
      <c r="B6" s="406"/>
      <c r="C6" s="3255" t="s">
        <v>2545</v>
      </c>
      <c r="D6" s="3256"/>
      <c r="E6" s="3262" t="s">
        <v>2545</v>
      </c>
      <c r="F6" s="3263"/>
      <c r="G6" s="3255" t="s">
        <v>2545</v>
      </c>
      <c r="H6" s="3256"/>
      <c r="I6" s="3255" t="s">
        <v>2545</v>
      </c>
      <c r="J6" s="3256"/>
      <c r="K6" s="609" t="s">
        <v>2546</v>
      </c>
      <c r="L6" s="1127"/>
      <c r="M6" s="1128"/>
      <c r="N6" s="1128"/>
      <c r="O6" s="1128"/>
      <c r="P6" s="3247"/>
      <c r="Q6" s="3248"/>
      <c r="R6" s="3251"/>
      <c r="S6" s="3252"/>
      <c r="T6" s="3253"/>
      <c r="U6" s="3254"/>
      <c r="V6" s="3236"/>
      <c r="W6" s="3236"/>
      <c r="X6" s="1810"/>
      <c r="Y6" s="3253"/>
      <c r="Z6" s="3254"/>
      <c r="AA6" s="3239"/>
      <c r="AB6" s="3239"/>
      <c r="AC6" s="3239"/>
    </row>
    <row r="7" spans="1:29" s="117" customFormat="1" ht="15" thickBot="1">
      <c r="A7" s="407" t="s">
        <v>2547</v>
      </c>
      <c r="B7" s="408"/>
      <c r="C7" s="409">
        <f>'数据-取费表'!B2</f>
        <v>43845</v>
      </c>
      <c r="D7" s="410">
        <v>100</v>
      </c>
      <c r="E7" s="411"/>
      <c r="F7" s="412">
        <f>SUMIF(46:46,YEAR(E7)&amp;"-"&amp;MONTH(E7),47:47)</f>
        <v>0</v>
      </c>
      <c r="G7" s="2695"/>
      <c r="H7" s="410">
        <f>SUMIF(46:46,YEAR(G7)&amp;"-"&amp;MONTH(G7),47:47)</f>
        <v>0</v>
      </c>
      <c r="I7" s="411"/>
      <c r="J7" s="410">
        <f>SUMIF(46:46,YEAR(I7)&amp;"-"&amp;MONTH(I7),47:47)</f>
        <v>0</v>
      </c>
      <c r="K7" s="610"/>
      <c r="L7" s="1129"/>
      <c r="M7" s="1130"/>
      <c r="N7" s="1130"/>
      <c r="O7" s="1130"/>
      <c r="P7" s="3259" t="s">
        <v>2548</v>
      </c>
      <c r="Q7" s="3261"/>
      <c r="R7" s="767" t="s">
        <v>17</v>
      </c>
      <c r="S7" s="768">
        <f t="shared" ref="S7:S14" si="0">F7</f>
        <v>0</v>
      </c>
      <c r="T7" s="767" t="s">
        <v>17</v>
      </c>
      <c r="U7" s="768">
        <f t="shared" ref="U7:U14" si="1">H7</f>
        <v>0</v>
      </c>
      <c r="V7" s="767" t="s">
        <v>17</v>
      </c>
      <c r="W7" s="768">
        <f t="shared" ref="W7:W14" si="2">J7</f>
        <v>0</v>
      </c>
      <c r="X7" s="769"/>
      <c r="Y7" s="3259" t="s">
        <v>2548</v>
      </c>
      <c r="Z7" s="3260"/>
      <c r="AA7" s="770" t="e">
        <f>D7/F7</f>
        <v>#DIV/0!</v>
      </c>
      <c r="AB7" s="770" t="e">
        <f>D7/H7</f>
        <v>#DIV/0!</v>
      </c>
      <c r="AC7" s="770" t="e">
        <f>D7/J7</f>
        <v>#DIV/0!</v>
      </c>
    </row>
    <row r="8" spans="1:29" s="117"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59" t="s">
        <v>2551</v>
      </c>
      <c r="Q8" s="3260"/>
      <c r="R8" s="767" t="s">
        <v>17</v>
      </c>
      <c r="S8" s="768">
        <f t="shared" si="0"/>
        <v>0</v>
      </c>
      <c r="T8" s="767" t="s">
        <v>17</v>
      </c>
      <c r="U8" s="768">
        <f t="shared" si="1"/>
        <v>0</v>
      </c>
      <c r="V8" s="767" t="s">
        <v>17</v>
      </c>
      <c r="W8" s="768">
        <f t="shared" si="2"/>
        <v>0</v>
      </c>
      <c r="X8" s="769"/>
      <c r="Y8" s="3259" t="s">
        <v>2551</v>
      </c>
      <c r="Z8" s="3260"/>
      <c r="AA8" s="770" t="e">
        <f t="shared" ref="AA8:AA34" si="3">D8/F8</f>
        <v>#DIV/0!</v>
      </c>
      <c r="AB8" s="770" t="e">
        <f t="shared" ref="AB8:AB34" si="4">D8/H8</f>
        <v>#DIV/0!</v>
      </c>
      <c r="AC8" s="770" t="e">
        <f t="shared" ref="AC8:AC34" si="5">D8/J8</f>
        <v>#DIV/0!</v>
      </c>
    </row>
    <row r="9" spans="1:29" s="117" customFormat="1" ht="14.4">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30" t="s">
        <v>2554</v>
      </c>
      <c r="Q9" s="1792" t="str">
        <f t="shared" ref="Q9:Q14" si="6">B9</f>
        <v>用途</v>
      </c>
      <c r="R9" s="767" t="s">
        <v>17</v>
      </c>
      <c r="S9" s="768">
        <f t="shared" si="0"/>
        <v>100</v>
      </c>
      <c r="T9" s="767" t="s">
        <v>17</v>
      </c>
      <c r="U9" s="768">
        <f t="shared" si="1"/>
        <v>100</v>
      </c>
      <c r="V9" s="767" t="s">
        <v>17</v>
      </c>
      <c r="W9" s="768">
        <f t="shared" si="2"/>
        <v>100</v>
      </c>
      <c r="X9" s="769"/>
      <c r="Y9" s="3074" t="s">
        <v>2555</v>
      </c>
      <c r="Z9" s="55" t="str">
        <f t="shared" ref="Z9:Z14" si="7">Q9</f>
        <v>用途</v>
      </c>
      <c r="AA9" s="770">
        <f t="shared" si="3"/>
        <v>1</v>
      </c>
      <c r="AB9" s="770">
        <f t="shared" si="4"/>
        <v>1</v>
      </c>
      <c r="AC9" s="770">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30"/>
      <c r="Q11" s="1792">
        <f t="shared" si="6"/>
        <v>111</v>
      </c>
      <c r="R11" s="767" t="s">
        <v>17</v>
      </c>
      <c r="S11" s="768">
        <f t="shared" si="0"/>
        <v>100</v>
      </c>
      <c r="T11" s="767" t="s">
        <v>17</v>
      </c>
      <c r="U11" s="768">
        <f t="shared" si="1"/>
        <v>100</v>
      </c>
      <c r="V11" s="767" t="s">
        <v>17</v>
      </c>
      <c r="W11" s="768">
        <f t="shared" si="2"/>
        <v>100</v>
      </c>
      <c r="X11" s="769"/>
      <c r="Y11" s="3074"/>
      <c r="Z11" s="55">
        <f t="shared" si="7"/>
        <v>111</v>
      </c>
      <c r="AA11" s="770">
        <f t="shared" si="3"/>
        <v>1</v>
      </c>
      <c r="AB11" s="770">
        <f t="shared" si="4"/>
        <v>1</v>
      </c>
      <c r="AC11" s="770">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770">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770">
        <f t="shared" si="5"/>
        <v>1</v>
      </c>
    </row>
    <row r="14" spans="1:29" ht="96.6">
      <c r="A14" s="439" t="s">
        <v>2558</v>
      </c>
      <c r="B14" s="69" t="s">
        <v>2708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2" t="s">
        <v>2559</v>
      </c>
      <c r="Q14" s="1807" t="str">
        <f t="shared" si="6"/>
        <v>交通便捷度</v>
      </c>
      <c r="R14" s="771" t="s">
        <v>17</v>
      </c>
      <c r="S14" s="772">
        <f t="shared" si="0"/>
        <v>100</v>
      </c>
      <c r="T14" s="771" t="s">
        <v>17</v>
      </c>
      <c r="U14" s="772">
        <f t="shared" si="1"/>
        <v>100</v>
      </c>
      <c r="V14" s="771" t="s">
        <v>17</v>
      </c>
      <c r="W14" s="772">
        <f t="shared" si="2"/>
        <v>100</v>
      </c>
      <c r="X14" s="1810"/>
      <c r="Y14" s="3232" t="s">
        <v>2559</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3"/>
      <c r="Q15" s="1807"/>
      <c r="R15" s="771"/>
      <c r="S15" s="772"/>
      <c r="T15" s="771"/>
      <c r="U15" s="772"/>
      <c r="V15" s="771"/>
      <c r="W15" s="772"/>
      <c r="X15" s="1810"/>
      <c r="Y15" s="3233"/>
      <c r="Z15" s="1811"/>
      <c r="AA15" s="1808">
        <v>1</v>
      </c>
      <c r="AB15" s="1808">
        <v>1</v>
      </c>
      <c r="AC15" s="1808">
        <v>1</v>
      </c>
    </row>
    <row r="16" spans="1:29" ht="41.4">
      <c r="A16" s="427"/>
      <c r="B16" s="450" t="s">
        <v>2687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3"/>
      <c r="Q16" s="1807" t="str">
        <f>B16</f>
        <v>公共配套设施</v>
      </c>
      <c r="R16" s="771" t="s">
        <v>17</v>
      </c>
      <c r="S16" s="772">
        <f>F16</f>
        <v>100</v>
      </c>
      <c r="T16" s="771" t="s">
        <v>17</v>
      </c>
      <c r="U16" s="772">
        <f>H16</f>
        <v>100</v>
      </c>
      <c r="V16" s="771" t="s">
        <v>17</v>
      </c>
      <c r="W16" s="772">
        <f>J16</f>
        <v>100</v>
      </c>
      <c r="X16" s="1810"/>
      <c r="Y16" s="3233"/>
      <c r="Z16" s="1811" t="str">
        <f>Q16</f>
        <v>公共配套设施</v>
      </c>
      <c r="AA16" s="1808">
        <f t="shared" si="3"/>
        <v>1</v>
      </c>
      <c r="AB16" s="1808">
        <f t="shared" si="4"/>
        <v>1</v>
      </c>
      <c r="AC16" s="1808">
        <f t="shared" si="5"/>
        <v>1</v>
      </c>
    </row>
    <row r="17" spans="1:29" ht="15">
      <c r="A17" s="427"/>
      <c r="B17" s="455"/>
      <c r="C17" s="2607"/>
      <c r="D17" s="447"/>
      <c r="E17" s="446"/>
      <c r="F17" s="448"/>
      <c r="G17" s="446"/>
      <c r="H17" s="447"/>
      <c r="I17" s="446"/>
      <c r="J17" s="447"/>
      <c r="K17" s="614"/>
      <c r="L17" s="1137"/>
      <c r="M17" s="1128"/>
      <c r="N17" s="1128"/>
      <c r="O17" s="1136"/>
      <c r="P17" s="3233"/>
      <c r="Q17" s="1807"/>
      <c r="R17" s="771"/>
      <c r="S17" s="772"/>
      <c r="T17" s="771"/>
      <c r="U17" s="772"/>
      <c r="V17" s="771"/>
      <c r="W17" s="772"/>
      <c r="X17" s="1810"/>
      <c r="Y17" s="3233"/>
      <c r="Z17" s="1811"/>
      <c r="AA17" s="1808">
        <v>1</v>
      </c>
      <c r="AB17" s="1808">
        <v>1</v>
      </c>
      <c r="AC17" s="1808">
        <v>1</v>
      </c>
    </row>
    <row r="18" spans="1:29" ht="41.4">
      <c r="A18" s="427"/>
      <c r="B18" s="1381" t="s">
        <v>2688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3"/>
      <c r="Q18" s="1807" t="str">
        <f>B18</f>
        <v>基础设施水平</v>
      </c>
      <c r="R18" s="771" t="s">
        <v>17</v>
      </c>
      <c r="S18" s="772">
        <f>F18</f>
        <v>100</v>
      </c>
      <c r="T18" s="771" t="s">
        <v>17</v>
      </c>
      <c r="U18" s="772">
        <f>H18</f>
        <v>100</v>
      </c>
      <c r="V18" s="771" t="s">
        <v>17</v>
      </c>
      <c r="W18" s="772">
        <f>J18</f>
        <v>100</v>
      </c>
      <c r="X18" s="1810"/>
      <c r="Y18" s="3233"/>
      <c r="Z18" s="1811" t="str">
        <f>Q18</f>
        <v>基础设施水平</v>
      </c>
      <c r="AA18" s="1808">
        <f t="shared" ref="AA18" si="8">D18/F18</f>
        <v>1</v>
      </c>
      <c r="AB18" s="1808">
        <f t="shared" ref="AB18" si="9">D18/H18</f>
        <v>1</v>
      </c>
      <c r="AC18" s="1808">
        <f t="shared" ref="AC18" si="10">D18/J18</f>
        <v>1</v>
      </c>
    </row>
    <row r="19" spans="1:29" ht="15">
      <c r="A19" s="427"/>
      <c r="B19" s="1381"/>
      <c r="C19" s="2607"/>
      <c r="D19" s="449"/>
      <c r="E19" s="2607"/>
      <c r="F19" s="452"/>
      <c r="G19" s="2607"/>
      <c r="H19" s="447"/>
      <c r="I19" s="446"/>
      <c r="J19" s="447"/>
      <c r="K19" s="1380"/>
      <c r="L19" s="1137"/>
      <c r="M19" s="1128"/>
      <c r="N19" s="1128"/>
      <c r="O19" s="1136"/>
      <c r="P19" s="3233"/>
      <c r="Q19" s="1807"/>
      <c r="R19" s="771"/>
      <c r="S19" s="772"/>
      <c r="T19" s="771"/>
      <c r="U19" s="772"/>
      <c r="V19" s="771"/>
      <c r="W19" s="772"/>
      <c r="X19" s="1810"/>
      <c r="Y19" s="3233"/>
      <c r="Z19" s="1811"/>
      <c r="AA19" s="1808">
        <v>1</v>
      </c>
      <c r="AB19" s="1808">
        <v>1</v>
      </c>
      <c r="AC19" s="1808">
        <v>1</v>
      </c>
    </row>
    <row r="20" spans="1:29" ht="55.2">
      <c r="A20" s="427"/>
      <c r="B20" s="450" t="s">
        <v>2709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3"/>
      <c r="Q20" s="1807" t="str">
        <f>B20</f>
        <v>自然及人文环境</v>
      </c>
      <c r="R20" s="771" t="s">
        <v>17</v>
      </c>
      <c r="S20" s="772">
        <f>F20</f>
        <v>100</v>
      </c>
      <c r="T20" s="771" t="s">
        <v>17</v>
      </c>
      <c r="U20" s="772">
        <f>H20</f>
        <v>100</v>
      </c>
      <c r="V20" s="771" t="s">
        <v>17</v>
      </c>
      <c r="W20" s="772">
        <f>J20</f>
        <v>100</v>
      </c>
      <c r="X20" s="1810"/>
      <c r="Y20" s="3233"/>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3"/>
      <c r="Q21" s="1807"/>
      <c r="R21" s="771"/>
      <c r="S21" s="772"/>
      <c r="T21" s="771"/>
      <c r="U21" s="772"/>
      <c r="V21" s="771"/>
      <c r="W21" s="772"/>
      <c r="X21" s="1810"/>
      <c r="Y21" s="3233"/>
      <c r="Z21" s="1811"/>
      <c r="AA21" s="1808">
        <v>1</v>
      </c>
      <c r="AB21" s="1808">
        <v>1</v>
      </c>
      <c r="AC21" s="1808">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3"/>
      <c r="Q22" s="1807" t="str">
        <f>B22</f>
        <v>楼层</v>
      </c>
      <c r="R22" s="771" t="s">
        <v>17</v>
      </c>
      <c r="S22" s="772">
        <f>F22</f>
        <v>100</v>
      </c>
      <c r="T22" s="771" t="s">
        <v>17</v>
      </c>
      <c r="U22" s="772">
        <f>H22</f>
        <v>100</v>
      </c>
      <c r="V22" s="771" t="s">
        <v>17</v>
      </c>
      <c r="W22" s="772">
        <f>J22</f>
        <v>100</v>
      </c>
      <c r="X22" s="1810"/>
      <c r="Y22" s="3233"/>
      <c r="Z22" s="1811" t="str">
        <f>Q22</f>
        <v>楼层</v>
      </c>
      <c r="AA22" s="1808">
        <f t="shared" si="3"/>
        <v>1</v>
      </c>
      <c r="AB22" s="1808">
        <f t="shared" si="4"/>
        <v>1</v>
      </c>
      <c r="AC22" s="1808">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3"/>
      <c r="Q23" s="1807">
        <f>B23</f>
        <v>111</v>
      </c>
      <c r="R23" s="771" t="s">
        <v>17</v>
      </c>
      <c r="S23" s="772">
        <f>F23</f>
        <v>100</v>
      </c>
      <c r="T23" s="771" t="s">
        <v>17</v>
      </c>
      <c r="U23" s="772">
        <f>H23</f>
        <v>100</v>
      </c>
      <c r="V23" s="771" t="s">
        <v>17</v>
      </c>
      <c r="W23" s="772">
        <f>J23</f>
        <v>100</v>
      </c>
      <c r="X23" s="1810"/>
      <c r="Y23" s="3233"/>
      <c r="Z23" s="1811">
        <f>Q23</f>
        <v>111</v>
      </c>
      <c r="AA23" s="1808">
        <f t="shared" si="3"/>
        <v>1</v>
      </c>
      <c r="AB23" s="1808">
        <f t="shared" si="4"/>
        <v>1</v>
      </c>
      <c r="AC23" s="1808">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3"/>
      <c r="Q24" s="1807">
        <f t="shared" ref="Q24:Q34" si="11">B24</f>
        <v>111</v>
      </c>
      <c r="R24" s="771" t="s">
        <v>17</v>
      </c>
      <c r="S24" s="772">
        <f>F24</f>
        <v>100</v>
      </c>
      <c r="T24" s="771" t="s">
        <v>17</v>
      </c>
      <c r="U24" s="772">
        <f>H24</f>
        <v>100</v>
      </c>
      <c r="V24" s="771" t="s">
        <v>17</v>
      </c>
      <c r="W24" s="772">
        <f>J24</f>
        <v>100</v>
      </c>
      <c r="X24" s="1810"/>
      <c r="Y24" s="3233"/>
      <c r="Z24" s="1811">
        <f>Q24</f>
        <v>111</v>
      </c>
      <c r="AA24" s="1808">
        <f t="shared" si="3"/>
        <v>1</v>
      </c>
      <c r="AB24" s="1808">
        <f t="shared" si="4"/>
        <v>1</v>
      </c>
      <c r="AC24" s="1808">
        <f t="shared" si="5"/>
        <v>1</v>
      </c>
    </row>
    <row r="25" spans="1:29" s="117" customFormat="1" ht="15.6" thickBot="1">
      <c r="A25" s="430"/>
      <c r="B25" s="2599">
        <v>111</v>
      </c>
      <c r="C25" s="2697"/>
      <c r="D25" s="663">
        <v>100</v>
      </c>
      <c r="E25" s="2697"/>
      <c r="F25" s="664">
        <f>SUMIF(75:75,E25,76:76)-SUMIF(75:75,C25,76:76)+100</f>
        <v>100</v>
      </c>
      <c r="G25" s="2697"/>
      <c r="H25" s="663">
        <f>SUMIF(75:75,G25,76:76)-SUMIF(75:75,C25,76:76)+100</f>
        <v>100</v>
      </c>
      <c r="I25" s="2697"/>
      <c r="J25" s="663">
        <f>SUMIF(75:75,I25,76:76)-SUMIF(75:75,C25,76:76)+100</f>
        <v>100</v>
      </c>
      <c r="K25" s="612"/>
      <c r="L25" s="1129"/>
      <c r="M25" s="1130"/>
      <c r="N25" s="1130"/>
      <c r="O25" s="1131"/>
      <c r="P25" s="3233"/>
      <c r="Q25" s="1792">
        <f t="shared" si="11"/>
        <v>111</v>
      </c>
      <c r="R25" s="767" t="s">
        <v>17</v>
      </c>
      <c r="S25" s="768">
        <f>F25</f>
        <v>100</v>
      </c>
      <c r="T25" s="767" t="s">
        <v>17</v>
      </c>
      <c r="U25" s="768">
        <f>H25</f>
        <v>100</v>
      </c>
      <c r="V25" s="767" t="s">
        <v>17</v>
      </c>
      <c r="W25" s="768">
        <f>J25</f>
        <v>100</v>
      </c>
      <c r="X25" s="769"/>
      <c r="Y25" s="3233"/>
      <c r="Z25" s="55">
        <f>Q25</f>
        <v>111</v>
      </c>
      <c r="AA25" s="1808">
        <f>D25/F25</f>
        <v>1</v>
      </c>
      <c r="AB25" s="1808">
        <f>D25/H25</f>
        <v>1</v>
      </c>
      <c r="AC25" s="1808">
        <f>D25/J25</f>
        <v>1</v>
      </c>
    </row>
    <row r="26" spans="1:29" ht="30">
      <c r="A26" s="465" t="s">
        <v>2562</v>
      </c>
      <c r="B26" s="71" t="s">
        <v>2713</v>
      </c>
      <c r="C26" s="2678"/>
      <c r="D26" s="466">
        <v>100</v>
      </c>
      <c r="E26" s="2678"/>
      <c r="F26" s="665">
        <f>SUMIF(77:77,E26,78:78)-SUMIF(77:77,C26,78:78)+100</f>
        <v>100</v>
      </c>
      <c r="G26" s="2678"/>
      <c r="H26" s="466">
        <f>SUMIF(77:77,G26,78:78)-SUMIF(77:77,C26,78:78)+100</f>
        <v>100</v>
      </c>
      <c r="I26" s="2678"/>
      <c r="J26" s="466">
        <f>SUMIF(77:77,I26,78:78)-SUMIF(77:77,C26,78:78)+100</f>
        <v>100</v>
      </c>
      <c r="K26" s="611"/>
      <c r="L26" s="1137"/>
      <c r="M26" s="1128"/>
      <c r="N26" s="1128"/>
      <c r="O26" s="1136"/>
      <c r="P26" s="3234" t="s">
        <v>2564</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35" t="s">
        <v>2564</v>
      </c>
      <c r="Z26" s="1811" t="str">
        <f t="shared" ref="Z26:Z34" si="15">Q26</f>
        <v>公共部分装修</v>
      </c>
      <c r="AA26" s="1808">
        <f t="shared" si="3"/>
        <v>1</v>
      </c>
      <c r="AB26" s="1808">
        <f t="shared" si="4"/>
        <v>1</v>
      </c>
      <c r="AC26" s="1808">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3" t="str">
        <f t="shared" si="11"/>
        <v>成新率</v>
      </c>
      <c r="R27" s="774" t="s">
        <v>17</v>
      </c>
      <c r="S27" s="775" t="e">
        <f t="shared" si="12"/>
        <v>#N/A</v>
      </c>
      <c r="T27" s="774" t="s">
        <v>17</v>
      </c>
      <c r="U27" s="775" t="e">
        <f t="shared" si="13"/>
        <v>#N/A</v>
      </c>
      <c r="V27" s="774" t="s">
        <v>17</v>
      </c>
      <c r="W27" s="775" t="e">
        <f t="shared" si="14"/>
        <v>#N/A</v>
      </c>
      <c r="X27" s="776"/>
      <c r="Y27" s="3235"/>
      <c r="Z27" s="777" t="str">
        <f t="shared" si="15"/>
        <v>成新率</v>
      </c>
      <c r="AA27" s="1808" t="e">
        <f t="shared" si="3"/>
        <v>#N/A</v>
      </c>
      <c r="AB27" s="1808" t="e">
        <f t="shared" si="4"/>
        <v>#N/A</v>
      </c>
      <c r="AC27" s="1808"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1" t="s">
        <v>17</v>
      </c>
      <c r="S28" s="772">
        <f t="shared" si="12"/>
        <v>100</v>
      </c>
      <c r="T28" s="771" t="s">
        <v>17</v>
      </c>
      <c r="U28" s="772">
        <f t="shared" si="13"/>
        <v>100</v>
      </c>
      <c r="V28" s="771" t="s">
        <v>17</v>
      </c>
      <c r="W28" s="772">
        <f t="shared" si="14"/>
        <v>100</v>
      </c>
      <c r="X28" s="1810"/>
      <c r="Y28" s="3235"/>
      <c r="Z28" s="1811" t="str">
        <f t="shared" si="15"/>
        <v>物业等级</v>
      </c>
      <c r="AA28" s="1808">
        <f t="shared" si="3"/>
        <v>1</v>
      </c>
      <c r="AB28" s="1808">
        <f t="shared" si="4"/>
        <v>1</v>
      </c>
      <c r="AC28" s="1808">
        <f t="shared" si="5"/>
        <v>1</v>
      </c>
    </row>
    <row r="29" spans="1:29" ht="15">
      <c r="A29" s="471"/>
      <c r="B29" s="421" t="s">
        <v>2736</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235"/>
      <c r="Q29" s="1807" t="str">
        <f t="shared" si="11"/>
        <v>有无电梯</v>
      </c>
      <c r="R29" s="771" t="s">
        <v>17</v>
      </c>
      <c r="S29" s="772">
        <f t="shared" si="12"/>
        <v>100</v>
      </c>
      <c r="T29" s="771" t="s">
        <v>17</v>
      </c>
      <c r="U29" s="772">
        <f t="shared" si="13"/>
        <v>100</v>
      </c>
      <c r="V29" s="771" t="s">
        <v>17</v>
      </c>
      <c r="W29" s="772">
        <f t="shared" si="14"/>
        <v>100</v>
      </c>
      <c r="X29" s="1810"/>
      <c r="Y29" s="3235"/>
      <c r="Z29" s="1811" t="str">
        <f t="shared" si="15"/>
        <v>有无电梯</v>
      </c>
      <c r="AA29" s="1808">
        <f t="shared" si="3"/>
        <v>1</v>
      </c>
      <c r="AB29" s="1808">
        <f t="shared" si="4"/>
        <v>1</v>
      </c>
      <c r="AC29" s="1808">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1" t="s">
        <v>17</v>
      </c>
      <c r="S30" s="772" t="e">
        <f t="shared" si="12"/>
        <v>#N/A</v>
      </c>
      <c r="T30" s="771" t="s">
        <v>17</v>
      </c>
      <c r="U30" s="772" t="e">
        <f t="shared" si="13"/>
        <v>#N/A</v>
      </c>
      <c r="V30" s="771" t="s">
        <v>17</v>
      </c>
      <c r="W30" s="772"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2738</v>
      </c>
      <c r="C31" s="655"/>
      <c r="D31" s="135">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235"/>
      <c r="Q31" s="1792" t="str">
        <f t="shared" si="11"/>
        <v>是否封闭</v>
      </c>
      <c r="R31" s="767" t="s">
        <v>17</v>
      </c>
      <c r="S31" s="768">
        <f t="shared" si="12"/>
        <v>100</v>
      </c>
      <c r="T31" s="767" t="s">
        <v>17</v>
      </c>
      <c r="U31" s="768">
        <f t="shared" si="13"/>
        <v>100</v>
      </c>
      <c r="V31" s="767" t="s">
        <v>17</v>
      </c>
      <c r="W31" s="768">
        <f t="shared" si="14"/>
        <v>100</v>
      </c>
      <c r="X31" s="769"/>
      <c r="Y31" s="3235"/>
      <c r="Z31" s="55"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2564</v>
      </c>
      <c r="Q32" s="1807">
        <f t="shared" si="11"/>
        <v>111</v>
      </c>
      <c r="R32" s="771" t="s">
        <v>17</v>
      </c>
      <c r="S32" s="772">
        <f t="shared" si="12"/>
        <v>100</v>
      </c>
      <c r="T32" s="771" t="s">
        <v>17</v>
      </c>
      <c r="U32" s="772">
        <f t="shared" si="13"/>
        <v>100</v>
      </c>
      <c r="V32" s="771" t="s">
        <v>17</v>
      </c>
      <c r="W32" s="772">
        <f t="shared" si="14"/>
        <v>100</v>
      </c>
      <c r="X32" s="1810"/>
      <c r="Y32" s="3235" t="s">
        <v>2564</v>
      </c>
      <c r="Z32" s="1811">
        <f t="shared" si="15"/>
        <v>111</v>
      </c>
      <c r="AA32" s="1808">
        <f t="shared" si="3"/>
        <v>1</v>
      </c>
      <c r="AB32" s="1808">
        <f t="shared" si="4"/>
        <v>1</v>
      </c>
      <c r="AC32" s="1808">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1" t="s">
        <v>17</v>
      </c>
      <c r="S33" s="772">
        <f t="shared" si="12"/>
        <v>100</v>
      </c>
      <c r="T33" s="771" t="s">
        <v>17</v>
      </c>
      <c r="U33" s="772">
        <f t="shared" si="13"/>
        <v>100</v>
      </c>
      <c r="V33" s="771" t="s">
        <v>17</v>
      </c>
      <c r="W33" s="772">
        <f t="shared" si="14"/>
        <v>100</v>
      </c>
      <c r="X33" s="1810"/>
      <c r="Y33" s="3235"/>
      <c r="Z33" s="1811">
        <f t="shared" si="15"/>
        <v>111</v>
      </c>
      <c r="AA33" s="1808">
        <f t="shared" si="3"/>
        <v>1</v>
      </c>
      <c r="AB33" s="1808">
        <f t="shared" si="4"/>
        <v>1</v>
      </c>
      <c r="AC33" s="1808">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7"/>
      <c r="M34" s="1128"/>
      <c r="N34" s="1128"/>
      <c r="O34" s="1136"/>
      <c r="P34" s="3235"/>
      <c r="Q34" s="1807">
        <f t="shared" si="11"/>
        <v>111</v>
      </c>
      <c r="R34" s="771" t="s">
        <v>17</v>
      </c>
      <c r="S34" s="772">
        <f t="shared" si="12"/>
        <v>100</v>
      </c>
      <c r="T34" s="771" t="s">
        <v>17</v>
      </c>
      <c r="U34" s="772">
        <f t="shared" si="13"/>
        <v>100</v>
      </c>
      <c r="V34" s="771" t="s">
        <v>17</v>
      </c>
      <c r="W34" s="772">
        <f t="shared" si="14"/>
        <v>100</v>
      </c>
      <c r="X34" s="1810"/>
      <c r="Y34" s="3235"/>
      <c r="Z34" s="1811">
        <f t="shared" si="15"/>
        <v>111</v>
      </c>
      <c r="AA34" s="1808">
        <f t="shared" si="3"/>
        <v>1</v>
      </c>
      <c r="AB34" s="1808">
        <f t="shared" si="4"/>
        <v>1</v>
      </c>
      <c r="AC34" s="1808">
        <f t="shared" si="5"/>
        <v>1</v>
      </c>
    </row>
    <row r="35" spans="1:29" ht="14.4">
      <c r="A35" s="478" t="s">
        <v>2576</v>
      </c>
      <c r="B35" s="479"/>
      <c r="C35" s="1404" t="s">
        <v>1</v>
      </c>
      <c r="D35" s="1405"/>
      <c r="E35" s="1406"/>
      <c r="F35" s="1407"/>
      <c r="G35" s="1408"/>
      <c r="H35" s="1409"/>
      <c r="I35" s="1406"/>
      <c r="J35" s="1409"/>
      <c r="K35" s="780"/>
      <c r="L35" s="1140"/>
      <c r="M35" s="1141"/>
      <c r="N35" s="1128"/>
      <c r="O35" s="1141"/>
      <c r="P35" s="3230" t="str">
        <f>A35</f>
        <v>成交单价（元/平方米）</v>
      </c>
      <c r="Q35" s="3230"/>
      <c r="R35" s="3287">
        <f>E35</f>
        <v>0</v>
      </c>
      <c r="S35" s="3287"/>
      <c r="T35" s="3287">
        <f>G35</f>
        <v>0</v>
      </c>
      <c r="U35" s="3287"/>
      <c r="V35" s="3287">
        <f>I35</f>
        <v>0</v>
      </c>
      <c r="W35" s="3287"/>
      <c r="X35" s="756"/>
      <c r="Y35" s="778"/>
      <c r="Z35" s="756"/>
      <c r="AA35" s="756"/>
      <c r="AB35" s="756"/>
      <c r="AC35" s="756"/>
    </row>
    <row r="36" spans="1:29" ht="15" thickBot="1">
      <c r="A36" s="485" t="s">
        <v>2668</v>
      </c>
      <c r="B36" s="486"/>
      <c r="C36" s="1410" t="e">
        <f>R37</f>
        <v>#DIV/0!</v>
      </c>
      <c r="D36" s="1411"/>
      <c r="E36" s="1412" t="e">
        <f>R36</f>
        <v>#DIV/0!</v>
      </c>
      <c r="F36" s="1412"/>
      <c r="G36" s="1410" t="e">
        <f>T36</f>
        <v>#DIV/0!</v>
      </c>
      <c r="H36" s="1411"/>
      <c r="I36" s="1412" t="e">
        <f>V36</f>
        <v>#DIV/0!</v>
      </c>
      <c r="J36" s="1411"/>
      <c r="K36" s="781"/>
      <c r="L36" s="1140"/>
      <c r="M36" s="1141"/>
      <c r="N36" s="1128"/>
      <c r="O36" s="1141"/>
      <c r="P36" s="3230" t="str">
        <f>A36</f>
        <v>比较价值（元/平方米）</v>
      </c>
      <c r="Q36" s="3230"/>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6"/>
      <c r="Y36" s="756"/>
      <c r="Z36" s="756"/>
      <c r="AA36" s="756"/>
      <c r="AB36" s="756"/>
      <c r="AC36" s="756"/>
    </row>
    <row r="37" spans="1:29" ht="15" thickBot="1">
      <c r="A37" s="491" t="s">
        <v>2669</v>
      </c>
      <c r="B37" s="492"/>
      <c r="C37" s="1414" t="e">
        <f>R37</f>
        <v>#DIV/0!</v>
      </c>
      <c r="D37" s="1414"/>
      <c r="E37" s="1414"/>
      <c r="F37" s="1414"/>
      <c r="G37" s="1414"/>
      <c r="H37" s="1414"/>
      <c r="I37" s="1414"/>
      <c r="J37" s="1414"/>
      <c r="K37" s="782"/>
      <c r="L37" s="1140"/>
      <c r="M37" s="1141"/>
      <c r="N37" s="1141"/>
      <c r="O37" s="1141"/>
      <c r="P37" s="3224" t="str">
        <f>A37</f>
        <v>估价对象XX用房的比较价值（楼面单价，元/平方米）</v>
      </c>
      <c r="Q37" s="3225"/>
      <c r="R37" s="3288" t="e">
        <f>IF(F1="售价",ROUND(AVERAGE(R36:V36),0),ROUND(AVERAGE(R36:V36),1))</f>
        <v>#DIV/0!</v>
      </c>
      <c r="S37" s="3288"/>
      <c r="T37" s="3288"/>
      <c r="U37" s="3288"/>
      <c r="V37" s="3288"/>
      <c r="W37" s="328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2673</v>
      </c>
      <c r="B45" s="756"/>
      <c r="C45" s="761"/>
      <c r="D45" s="761"/>
      <c r="E45" s="761"/>
      <c r="F45" s="762"/>
      <c r="G45" s="762"/>
      <c r="H45" s="761"/>
      <c r="I45" s="761"/>
      <c r="J45" s="761"/>
      <c r="K45" s="763"/>
      <c r="L45" s="764"/>
      <c r="M45" s="761"/>
      <c r="N45" s="761"/>
      <c r="O45" s="761"/>
      <c r="P45" s="502"/>
      <c r="Q45" s="503"/>
    </row>
    <row r="46" spans="1:29" s="507" customFormat="1" ht="14.4">
      <c r="A46" s="504" t="s">
        <v>2547</v>
      </c>
      <c r="B46" s="505"/>
      <c r="C46" s="1571" t="str">
        <f>YEAR(C7)&amp;"-"&amp;MONTH(C7)</f>
        <v>2020-1</v>
      </c>
      <c r="D46" s="1572">
        <f>EDATE(C46,-1)</f>
        <v>43800</v>
      </c>
      <c r="E46" s="1572">
        <f t="shared" ref="E46:O46" si="16">EDATE(D46,-1)</f>
        <v>43770</v>
      </c>
      <c r="F46" s="1572">
        <f t="shared" si="16"/>
        <v>43739</v>
      </c>
      <c r="G46" s="1572">
        <f t="shared" si="16"/>
        <v>43709</v>
      </c>
      <c r="H46" s="1572">
        <f t="shared" si="16"/>
        <v>43678</v>
      </c>
      <c r="I46" s="1572">
        <f t="shared" si="16"/>
        <v>43647</v>
      </c>
      <c r="J46" s="1572">
        <f t="shared" si="16"/>
        <v>43617</v>
      </c>
      <c r="K46" s="1572">
        <f t="shared" si="16"/>
        <v>43586</v>
      </c>
      <c r="L46" s="1572">
        <f t="shared" si="16"/>
        <v>43556</v>
      </c>
      <c r="M46" s="1572">
        <f t="shared" si="16"/>
        <v>43525</v>
      </c>
      <c r="N46" s="1572">
        <f t="shared" si="16"/>
        <v>43497</v>
      </c>
      <c r="O46" s="1572">
        <f t="shared" si="16"/>
        <v>43466</v>
      </c>
      <c r="P46" s="506"/>
    </row>
    <row r="47" spans="1:29" s="117" customFormat="1">
      <c r="A47" s="508"/>
      <c r="B47" s="509"/>
      <c r="C47" s="1570">
        <v>100</v>
      </c>
      <c r="D47" s="511"/>
      <c r="E47" s="511"/>
      <c r="F47" s="511"/>
      <c r="G47" s="511"/>
      <c r="H47" s="511"/>
      <c r="I47" s="511"/>
      <c r="J47" s="511"/>
      <c r="K47" s="511"/>
      <c r="L47" s="511"/>
      <c r="M47" s="512"/>
      <c r="N47" s="511"/>
      <c r="O47" s="513"/>
      <c r="P47" s="503"/>
    </row>
    <row r="48" spans="1:29" s="117" customFormat="1" ht="15" thickBot="1">
      <c r="A48" s="514" t="s">
        <v>2584</v>
      </c>
      <c r="B48" s="515"/>
      <c r="C48" s="516"/>
      <c r="D48" s="517"/>
      <c r="E48" s="517"/>
      <c r="F48" s="517"/>
      <c r="G48" s="517"/>
      <c r="H48" s="517"/>
      <c r="I48" s="517"/>
      <c r="J48" s="517"/>
      <c r="K48" s="517"/>
      <c r="L48" s="517"/>
      <c r="M48" s="518"/>
      <c r="N48" s="517"/>
      <c r="O48" s="519"/>
      <c r="P48" s="503"/>
      <c r="Q48" s="503"/>
    </row>
    <row r="49" spans="1:17" s="117" customFormat="1" ht="14.4">
      <c r="A49" s="520" t="s">
        <v>2549</v>
      </c>
      <c r="B49" s="509"/>
      <c r="C49" s="521" t="s">
        <v>2651</v>
      </c>
      <c r="D49" s="522"/>
      <c r="E49" s="522"/>
      <c r="F49" s="522"/>
      <c r="G49" s="522"/>
      <c r="H49" s="522"/>
      <c r="I49" s="522"/>
      <c r="J49" s="522"/>
      <c r="K49" s="522"/>
      <c r="L49" s="523"/>
      <c r="M49" s="524"/>
      <c r="N49" s="1148"/>
      <c r="O49" s="1148"/>
      <c r="P49" s="525"/>
      <c r="Q49" s="503"/>
    </row>
    <row r="50" spans="1:17" s="117" customFormat="1" ht="14.4" thickBot="1">
      <c r="A50" s="520"/>
      <c r="B50" s="509"/>
      <c r="C50" s="637">
        <v>100</v>
      </c>
      <c r="D50" s="511"/>
      <c r="E50" s="511"/>
      <c r="F50" s="511"/>
      <c r="G50" s="511"/>
      <c r="H50" s="511"/>
      <c r="I50" s="511"/>
      <c r="J50" s="511"/>
      <c r="K50" s="511"/>
      <c r="L50" s="511"/>
      <c r="M50" s="513"/>
      <c r="N50" s="1148"/>
      <c r="O50" s="1148"/>
      <c r="P50" s="503"/>
      <c r="Q50" s="503"/>
    </row>
    <row r="51" spans="1:17" ht="14.4">
      <c r="A51" s="526" t="s">
        <v>2587</v>
      </c>
      <c r="B51" s="527" t="s">
        <v>2553</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8">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2688</v>
      </c>
      <c r="C65" s="658" t="s">
        <v>2674</v>
      </c>
      <c r="D65" s="658" t="s">
        <v>2675</v>
      </c>
      <c r="E65" s="658" t="s">
        <v>2676</v>
      </c>
      <c r="F65" s="658" t="s">
        <v>2677</v>
      </c>
      <c r="G65" s="658" t="s">
        <v>2678</v>
      </c>
      <c r="H65" s="538"/>
      <c r="I65" s="538"/>
      <c r="J65" s="538"/>
      <c r="K65" s="538"/>
      <c r="L65" s="538"/>
      <c r="M65" s="1379"/>
      <c r="N65" s="1150"/>
      <c r="O65" s="1150"/>
      <c r="P65" s="45"/>
      <c r="Q65" s="503"/>
    </row>
    <row r="66" spans="1:17" ht="14.4" thickBot="1">
      <c r="A66" s="533"/>
      <c r="B66" s="545"/>
      <c r="C66" s="543">
        <v>100</v>
      </c>
      <c r="D66" s="543">
        <f>C66-$K18</f>
        <v>100</v>
      </c>
      <c r="E66" s="543">
        <f>D66-$K18</f>
        <v>100</v>
      </c>
      <c r="F66" s="543">
        <f>E66-$K18</f>
        <v>100</v>
      </c>
      <c r="G66" s="543">
        <f>F66-$K18</f>
        <v>100</v>
      </c>
      <c r="H66" s="658"/>
      <c r="I66" s="658"/>
      <c r="J66" s="658"/>
      <c r="K66" s="658"/>
      <c r="L66" s="658"/>
      <c r="M66" s="449"/>
      <c r="N66" s="1150"/>
      <c r="O66" s="1150"/>
      <c r="P66" s="45"/>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2728</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4.4" thickTop="1">
      <c r="A71" s="578"/>
      <c r="B71" s="537">
        <f>B23</f>
        <v>111</v>
      </c>
      <c r="C71" s="548"/>
      <c r="D71" s="548"/>
      <c r="E71" s="548"/>
      <c r="F71" s="548"/>
      <c r="G71" s="553"/>
      <c r="H71" s="553"/>
      <c r="I71" s="553"/>
      <c r="J71" s="553"/>
      <c r="K71" s="553"/>
      <c r="L71" s="579"/>
      <c r="M71" s="580"/>
      <c r="N71" s="1148"/>
      <c r="O71" s="1148"/>
      <c r="P71" s="45"/>
      <c r="Q71" s="503"/>
    </row>
    <row r="72" spans="1:17" s="117" customFormat="1" ht="14.4" thickBot="1">
      <c r="A72" s="578"/>
      <c r="B72" s="542"/>
      <c r="C72" s="559"/>
      <c r="D72" s="535"/>
      <c r="E72" s="535"/>
      <c r="F72" s="535"/>
      <c r="G72" s="535"/>
      <c r="H72" s="535"/>
      <c r="I72" s="535"/>
      <c r="J72" s="535"/>
      <c r="K72" s="535"/>
      <c r="L72" s="535"/>
      <c r="M72" s="536"/>
      <c r="N72" s="1150"/>
      <c r="O72" s="1150"/>
      <c r="P72" s="45"/>
      <c r="Q72" s="503"/>
    </row>
    <row r="73" spans="1:17" s="117" customFormat="1" ht="14.4" thickTop="1">
      <c r="A73" s="578"/>
      <c r="B73" s="537">
        <f>B24</f>
        <v>111</v>
      </c>
      <c r="C73" s="548"/>
      <c r="D73" s="548"/>
      <c r="E73" s="548"/>
      <c r="F73" s="548"/>
      <c r="G73" s="553"/>
      <c r="H73" s="553"/>
      <c r="I73" s="553"/>
      <c r="J73" s="553"/>
      <c r="K73" s="553"/>
      <c r="L73" s="553"/>
      <c r="M73" s="580"/>
      <c r="N73" s="1148"/>
      <c r="O73" s="1148"/>
      <c r="P73" s="45"/>
      <c r="Q73" s="503"/>
    </row>
    <row r="74" spans="1:17" s="117"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2562</v>
      </c>
      <c r="B77" s="527" t="s">
        <v>2615</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8"/>
      <c r="J80" s="658"/>
      <c r="K80" s="666"/>
      <c r="L80" s="667"/>
      <c r="M80" s="668"/>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2732</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2740</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2742</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4">
        <f>B34</f>
        <v>111</v>
      </c>
      <c r="C95" s="548"/>
      <c r="D95" s="548"/>
      <c r="E95" s="548"/>
      <c r="F95" s="548"/>
      <c r="G95" s="553"/>
      <c r="H95" s="554"/>
      <c r="I95" s="554"/>
      <c r="J95" s="554"/>
      <c r="K95" s="554"/>
      <c r="L95" s="555"/>
      <c r="M95" s="556"/>
      <c r="N95" s="1150"/>
      <c r="O95" s="1150"/>
      <c r="P95" s="635"/>
      <c r="Q95" s="636"/>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27" t="s">
        <v>2645</v>
      </c>
      <c r="D4" s="3240"/>
      <c r="E4" s="3241" t="s">
        <v>2646</v>
      </c>
      <c r="F4" s="3242"/>
      <c r="G4" s="3227" t="s">
        <v>2647</v>
      </c>
      <c r="H4" s="3240"/>
      <c r="I4" s="3227" t="s">
        <v>2648</v>
      </c>
      <c r="J4" s="3240"/>
      <c r="K4" s="609" t="s">
        <v>2649</v>
      </c>
      <c r="L4" s="1127"/>
      <c r="M4" s="1128"/>
      <c r="N4" s="1128"/>
      <c r="O4" s="1128"/>
      <c r="P4" s="3243" t="s">
        <v>2650</v>
      </c>
      <c r="Q4" s="3244"/>
      <c r="R4" s="3249" t="s">
        <v>2646</v>
      </c>
      <c r="S4" s="3250"/>
      <c r="T4" s="3249" t="s">
        <v>2647</v>
      </c>
      <c r="U4" s="3250"/>
      <c r="V4" s="3236" t="s">
        <v>2648</v>
      </c>
      <c r="W4" s="3236"/>
      <c r="X4" s="1810"/>
      <c r="Y4" s="3249" t="s">
        <v>2650</v>
      </c>
      <c r="Z4" s="3250"/>
      <c r="AA4" s="3237" t="s">
        <v>2646</v>
      </c>
      <c r="AB4" s="3238" t="s">
        <v>2647</v>
      </c>
      <c r="AC4" s="3237" t="s">
        <v>2648</v>
      </c>
    </row>
    <row r="5" spans="1:29">
      <c r="A5" s="403"/>
      <c r="B5" s="404"/>
      <c r="C5" s="3257" t="s">
        <v>2541</v>
      </c>
      <c r="D5" s="3258"/>
      <c r="E5" s="3264" t="s">
        <v>2542</v>
      </c>
      <c r="F5" s="3265"/>
      <c r="G5" s="3257" t="s">
        <v>2543</v>
      </c>
      <c r="H5" s="3258"/>
      <c r="I5" s="3257" t="s">
        <v>2544</v>
      </c>
      <c r="J5" s="3258"/>
      <c r="K5" s="609"/>
      <c r="L5" s="1127"/>
      <c r="M5" s="1128"/>
      <c r="N5" s="1128"/>
      <c r="O5" s="1128"/>
      <c r="P5" s="3245"/>
      <c r="Q5" s="3246"/>
      <c r="R5" s="3251"/>
      <c r="S5" s="3252"/>
      <c r="T5" s="3251"/>
      <c r="U5" s="3252"/>
      <c r="V5" s="3236"/>
      <c r="W5" s="3236"/>
      <c r="X5" s="1810"/>
      <c r="Y5" s="3251"/>
      <c r="Z5" s="3252"/>
      <c r="AA5" s="3238"/>
      <c r="AB5" s="3238"/>
      <c r="AC5" s="3238"/>
    </row>
    <row r="6" spans="1:29" ht="15" thickBot="1">
      <c r="A6" s="405"/>
      <c r="B6" s="406"/>
      <c r="C6" s="3321" t="s">
        <v>2796</v>
      </c>
      <c r="D6" s="3322"/>
      <c r="E6" s="3323" t="s">
        <v>2796</v>
      </c>
      <c r="F6" s="3324"/>
      <c r="G6" s="3321" t="s">
        <v>2796</v>
      </c>
      <c r="H6" s="3322"/>
      <c r="I6" s="3321" t="s">
        <v>2796</v>
      </c>
      <c r="J6" s="3322"/>
      <c r="K6" s="609" t="s">
        <v>2546</v>
      </c>
      <c r="L6" s="1127"/>
      <c r="M6" s="1128"/>
      <c r="N6" s="1128"/>
      <c r="O6" s="1128"/>
      <c r="P6" s="3247"/>
      <c r="Q6" s="3248"/>
      <c r="R6" s="3251"/>
      <c r="S6" s="3252"/>
      <c r="T6" s="3253"/>
      <c r="U6" s="3254"/>
      <c r="V6" s="3236"/>
      <c r="W6" s="3236"/>
      <c r="X6" s="1810"/>
      <c r="Y6" s="3253"/>
      <c r="Z6" s="3254"/>
      <c r="AA6" s="3239"/>
      <c r="AB6" s="3239"/>
      <c r="AC6" s="3239"/>
    </row>
    <row r="7" spans="1:29" s="117" customFormat="1" ht="15" thickBot="1">
      <c r="A7" s="407" t="s">
        <v>2547</v>
      </c>
      <c r="B7" s="408"/>
      <c r="C7" s="409">
        <f>'数据-取费表'!B2</f>
        <v>43845</v>
      </c>
      <c r="D7" s="410">
        <v>100</v>
      </c>
      <c r="E7" s="411"/>
      <c r="F7" s="412">
        <f>SUMIF(65:65,YEAR(E7)&amp;"-"&amp;INT((MONTH(E7)+2)/3),66:66)</f>
        <v>0</v>
      </c>
      <c r="G7" s="2695"/>
      <c r="H7" s="410">
        <f>SUMIF(65:65,YEAR(G7)&amp;"-"&amp;INT((MONTH(G7)+2)/3),66:66)</f>
        <v>0</v>
      </c>
      <c r="I7" s="2695"/>
      <c r="J7" s="410">
        <f>SUMIF(65:65,YEAR(I7)&amp;"-"&amp;INT((MONTH(I7)+2)/3),66:66)</f>
        <v>0</v>
      </c>
      <c r="K7" s="610"/>
      <c r="L7" s="1129"/>
      <c r="M7" s="1130"/>
      <c r="N7" s="1130"/>
      <c r="O7" s="1130"/>
      <c r="P7" s="3259" t="s">
        <v>2548</v>
      </c>
      <c r="Q7" s="3261"/>
      <c r="R7" s="767" t="s">
        <v>17</v>
      </c>
      <c r="S7" s="768">
        <f t="shared" ref="S7:S15" si="0">F7</f>
        <v>0</v>
      </c>
      <c r="T7" s="767" t="s">
        <v>17</v>
      </c>
      <c r="U7" s="768">
        <f t="shared" ref="U7:U15" si="1">H7</f>
        <v>0</v>
      </c>
      <c r="V7" s="767" t="s">
        <v>17</v>
      </c>
      <c r="W7" s="768">
        <f t="shared" ref="W7:W15" si="2">J7</f>
        <v>0</v>
      </c>
      <c r="X7" s="769"/>
      <c r="Y7" s="3259" t="s">
        <v>2548</v>
      </c>
      <c r="Z7" s="3260"/>
      <c r="AA7" s="770" t="e">
        <f>D7/F7</f>
        <v>#DIV/0!</v>
      </c>
      <c r="AB7" s="770" t="e">
        <f>D7/H7</f>
        <v>#DIV/0!</v>
      </c>
      <c r="AC7" s="770" t="e">
        <f>D7/J7</f>
        <v>#DIV/0!</v>
      </c>
    </row>
    <row r="8" spans="1:29" s="117"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59" t="s">
        <v>2551</v>
      </c>
      <c r="Q8" s="3260"/>
      <c r="R8" s="767" t="s">
        <v>17</v>
      </c>
      <c r="S8" s="768">
        <f t="shared" si="0"/>
        <v>0</v>
      </c>
      <c r="T8" s="767" t="s">
        <v>17</v>
      </c>
      <c r="U8" s="768">
        <f t="shared" si="1"/>
        <v>0</v>
      </c>
      <c r="V8" s="767" t="s">
        <v>17</v>
      </c>
      <c r="W8" s="768">
        <f t="shared" si="2"/>
        <v>0</v>
      </c>
      <c r="X8" s="769"/>
      <c r="Y8" s="3259" t="s">
        <v>2551</v>
      </c>
      <c r="Z8" s="3260"/>
      <c r="AA8" s="770" t="e">
        <f t="shared" ref="AA8:AA40" si="3">D8/F8</f>
        <v>#DIV/0!</v>
      </c>
      <c r="AB8" s="770" t="e">
        <f t="shared" ref="AB8:AB40" si="4">D8/H8</f>
        <v>#DIV/0!</v>
      </c>
      <c r="AC8" s="770" t="e">
        <f t="shared" ref="AC8:AC40" si="5">D8/J8</f>
        <v>#DIV/0!</v>
      </c>
    </row>
    <row r="9" spans="1:29" s="117" customFormat="1" ht="14.4">
      <c r="A9" s="414" t="s">
        <v>2552</v>
      </c>
      <c r="B9" s="71" t="s">
        <v>2553</v>
      </c>
      <c r="C9" s="2698"/>
      <c r="D9" s="134">
        <v>100</v>
      </c>
      <c r="E9" s="2698"/>
      <c r="F9" s="134">
        <f>SUMIF(70:70,E9,71:71)-SUMIF(70:70,C9,71:71)+100</f>
        <v>100</v>
      </c>
      <c r="G9" s="2698"/>
      <c r="H9" s="134">
        <f>SUMIF(70:70,G9,71:71)-SUMIF(70:70,C9,71:71)+100</f>
        <v>100</v>
      </c>
      <c r="I9" s="2698"/>
      <c r="J9" s="134">
        <f>SUMIF(70:70,I9,71:71)-SUMIF(70:70,C9,71:71)+100</f>
        <v>100</v>
      </c>
      <c r="K9" s="610"/>
      <c r="L9" s="1129"/>
      <c r="M9" s="1130"/>
      <c r="N9" s="1130"/>
      <c r="O9" s="1131"/>
      <c r="P9" s="3230" t="s">
        <v>2554</v>
      </c>
      <c r="Q9" s="1792" t="str">
        <f t="shared" ref="Q9:Q15" si="6">B9</f>
        <v>用途</v>
      </c>
      <c r="R9" s="767" t="s">
        <v>17</v>
      </c>
      <c r="S9" s="768">
        <f t="shared" si="0"/>
        <v>100</v>
      </c>
      <c r="T9" s="767" t="s">
        <v>17</v>
      </c>
      <c r="U9" s="768">
        <f t="shared" si="1"/>
        <v>100</v>
      </c>
      <c r="V9" s="767" t="s">
        <v>17</v>
      </c>
      <c r="W9" s="768">
        <f t="shared" si="2"/>
        <v>100</v>
      </c>
      <c r="X9" s="769"/>
      <c r="Y9" s="3074" t="s">
        <v>2555</v>
      </c>
      <c r="Z9" s="55" t="str">
        <f t="shared" ref="Z9:Z15" si="7">Q9</f>
        <v>用途</v>
      </c>
      <c r="AA9" s="770">
        <f t="shared" si="3"/>
        <v>1</v>
      </c>
      <c r="AB9" s="770">
        <f t="shared" si="4"/>
        <v>1</v>
      </c>
      <c r="AC9" s="770">
        <f t="shared" si="5"/>
        <v>1</v>
      </c>
    </row>
    <row r="10" spans="1:29" s="426" customFormat="1" ht="28.8">
      <c r="A10" s="420"/>
      <c r="B10" s="421" t="s">
        <v>2556</v>
      </c>
      <c r="C10" s="431"/>
      <c r="D10" s="135">
        <v>100</v>
      </c>
      <c r="E10" s="431"/>
      <c r="F10" s="135">
        <f>ROUND(100/'数据-取费表'!G16,0)</f>
        <v>100</v>
      </c>
      <c r="G10" s="431"/>
      <c r="H10" s="135">
        <f>ROUND(100/'数据-取费表'!G16,0)</f>
        <v>100</v>
      </c>
      <c r="I10" s="431"/>
      <c r="J10" s="135">
        <f>ROUND(100/'数据-取费表'!G16,0)</f>
        <v>100</v>
      </c>
      <c r="K10" s="670"/>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74"/>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74"/>
      <c r="Z11" s="55" t="str">
        <f t="shared" si="7"/>
        <v>容积率</v>
      </c>
      <c r="AA11" s="770" t="e">
        <f t="shared" si="3"/>
        <v>#N/A</v>
      </c>
      <c r="AB11" s="770" t="e">
        <f t="shared" si="4"/>
        <v>#N/A</v>
      </c>
      <c r="AC11" s="770" t="e">
        <f t="shared" si="5"/>
        <v>#N/A</v>
      </c>
    </row>
    <row r="12" spans="1:29" s="117" customFormat="1" ht="15">
      <c r="A12" s="430"/>
      <c r="B12" s="2599">
        <v>111</v>
      </c>
      <c r="C12" s="431"/>
      <c r="D12" s="432">
        <v>100</v>
      </c>
      <c r="E12" s="548"/>
      <c r="F12" s="135">
        <f>SUMIF(77:77,E12,78:78)-SUMIF(77:77,C12,78:78)+100</f>
        <v>100</v>
      </c>
      <c r="G12" s="672"/>
      <c r="H12" s="135">
        <f>SUMIF(77:77,G12,78:78)-SUMIF(77:77,C12,78:78)+100</f>
        <v>100</v>
      </c>
      <c r="I12" s="548"/>
      <c r="J12" s="135">
        <f>SUMIF(77:77,I12,78:78)-SUMIF(77:77,C12,78:78)+100</f>
        <v>100</v>
      </c>
      <c r="K12" s="670"/>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74"/>
      <c r="Z12" s="55">
        <f t="shared" si="7"/>
        <v>111</v>
      </c>
      <c r="AA12" s="770">
        <f>D12/F12</f>
        <v>1</v>
      </c>
      <c r="AB12" s="770">
        <f>D12/H12</f>
        <v>1</v>
      </c>
      <c r="AC12" s="770">
        <f>D12/J12</f>
        <v>1</v>
      </c>
    </row>
    <row r="13" spans="1:29" ht="15">
      <c r="A13" s="427"/>
      <c r="B13" s="2599">
        <v>111</v>
      </c>
      <c r="C13" s="433"/>
      <c r="D13" s="434">
        <v>100</v>
      </c>
      <c r="E13" s="548"/>
      <c r="F13" s="135">
        <f>SUMIF(79:79,E13,80:80)-SUMIF(79:79,C13,80:80)+100</f>
        <v>100</v>
      </c>
      <c r="G13" s="672"/>
      <c r="H13" s="434">
        <f>SUMIF(79:79,G13,80:80)-SUMIF(79:79,C13,80:80)+100</f>
        <v>100</v>
      </c>
      <c r="I13" s="548"/>
      <c r="J13" s="434">
        <f>SUMIF(79:79,I13,80:80)-SUMIF(79:79,C13,80:80)+100</f>
        <v>100</v>
      </c>
      <c r="K13" s="670"/>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74"/>
      <c r="Z13" s="55">
        <f t="shared" si="7"/>
        <v>111</v>
      </c>
      <c r="AA13" s="770">
        <f t="shared" si="3"/>
        <v>1</v>
      </c>
      <c r="AB13" s="770">
        <f t="shared" si="4"/>
        <v>1</v>
      </c>
      <c r="AC13" s="770">
        <f t="shared" si="5"/>
        <v>1</v>
      </c>
    </row>
    <row r="14" spans="1:29" ht="15.6" thickBot="1">
      <c r="A14" s="435"/>
      <c r="B14" s="2601">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74"/>
      <c r="Z14" s="55">
        <f t="shared" si="7"/>
        <v>111</v>
      </c>
      <c r="AA14" s="770">
        <f t="shared" si="3"/>
        <v>1</v>
      </c>
      <c r="AB14" s="770">
        <f t="shared" si="4"/>
        <v>1</v>
      </c>
      <c r="AC14" s="770">
        <f t="shared" si="5"/>
        <v>1</v>
      </c>
    </row>
    <row r="15" spans="1:29" ht="69">
      <c r="A15" s="439" t="s">
        <v>2558</v>
      </c>
      <c r="B15" s="627" t="s">
        <v>2797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232" t="s">
        <v>2559</v>
      </c>
      <c r="Q15" s="1807" t="str">
        <f t="shared" si="6"/>
        <v>产业集聚程度</v>
      </c>
      <c r="R15" s="771" t="s">
        <v>17</v>
      </c>
      <c r="S15" s="772">
        <f t="shared" si="0"/>
        <v>100</v>
      </c>
      <c r="T15" s="771" t="s">
        <v>17</v>
      </c>
      <c r="U15" s="772">
        <f t="shared" si="1"/>
        <v>100</v>
      </c>
      <c r="V15" s="771" t="s">
        <v>17</v>
      </c>
      <c r="W15" s="772">
        <f t="shared" si="2"/>
        <v>100</v>
      </c>
      <c r="X15" s="1810"/>
      <c r="Y15" s="3232" t="s">
        <v>2559</v>
      </c>
      <c r="Z15" s="1811" t="str">
        <f t="shared" si="7"/>
        <v>产业集聚程度</v>
      </c>
      <c r="AA15" s="1808">
        <f t="shared" si="3"/>
        <v>1</v>
      </c>
      <c r="AB15" s="1808">
        <f t="shared" si="4"/>
        <v>1</v>
      </c>
      <c r="AC15" s="1808">
        <f t="shared" si="5"/>
        <v>1</v>
      </c>
    </row>
    <row r="16" spans="1:29" ht="15">
      <c r="A16" s="427"/>
      <c r="B16" s="628"/>
      <c r="C16" s="446"/>
      <c r="D16" s="447"/>
      <c r="E16" s="2610"/>
      <c r="F16" s="447"/>
      <c r="G16" s="2610"/>
      <c r="H16" s="449"/>
      <c r="I16" s="2610"/>
      <c r="J16" s="447"/>
      <c r="K16" s="670"/>
      <c r="L16" s="1137"/>
      <c r="M16" s="1128"/>
      <c r="N16" s="1128"/>
      <c r="O16" s="1136"/>
      <c r="P16" s="3233"/>
      <c r="Q16" s="1807"/>
      <c r="R16" s="771"/>
      <c r="S16" s="772"/>
      <c r="T16" s="771"/>
      <c r="U16" s="772"/>
      <c r="V16" s="771"/>
      <c r="W16" s="772"/>
      <c r="X16" s="1810"/>
      <c r="Y16" s="3233"/>
      <c r="Z16" s="1811"/>
      <c r="AA16" s="1808">
        <v>1</v>
      </c>
      <c r="AB16" s="1808">
        <v>1</v>
      </c>
      <c r="AC16" s="1808">
        <v>1</v>
      </c>
    </row>
    <row r="17" spans="1:29" ht="96.6">
      <c r="A17" s="427"/>
      <c r="B17" s="629" t="s">
        <v>2708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233"/>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7"/>
      <c r="B18" s="630"/>
      <c r="C18" s="446"/>
      <c r="D18" s="447"/>
      <c r="E18" s="2604"/>
      <c r="F18" s="447"/>
      <c r="G18" s="2604"/>
      <c r="H18" s="447"/>
      <c r="I18" s="2603"/>
      <c r="J18" s="447"/>
      <c r="K18" s="670"/>
      <c r="L18" s="1137"/>
      <c r="M18" s="1128"/>
      <c r="N18" s="1128"/>
      <c r="O18" s="1136"/>
      <c r="P18" s="3233"/>
      <c r="Q18" s="1807"/>
      <c r="R18" s="771"/>
      <c r="S18" s="772"/>
      <c r="T18" s="771"/>
      <c r="U18" s="772"/>
      <c r="V18" s="771"/>
      <c r="W18" s="772"/>
      <c r="X18" s="1810"/>
      <c r="Y18" s="3233"/>
      <c r="Z18" s="1811"/>
      <c r="AA18" s="1808">
        <v>1</v>
      </c>
      <c r="AB18" s="1808">
        <v>1</v>
      </c>
      <c r="AC18" s="1808">
        <v>1</v>
      </c>
    </row>
    <row r="19" spans="1:29" ht="28.8">
      <c r="A19" s="427"/>
      <c r="B19" s="629" t="s">
        <v>2747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233"/>
      <c r="Q19" s="1807" t="str">
        <f t="shared" ref="Q19:Q33" si="8">B19</f>
        <v>区域土地利用方向</v>
      </c>
      <c r="R19" s="771" t="s">
        <v>17</v>
      </c>
      <c r="S19" s="772">
        <f>F19</f>
        <v>100</v>
      </c>
      <c r="T19" s="771" t="s">
        <v>17</v>
      </c>
      <c r="U19" s="772">
        <f>H19</f>
        <v>100</v>
      </c>
      <c r="V19" s="771" t="s">
        <v>17</v>
      </c>
      <c r="W19" s="772">
        <f>J19</f>
        <v>100</v>
      </c>
      <c r="X19" s="1810"/>
      <c r="Y19" s="3233"/>
      <c r="Z19" s="1811" t="str">
        <f>Q19</f>
        <v>区域土地利用方向</v>
      </c>
      <c r="AA19" s="1808">
        <f t="shared" si="3"/>
        <v>1</v>
      </c>
      <c r="AB19" s="1808">
        <f t="shared" si="4"/>
        <v>1</v>
      </c>
      <c r="AC19" s="1808">
        <f t="shared" si="5"/>
        <v>1</v>
      </c>
    </row>
    <row r="20" spans="1:29" ht="15">
      <c r="A20" s="403"/>
      <c r="B20" s="630"/>
      <c r="C20" s="446"/>
      <c r="D20" s="447"/>
      <c r="E20" s="2604"/>
      <c r="F20" s="447"/>
      <c r="G20" s="2604"/>
      <c r="H20" s="447"/>
      <c r="I20" s="2604"/>
      <c r="J20" s="447"/>
      <c r="K20" s="809"/>
      <c r="L20" s="1137"/>
      <c r="M20" s="1128"/>
      <c r="N20" s="1128"/>
      <c r="O20" s="1136"/>
      <c r="P20" s="3233"/>
      <c r="Q20" s="1807"/>
      <c r="R20" s="771"/>
      <c r="S20" s="772"/>
      <c r="T20" s="771"/>
      <c r="U20" s="772"/>
      <c r="V20" s="771"/>
      <c r="W20" s="772"/>
      <c r="X20" s="1810"/>
      <c r="Y20" s="3233"/>
      <c r="Z20" s="1811"/>
      <c r="AA20" s="1808"/>
      <c r="AB20" s="1808"/>
      <c r="AC20" s="1808"/>
    </row>
    <row r="21" spans="1:29" ht="82.8">
      <c r="A21" s="403"/>
      <c r="B21" s="629" t="s">
        <v>2798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233"/>
      <c r="Q21" s="1807" t="str">
        <f t="shared" si="8"/>
        <v>环境状况</v>
      </c>
      <c r="R21" s="771" t="s">
        <v>17</v>
      </c>
      <c r="S21" s="772">
        <f>F21</f>
        <v>100</v>
      </c>
      <c r="T21" s="771" t="s">
        <v>17</v>
      </c>
      <c r="U21" s="772">
        <f>H21</f>
        <v>100</v>
      </c>
      <c r="V21" s="771" t="s">
        <v>17</v>
      </c>
      <c r="W21" s="772">
        <f>J21</f>
        <v>100</v>
      </c>
      <c r="X21" s="1810"/>
      <c r="Y21" s="3233"/>
      <c r="Z21" s="1811" t="str">
        <f>Q21</f>
        <v>环境状况</v>
      </c>
      <c r="AA21" s="1808">
        <f t="shared" si="3"/>
        <v>1</v>
      </c>
      <c r="AB21" s="1808">
        <f t="shared" si="4"/>
        <v>1</v>
      </c>
      <c r="AC21" s="1808">
        <f t="shared" si="5"/>
        <v>1</v>
      </c>
    </row>
    <row r="22" spans="1:29" ht="15">
      <c r="A22" s="403"/>
      <c r="B22" s="630"/>
      <c r="C22" s="446"/>
      <c r="D22" s="447"/>
      <c r="E22" s="2610"/>
      <c r="F22" s="447"/>
      <c r="G22" s="2610"/>
      <c r="H22" s="447"/>
      <c r="I22" s="446"/>
      <c r="J22" s="447"/>
      <c r="K22" s="670"/>
      <c r="L22" s="1137"/>
      <c r="M22" s="1128"/>
      <c r="N22" s="1128"/>
      <c r="O22" s="1136"/>
      <c r="P22" s="3233"/>
      <c r="Q22" s="1807"/>
      <c r="R22" s="771"/>
      <c r="S22" s="772"/>
      <c r="T22" s="771"/>
      <c r="U22" s="772"/>
      <c r="V22" s="771"/>
      <c r="W22" s="772"/>
      <c r="X22" s="1810"/>
      <c r="Y22" s="3233"/>
      <c r="Z22" s="1811"/>
      <c r="AA22" s="1808">
        <v>1</v>
      </c>
      <c r="AB22" s="1808">
        <v>1</v>
      </c>
      <c r="AC22" s="1808">
        <v>1</v>
      </c>
    </row>
    <row r="23" spans="1:29" s="117" customFormat="1" ht="41.4">
      <c r="A23" s="647"/>
      <c r="B23" s="631" t="s">
        <v>2653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233"/>
      <c r="Q23" s="1792" t="str">
        <f t="shared" si="8"/>
        <v>公共配套设施</v>
      </c>
      <c r="R23" s="767" t="s">
        <v>17</v>
      </c>
      <c r="S23" s="768">
        <f>F23</f>
        <v>100</v>
      </c>
      <c r="T23" s="767" t="s">
        <v>17</v>
      </c>
      <c r="U23" s="768">
        <f>H23</f>
        <v>100</v>
      </c>
      <c r="V23" s="767" t="s">
        <v>17</v>
      </c>
      <c r="W23" s="768">
        <f>J23</f>
        <v>100</v>
      </c>
      <c r="X23" s="769"/>
      <c r="Y23" s="3233"/>
      <c r="Z23" s="55" t="str">
        <f>Q23</f>
        <v>公共配套设施</v>
      </c>
      <c r="AA23" s="1808">
        <f>D23/F23</f>
        <v>1</v>
      </c>
      <c r="AB23" s="1808">
        <f>D23/H23</f>
        <v>1</v>
      </c>
      <c r="AC23" s="1808">
        <f>D23/J23</f>
        <v>1</v>
      </c>
    </row>
    <row r="24" spans="1:29" s="117" customFormat="1" ht="15">
      <c r="A24" s="647"/>
      <c r="B24" s="630"/>
      <c r="C24" s="2699"/>
      <c r="D24" s="447"/>
      <c r="E24" s="2610"/>
      <c r="F24" s="447"/>
      <c r="G24" s="2610"/>
      <c r="H24" s="447"/>
      <c r="I24" s="446"/>
      <c r="J24" s="447"/>
      <c r="K24" s="670"/>
      <c r="L24" s="1129"/>
      <c r="M24" s="1130"/>
      <c r="N24" s="1130"/>
      <c r="O24" s="1131"/>
      <c r="P24" s="3233"/>
      <c r="Q24" s="1792"/>
      <c r="R24" s="767"/>
      <c r="S24" s="768"/>
      <c r="T24" s="767"/>
      <c r="U24" s="768"/>
      <c r="V24" s="767"/>
      <c r="W24" s="768"/>
      <c r="X24" s="769"/>
      <c r="Y24" s="3233"/>
      <c r="Z24" s="55"/>
      <c r="AA24" s="770">
        <v>1</v>
      </c>
      <c r="AB24" s="770">
        <v>1</v>
      </c>
      <c r="AC24" s="770">
        <v>1</v>
      </c>
    </row>
    <row r="25" spans="1:29" s="117" customFormat="1" ht="41.4">
      <c r="A25" s="647"/>
      <c r="B25" s="631" t="s">
        <v>2654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233"/>
      <c r="Q25" s="1792" t="str">
        <f t="shared" ref="Q25" si="9">B25</f>
        <v>基础设施水平</v>
      </c>
      <c r="R25" s="767" t="s">
        <v>17</v>
      </c>
      <c r="S25" s="768">
        <f>F25</f>
        <v>100</v>
      </c>
      <c r="T25" s="767" t="s">
        <v>17</v>
      </c>
      <c r="U25" s="768">
        <f>H25</f>
        <v>100</v>
      </c>
      <c r="V25" s="767" t="s">
        <v>17</v>
      </c>
      <c r="W25" s="768">
        <f>J25</f>
        <v>100</v>
      </c>
      <c r="X25" s="769"/>
      <c r="Y25" s="3233"/>
      <c r="Z25" s="55" t="str">
        <f>Q25</f>
        <v>基础设施水平</v>
      </c>
      <c r="AA25" s="1808">
        <f>D25/F25</f>
        <v>1</v>
      </c>
      <c r="AB25" s="1808">
        <f>D25/H25</f>
        <v>1</v>
      </c>
      <c r="AC25" s="1808">
        <f>D25/J25</f>
        <v>1</v>
      </c>
    </row>
    <row r="26" spans="1:29" s="117" customFormat="1" ht="15">
      <c r="A26" s="647"/>
      <c r="B26" s="630"/>
      <c r="C26" s="2699"/>
      <c r="D26" s="447"/>
      <c r="E26" s="2700"/>
      <c r="F26" s="447"/>
      <c r="G26" s="2700"/>
      <c r="H26" s="447"/>
      <c r="I26" s="2700"/>
      <c r="J26" s="447"/>
      <c r="K26" s="670"/>
      <c r="L26" s="1129"/>
      <c r="M26" s="1130"/>
      <c r="N26" s="1130"/>
      <c r="O26" s="1131"/>
      <c r="P26" s="3233"/>
      <c r="Q26" s="1792"/>
      <c r="R26" s="767"/>
      <c r="S26" s="768"/>
      <c r="T26" s="767"/>
      <c r="U26" s="768"/>
      <c r="V26" s="767"/>
      <c r="W26" s="768"/>
      <c r="X26" s="769"/>
      <c r="Y26" s="3233"/>
      <c r="Z26" s="55"/>
      <c r="AA26" s="770">
        <v>1</v>
      </c>
      <c r="AB26" s="770">
        <v>1</v>
      </c>
      <c r="AC26" s="770">
        <v>1</v>
      </c>
    </row>
    <row r="27" spans="1:29" ht="15">
      <c r="A27" s="427"/>
      <c r="B27" s="630" t="s">
        <v>2655</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233"/>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33"/>
      <c r="Z27" s="1811" t="str">
        <f t="shared" ref="Z27:Z40" si="13">Q27</f>
        <v>临街状况</v>
      </c>
      <c r="AA27" s="1808">
        <f t="shared" si="3"/>
        <v>1</v>
      </c>
      <c r="AB27" s="1808">
        <f t="shared" si="4"/>
        <v>1</v>
      </c>
      <c r="AC27" s="1808">
        <f t="shared" si="5"/>
        <v>1</v>
      </c>
    </row>
    <row r="28" spans="1:29" ht="28.8">
      <c r="A28" s="427"/>
      <c r="B28" s="631" t="s">
        <v>2690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233"/>
      <c r="Q28" s="1807" t="str">
        <f t="shared" si="8"/>
        <v>毗邻道路的类型与等级</v>
      </c>
      <c r="R28" s="771" t="s">
        <v>17</v>
      </c>
      <c r="S28" s="772">
        <f t="shared" si="10"/>
        <v>100</v>
      </c>
      <c r="T28" s="771" t="s">
        <v>17</v>
      </c>
      <c r="U28" s="772">
        <f t="shared" si="11"/>
        <v>100</v>
      </c>
      <c r="V28" s="771" t="s">
        <v>17</v>
      </c>
      <c r="W28" s="772">
        <f t="shared" si="12"/>
        <v>100</v>
      </c>
      <c r="X28" s="1810"/>
      <c r="Y28" s="3233"/>
      <c r="Z28" s="1811" t="str">
        <f t="shared" si="13"/>
        <v>毗邻道路的类型与等级</v>
      </c>
      <c r="AA28" s="1808">
        <f t="shared" si="3"/>
        <v>1</v>
      </c>
      <c r="AB28" s="1808">
        <f t="shared" si="4"/>
        <v>1</v>
      </c>
      <c r="AC28" s="1808">
        <f t="shared" si="5"/>
        <v>1</v>
      </c>
    </row>
    <row r="29" spans="1:29" ht="15">
      <c r="A29" s="427"/>
      <c r="B29" s="630"/>
      <c r="C29" s="446"/>
      <c r="D29" s="447"/>
      <c r="E29" s="2610"/>
      <c r="F29" s="447"/>
      <c r="G29" s="2610"/>
      <c r="H29" s="447"/>
      <c r="I29" s="2610"/>
      <c r="J29" s="447"/>
      <c r="K29" s="612"/>
      <c r="L29" s="1137"/>
      <c r="M29" s="1128"/>
      <c r="N29" s="1128"/>
      <c r="O29" s="1136"/>
      <c r="P29" s="3233"/>
      <c r="Q29" s="1807"/>
      <c r="R29" s="771"/>
      <c r="S29" s="772"/>
      <c r="T29" s="771"/>
      <c r="U29" s="772"/>
      <c r="V29" s="771"/>
      <c r="W29" s="772"/>
      <c r="X29" s="1810"/>
      <c r="Y29" s="3233"/>
      <c r="Z29" s="1811"/>
      <c r="AA29" s="1808">
        <v>1</v>
      </c>
      <c r="AB29" s="1808">
        <v>1</v>
      </c>
      <c r="AC29" s="1808">
        <v>1</v>
      </c>
    </row>
    <row r="30" spans="1:29" ht="15">
      <c r="A30" s="427"/>
      <c r="B30" s="652" t="s">
        <v>2749</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233"/>
      <c r="Q30" s="1807" t="str">
        <f t="shared" si="8"/>
        <v>土地级别</v>
      </c>
      <c r="R30" s="771" t="s">
        <v>17</v>
      </c>
      <c r="S30" s="772">
        <f t="shared" si="10"/>
        <v>100</v>
      </c>
      <c r="T30" s="771" t="s">
        <v>17</v>
      </c>
      <c r="U30" s="772">
        <f t="shared" si="11"/>
        <v>100</v>
      </c>
      <c r="V30" s="771" t="s">
        <v>17</v>
      </c>
      <c r="W30" s="772">
        <f t="shared" si="12"/>
        <v>100</v>
      </c>
      <c r="X30" s="1810"/>
      <c r="Y30" s="3233"/>
      <c r="Z30" s="1811" t="str">
        <f t="shared" si="13"/>
        <v>土地级别</v>
      </c>
      <c r="AA30" s="1808">
        <f t="shared" si="3"/>
        <v>1</v>
      </c>
      <c r="AB30" s="1808">
        <f t="shared" si="4"/>
        <v>1</v>
      </c>
      <c r="AC30" s="1808">
        <f t="shared" si="5"/>
        <v>1</v>
      </c>
    </row>
    <row r="31" spans="1:29" ht="15">
      <c r="A31" s="403"/>
      <c r="B31" s="2677">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3"/>
      <c r="Q31" s="1807">
        <f t="shared" si="8"/>
        <v>111</v>
      </c>
      <c r="R31" s="771" t="s">
        <v>17</v>
      </c>
      <c r="S31" s="772">
        <f t="shared" si="10"/>
        <v>100</v>
      </c>
      <c r="T31" s="771" t="s">
        <v>17</v>
      </c>
      <c r="U31" s="772">
        <f t="shared" si="11"/>
        <v>100</v>
      </c>
      <c r="V31" s="771" t="s">
        <v>17</v>
      </c>
      <c r="W31" s="772">
        <f t="shared" si="12"/>
        <v>100</v>
      </c>
      <c r="X31" s="1810"/>
      <c r="Y31" s="3233"/>
      <c r="Z31" s="1811">
        <f t="shared" si="13"/>
        <v>111</v>
      </c>
      <c r="AA31" s="1808">
        <f t="shared" si="3"/>
        <v>1</v>
      </c>
      <c r="AB31" s="1808">
        <f t="shared" si="4"/>
        <v>1</v>
      </c>
      <c r="AC31" s="1808">
        <f t="shared" si="5"/>
        <v>1</v>
      </c>
    </row>
    <row r="32" spans="1:29" ht="15">
      <c r="A32" s="673"/>
      <c r="B32" s="2713">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234" t="s">
        <v>2564</v>
      </c>
      <c r="Q32" s="1807">
        <f t="shared" si="8"/>
        <v>111</v>
      </c>
      <c r="R32" s="771" t="s">
        <v>17</v>
      </c>
      <c r="S32" s="772">
        <f t="shared" si="10"/>
        <v>100</v>
      </c>
      <c r="T32" s="771" t="s">
        <v>17</v>
      </c>
      <c r="U32" s="772">
        <f t="shared" si="11"/>
        <v>100</v>
      </c>
      <c r="V32" s="771" t="s">
        <v>17</v>
      </c>
      <c r="W32" s="772">
        <f t="shared" si="12"/>
        <v>100</v>
      </c>
      <c r="X32" s="1810"/>
      <c r="Y32" s="3235" t="s">
        <v>2564</v>
      </c>
      <c r="Z32" s="1811">
        <f t="shared" si="13"/>
        <v>111</v>
      </c>
      <c r="AA32" s="1808">
        <f t="shared" si="3"/>
        <v>1</v>
      </c>
      <c r="AB32" s="1808">
        <f t="shared" si="4"/>
        <v>1</v>
      </c>
      <c r="AC32" s="1808">
        <f t="shared" si="5"/>
        <v>1</v>
      </c>
    </row>
    <row r="33" spans="1:29" s="470" customFormat="1" ht="15.6" thickBot="1">
      <c r="A33" s="674"/>
      <c r="B33" s="2714">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235"/>
      <c r="Q33" s="1807">
        <f t="shared" si="8"/>
        <v>111</v>
      </c>
      <c r="R33" s="774" t="s">
        <v>17</v>
      </c>
      <c r="S33" s="775">
        <f t="shared" si="10"/>
        <v>100</v>
      </c>
      <c r="T33" s="774" t="s">
        <v>17</v>
      </c>
      <c r="U33" s="775">
        <f t="shared" si="11"/>
        <v>100</v>
      </c>
      <c r="V33" s="774" t="s">
        <v>17</v>
      </c>
      <c r="W33" s="775">
        <f t="shared" si="12"/>
        <v>100</v>
      </c>
      <c r="X33" s="776"/>
      <c r="Y33" s="3235"/>
      <c r="Z33" s="777">
        <f t="shared" si="13"/>
        <v>111</v>
      </c>
      <c r="AA33" s="1808">
        <f t="shared" si="3"/>
        <v>1</v>
      </c>
      <c r="AB33" s="1808">
        <f t="shared" si="4"/>
        <v>1</v>
      </c>
      <c r="AC33" s="1808">
        <f t="shared" si="5"/>
        <v>1</v>
      </c>
    </row>
    <row r="34" spans="1:29" ht="15">
      <c r="A34" s="439" t="s">
        <v>2562</v>
      </c>
      <c r="B34" s="455" t="s">
        <v>2750</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1" t="s">
        <v>17</v>
      </c>
      <c r="S34" s="772" t="e">
        <f t="shared" si="10"/>
        <v>#N/A</v>
      </c>
      <c r="T34" s="771" t="s">
        <v>17</v>
      </c>
      <c r="U34" s="772" t="e">
        <f t="shared" si="11"/>
        <v>#N/A</v>
      </c>
      <c r="V34" s="771" t="s">
        <v>17</v>
      </c>
      <c r="W34" s="772" t="e">
        <f t="shared" si="12"/>
        <v>#N/A</v>
      </c>
      <c r="X34" s="1810"/>
      <c r="Y34" s="3235"/>
      <c r="Z34" s="1811" t="str">
        <f t="shared" si="13"/>
        <v>宗地面积</v>
      </c>
      <c r="AA34" s="1808" t="e">
        <f t="shared" si="3"/>
        <v>#N/A</v>
      </c>
      <c r="AB34" s="1808" t="e">
        <f t="shared" si="4"/>
        <v>#N/A</v>
      </c>
      <c r="AC34" s="1808" t="e">
        <f t="shared" si="5"/>
        <v>#N/A</v>
      </c>
    </row>
    <row r="35" spans="1:29" ht="15">
      <c r="A35" s="471"/>
      <c r="B35" s="421" t="s">
        <v>2751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7"/>
      <c r="M35" s="1128"/>
      <c r="N35" s="1128"/>
      <c r="O35" s="1136"/>
      <c r="P35" s="3235"/>
      <c r="Q35" s="1807" t="str">
        <f t="shared" ref="Q35:Q40" si="14">B35</f>
        <v>宗地形状</v>
      </c>
      <c r="R35" s="771" t="s">
        <v>17</v>
      </c>
      <c r="S35" s="772">
        <f t="shared" si="10"/>
        <v>100</v>
      </c>
      <c r="T35" s="771" t="s">
        <v>17</v>
      </c>
      <c r="U35" s="772">
        <f t="shared" si="11"/>
        <v>100</v>
      </c>
      <c r="V35" s="771" t="s">
        <v>17</v>
      </c>
      <c r="W35" s="772">
        <f t="shared" si="12"/>
        <v>100</v>
      </c>
      <c r="X35" s="1810"/>
      <c r="Y35" s="3235"/>
      <c r="Z35" s="1811" t="str">
        <f t="shared" si="13"/>
        <v>宗地形状</v>
      </c>
      <c r="AA35" s="1808">
        <f t="shared" si="3"/>
        <v>1</v>
      </c>
      <c r="AB35" s="1808">
        <f t="shared" si="4"/>
        <v>1</v>
      </c>
      <c r="AC35" s="1808">
        <f t="shared" si="5"/>
        <v>1</v>
      </c>
    </row>
    <row r="36" spans="1:29" s="117" customFormat="1" ht="15">
      <c r="A36" s="472"/>
      <c r="B36" s="421" t="s">
        <v>2753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9"/>
      <c r="M36" s="1130"/>
      <c r="N36" s="1130"/>
      <c r="O36" s="1131"/>
      <c r="P36" s="3235"/>
      <c r="Q36" s="1807" t="str">
        <f t="shared" si="14"/>
        <v>宗地开发程度</v>
      </c>
      <c r="R36" s="767" t="s">
        <v>17</v>
      </c>
      <c r="S36" s="768">
        <f t="shared" si="10"/>
        <v>100</v>
      </c>
      <c r="T36" s="767" t="s">
        <v>17</v>
      </c>
      <c r="U36" s="768">
        <f t="shared" si="11"/>
        <v>100</v>
      </c>
      <c r="V36" s="767" t="s">
        <v>17</v>
      </c>
      <c r="W36" s="768">
        <f t="shared" si="12"/>
        <v>100</v>
      </c>
      <c r="X36" s="769"/>
      <c r="Y36" s="3235"/>
      <c r="Z36" s="55" t="str">
        <f t="shared" si="13"/>
        <v>宗地开发程度</v>
      </c>
      <c r="AA36" s="770">
        <f t="shared" si="3"/>
        <v>1</v>
      </c>
      <c r="AB36" s="770">
        <f t="shared" si="4"/>
        <v>1</v>
      </c>
      <c r="AC36" s="770">
        <f t="shared" si="5"/>
        <v>1</v>
      </c>
    </row>
    <row r="37" spans="1:29" ht="15">
      <c r="A37" s="471"/>
      <c r="B37" s="421" t="s">
        <v>2754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7"/>
      <c r="M37" s="1128"/>
      <c r="N37" s="1128"/>
      <c r="O37" s="1136"/>
      <c r="P37" s="3235" t="s">
        <v>2564</v>
      </c>
      <c r="Q37" s="1807" t="str">
        <f t="shared" si="14"/>
        <v>工程地质条件</v>
      </c>
      <c r="R37" s="771" t="s">
        <v>17</v>
      </c>
      <c r="S37" s="772">
        <f t="shared" si="10"/>
        <v>100</v>
      </c>
      <c r="T37" s="771" t="s">
        <v>17</v>
      </c>
      <c r="U37" s="772">
        <f t="shared" si="11"/>
        <v>100</v>
      </c>
      <c r="V37" s="771" t="s">
        <v>17</v>
      </c>
      <c r="W37" s="772">
        <f t="shared" si="12"/>
        <v>100</v>
      </c>
      <c r="X37" s="1810"/>
      <c r="Y37" s="3235" t="s">
        <v>2564</v>
      </c>
      <c r="Z37" s="1811" t="str">
        <f t="shared" si="13"/>
        <v>工程地质条件</v>
      </c>
      <c r="AA37" s="1808">
        <f t="shared" si="3"/>
        <v>1</v>
      </c>
      <c r="AB37" s="1808">
        <f t="shared" si="4"/>
        <v>1</v>
      </c>
      <c r="AC37" s="1808">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235"/>
      <c r="Q38" s="1807">
        <f t="shared" si="14"/>
        <v>111</v>
      </c>
      <c r="R38" s="771" t="s">
        <v>17</v>
      </c>
      <c r="S38" s="772">
        <f t="shared" si="10"/>
        <v>100</v>
      </c>
      <c r="T38" s="771" t="s">
        <v>17</v>
      </c>
      <c r="U38" s="772">
        <f t="shared" si="11"/>
        <v>100</v>
      </c>
      <c r="V38" s="771" t="s">
        <v>17</v>
      </c>
      <c r="W38" s="772">
        <f t="shared" si="12"/>
        <v>100</v>
      </c>
      <c r="X38" s="1810"/>
      <c r="Y38" s="3235"/>
      <c r="Z38" s="1811">
        <f t="shared" si="13"/>
        <v>111</v>
      </c>
      <c r="AA38" s="1808">
        <f t="shared" si="3"/>
        <v>1</v>
      </c>
      <c r="AB38" s="1808">
        <f t="shared" si="4"/>
        <v>1</v>
      </c>
      <c r="AC38" s="1808">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235"/>
      <c r="Q39" s="1807">
        <f t="shared" si="14"/>
        <v>111</v>
      </c>
      <c r="R39" s="771" t="s">
        <v>17</v>
      </c>
      <c r="S39" s="772">
        <f t="shared" si="10"/>
        <v>100</v>
      </c>
      <c r="T39" s="771" t="s">
        <v>17</v>
      </c>
      <c r="U39" s="772">
        <f t="shared" si="11"/>
        <v>100</v>
      </c>
      <c r="V39" s="771" t="s">
        <v>17</v>
      </c>
      <c r="W39" s="772">
        <f t="shared" si="12"/>
        <v>100</v>
      </c>
      <c r="X39" s="1810"/>
      <c r="Y39" s="3235"/>
      <c r="Z39" s="1811">
        <f t="shared" si="13"/>
        <v>111</v>
      </c>
      <c r="AA39" s="1808">
        <f t="shared" si="3"/>
        <v>1</v>
      </c>
      <c r="AB39" s="1808">
        <f t="shared" si="4"/>
        <v>1</v>
      </c>
      <c r="AC39" s="1808">
        <f t="shared" si="5"/>
        <v>1</v>
      </c>
    </row>
    <row r="40" spans="1:29" s="470" customFormat="1" ht="15.6" thickBot="1">
      <c r="A40" s="467"/>
      <c r="B40" s="1384">
        <v>111</v>
      </c>
      <c r="C40" s="2702"/>
      <c r="D40" s="136">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235"/>
      <c r="Q40" s="1807">
        <f t="shared" si="14"/>
        <v>111</v>
      </c>
      <c r="R40" s="774" t="s">
        <v>17</v>
      </c>
      <c r="S40" s="775">
        <f t="shared" si="10"/>
        <v>100</v>
      </c>
      <c r="T40" s="774" t="s">
        <v>17</v>
      </c>
      <c r="U40" s="775">
        <f t="shared" si="11"/>
        <v>100</v>
      </c>
      <c r="V40" s="774" t="s">
        <v>17</v>
      </c>
      <c r="W40" s="775">
        <f t="shared" si="12"/>
        <v>100</v>
      </c>
      <c r="X40" s="776"/>
      <c r="Y40" s="3235"/>
      <c r="Z40" s="777">
        <f t="shared" si="13"/>
        <v>111</v>
      </c>
      <c r="AA40" s="1808">
        <f t="shared" si="3"/>
        <v>1</v>
      </c>
      <c r="AB40" s="1808">
        <f t="shared" si="4"/>
        <v>1</v>
      </c>
      <c r="AC40" s="1808">
        <f t="shared" si="5"/>
        <v>1</v>
      </c>
    </row>
    <row r="41" spans="1:29" ht="14.4">
      <c r="A41" s="478" t="s">
        <v>2719</v>
      </c>
      <c r="B41" s="2703" t="s">
        <v>2799</v>
      </c>
      <c r="C41" s="680" t="s">
        <v>1</v>
      </c>
      <c r="D41" s="480"/>
      <c r="E41" s="481"/>
      <c r="F41" s="482"/>
      <c r="G41" s="483"/>
      <c r="H41" s="484"/>
      <c r="I41" s="481"/>
      <c r="J41" s="484"/>
      <c r="K41" s="780"/>
      <c r="L41" s="1140"/>
      <c r="M41" s="1128"/>
      <c r="N41" s="1128"/>
      <c r="O41" s="1141"/>
      <c r="P41" s="3230" t="str">
        <f>A41</f>
        <v>成交单价</v>
      </c>
      <c r="Q41" s="3230"/>
      <c r="R41" s="3236">
        <f>E41</f>
        <v>0</v>
      </c>
      <c r="S41" s="3236"/>
      <c r="T41" s="3236">
        <f>G41</f>
        <v>0</v>
      </c>
      <c r="U41" s="3236"/>
      <c r="V41" s="3236">
        <f>I41</f>
        <v>0</v>
      </c>
      <c r="W41" s="3236"/>
      <c r="X41" s="756"/>
      <c r="Y41" s="778"/>
      <c r="Z41" s="756"/>
      <c r="AA41" s="756"/>
      <c r="AB41" s="756"/>
      <c r="AC41" s="756"/>
    </row>
    <row r="42" spans="1:29" ht="15" thickBot="1">
      <c r="A42" s="485" t="s">
        <v>2668</v>
      </c>
      <c r="B42" s="681"/>
      <c r="C42" s="489" t="e">
        <f>R43</f>
        <v>#DIV/0!</v>
      </c>
      <c r="D42" s="488"/>
      <c r="E42" s="489" t="e">
        <f>R42</f>
        <v>#DIV/0!</v>
      </c>
      <c r="F42" s="490"/>
      <c r="G42" s="487" t="e">
        <f>T42</f>
        <v>#DIV/0!</v>
      </c>
      <c r="H42" s="488"/>
      <c r="I42" s="489" t="e">
        <f>V42</f>
        <v>#DIV/0!</v>
      </c>
      <c r="J42" s="488"/>
      <c r="K42" s="781"/>
      <c r="L42" s="1140"/>
      <c r="M42" s="1128"/>
      <c r="N42" s="1128"/>
      <c r="O42" s="1141"/>
      <c r="P42" s="3230" t="str">
        <f>A42</f>
        <v>比较价值（元/平方米）</v>
      </c>
      <c r="Q42" s="3230"/>
      <c r="R42" s="3223" t="e">
        <f>ROUND(PRODUCT(R41,AA7:AA40),0)</f>
        <v>#DIV/0!</v>
      </c>
      <c r="S42" s="3223"/>
      <c r="T42" s="3223" t="e">
        <f>ROUND(PRODUCT(T41,AB7:AB40),0)</f>
        <v>#DIV/0!</v>
      </c>
      <c r="U42" s="3223"/>
      <c r="V42" s="3223" t="e">
        <f>ROUND(PRODUCT(V41,AC7:AC40),0)</f>
        <v>#DIV/0!</v>
      </c>
      <c r="W42" s="3223"/>
      <c r="X42" s="756"/>
      <c r="Y42" s="756"/>
      <c r="Z42" s="756"/>
      <c r="AA42" s="756"/>
      <c r="AB42" s="756"/>
      <c r="AC42" s="756"/>
    </row>
    <row r="43" spans="1:29" ht="15" thickBot="1">
      <c r="A43" s="491" t="s">
        <v>2669</v>
      </c>
      <c r="B43" s="492"/>
      <c r="C43" s="493" t="e">
        <f>R43</f>
        <v>#DIV/0!</v>
      </c>
      <c r="D43" s="493"/>
      <c r="E43" s="493"/>
      <c r="F43" s="493"/>
      <c r="G43" s="493"/>
      <c r="H43" s="493"/>
      <c r="I43" s="493"/>
      <c r="J43" s="493"/>
      <c r="K43" s="782"/>
      <c r="L43" s="1140"/>
      <c r="M43" s="1128"/>
      <c r="N43" s="1128"/>
      <c r="O43" s="1141"/>
      <c r="P43" s="3224" t="str">
        <f>A43</f>
        <v>估价对象XX用房的比较价值（楼面单价，元/平方米）</v>
      </c>
      <c r="Q43" s="3225"/>
      <c r="R43" s="3226" t="e">
        <f>ROUND(AVERAGE(R42:V42),0)</f>
        <v>#DIV/0!</v>
      </c>
      <c r="S43" s="3226"/>
      <c r="T43" s="3226"/>
      <c r="U43" s="3226"/>
      <c r="V43" s="3226"/>
      <c r="W43" s="322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2" t="s">
        <v>2757</v>
      </c>
      <c r="B50" s="683" t="s">
        <v>2758</v>
      </c>
      <c r="C50" s="2704" t="s">
        <v>2759</v>
      </c>
      <c r="D50" s="2705" t="s">
        <v>2760</v>
      </c>
      <c r="E50" s="684" t="s">
        <v>2761</v>
      </c>
      <c r="F50" s="685" t="s">
        <v>2762</v>
      </c>
      <c r="G50" s="3227" t="s">
        <v>2763</v>
      </c>
      <c r="H50" s="3228"/>
      <c r="I50" s="1811" t="s">
        <v>2800</v>
      </c>
      <c r="J50" s="1811">
        <f>项目基本情况!F35</f>
        <v>0</v>
      </c>
      <c r="K50" s="2707" t="s">
        <v>2765</v>
      </c>
      <c r="L50" s="1103"/>
      <c r="M50" s="1141"/>
      <c r="N50" s="1141"/>
      <c r="O50" s="1141"/>
    </row>
    <row r="51" spans="1:17" s="690" customFormat="1">
      <c r="A51" s="686" t="s">
        <v>2766</v>
      </c>
      <c r="B51" s="687" t="e">
        <f>C43</f>
        <v>#DIV/0!</v>
      </c>
      <c r="C51" s="688">
        <v>1</v>
      </c>
      <c r="D51" s="1160">
        <v>1</v>
      </c>
      <c r="E51" s="688">
        <f>'数据-汇总表'!E8+'数据-汇总表'!E9</f>
        <v>499.07</v>
      </c>
      <c r="F51" s="689" t="e">
        <f t="shared" ref="F51:F60" si="15">ROUND(B51*E51/10000,0)</f>
        <v>#DIV/0!</v>
      </c>
      <c r="G51" s="3229"/>
      <c r="H51" s="3230"/>
      <c r="I51" s="939">
        <v>1</v>
      </c>
      <c r="J51" s="939">
        <v>1</v>
      </c>
      <c r="K51" s="1142"/>
      <c r="L51" s="938"/>
      <c r="M51" s="938"/>
      <c r="N51" s="938"/>
      <c r="O51" s="938"/>
    </row>
    <row r="52" spans="1:17" s="690" customFormat="1">
      <c r="A52" s="691" t="s">
        <v>2767</v>
      </c>
      <c r="B52" s="261" t="e">
        <f>ROUND($C$43*C52*D52,0)</f>
        <v>#DIV/0!</v>
      </c>
      <c r="C52" s="199">
        <f t="shared" ref="C52:C60" si="16">IF($C$50="北京市系数",I52,J52)</f>
        <v>0</v>
      </c>
      <c r="D52" s="1161">
        <v>0.25</v>
      </c>
      <c r="E52" s="692"/>
      <c r="F52" s="689" t="e">
        <f t="shared" si="15"/>
        <v>#DIV/0!</v>
      </c>
      <c r="G52" s="3231" t="s">
        <v>2768</v>
      </c>
      <c r="H52" s="1101">
        <f>项目基本情况!B37</f>
        <v>0</v>
      </c>
      <c r="I52" s="939">
        <f>SUMIF(修正!A45:A56,H52,修正!B45:B56)</f>
        <v>0</v>
      </c>
      <c r="J52" s="940"/>
      <c r="K52" s="1141"/>
      <c r="L52" s="938"/>
      <c r="M52" s="938"/>
      <c r="N52" s="938"/>
      <c r="O52" s="938"/>
    </row>
    <row r="53" spans="1:17" s="690" customFormat="1">
      <c r="A53" s="691" t="s">
        <v>2769</v>
      </c>
      <c r="B53" s="261" t="e">
        <f t="shared" ref="B53:B60" si="17">ROUND($C$43*C53*D53,0)</f>
        <v>#DIV/0!</v>
      </c>
      <c r="C53" s="199">
        <f t="shared" si="16"/>
        <v>0</v>
      </c>
      <c r="D53" s="1161">
        <v>0.25</v>
      </c>
      <c r="E53" s="692"/>
      <c r="F53" s="689" t="e">
        <f t="shared" si="15"/>
        <v>#DIV/0!</v>
      </c>
      <c r="G53" s="3231"/>
      <c r="H53" s="1101">
        <f>项目基本情况!B37</f>
        <v>0</v>
      </c>
      <c r="I53" s="939">
        <f>SUMIF(修正!A45:A56,H53,修正!C45:C56)</f>
        <v>0</v>
      </c>
      <c r="J53" s="940"/>
      <c r="K53" s="1142"/>
      <c r="L53" s="938"/>
      <c r="M53" s="938"/>
      <c r="N53" s="938"/>
      <c r="O53" s="938"/>
    </row>
    <row r="54" spans="1:17" s="690" customFormat="1">
      <c r="A54" s="691" t="s">
        <v>2770</v>
      </c>
      <c r="B54" s="261" t="e">
        <f t="shared" si="17"/>
        <v>#DIV/0!</v>
      </c>
      <c r="C54" s="199">
        <f t="shared" si="16"/>
        <v>0</v>
      </c>
      <c r="D54" s="1161">
        <v>0.25</v>
      </c>
      <c r="E54" s="692"/>
      <c r="F54" s="689" t="e">
        <f t="shared" si="15"/>
        <v>#DIV/0!</v>
      </c>
      <c r="G54" s="3231"/>
      <c r="H54" s="1101">
        <f>项目基本情况!B37</f>
        <v>0</v>
      </c>
      <c r="I54" s="939">
        <f>SUMIF(修正!A45:A56,H54,修正!D45:D56)</f>
        <v>0</v>
      </c>
      <c r="J54" s="940"/>
      <c r="K54" s="1141"/>
      <c r="L54" s="938"/>
      <c r="M54" s="938"/>
      <c r="N54" s="938"/>
      <c r="O54" s="938"/>
    </row>
    <row r="55" spans="1:17" s="690" customFormat="1">
      <c r="A55" s="691" t="s">
        <v>2771</v>
      </c>
      <c r="B55" s="261" t="e">
        <f t="shared" si="17"/>
        <v>#DIV/0!</v>
      </c>
      <c r="C55" s="199">
        <f t="shared" si="16"/>
        <v>0</v>
      </c>
      <c r="D55" s="1161">
        <v>0.25</v>
      </c>
      <c r="E55" s="692"/>
      <c r="F55" s="689" t="e">
        <f t="shared" si="15"/>
        <v>#DIV/0!</v>
      </c>
      <c r="G55" s="3231"/>
      <c r="H55" s="1101">
        <f>项目基本情况!B37</f>
        <v>0</v>
      </c>
      <c r="I55" s="939">
        <f>SUMIF(修正!A45:A56,H55,修正!E45:E56)</f>
        <v>0</v>
      </c>
      <c r="J55" s="940"/>
      <c r="K55" s="1142"/>
      <c r="L55" s="938"/>
      <c r="M55" s="938"/>
      <c r="N55" s="938"/>
      <c r="O55" s="938"/>
    </row>
    <row r="56" spans="1:17" s="690" customFormat="1">
      <c r="A56" s="691" t="s">
        <v>2772</v>
      </c>
      <c r="B56" s="261" t="e">
        <f t="shared" si="17"/>
        <v>#DIV/0!</v>
      </c>
      <c r="C56" s="199">
        <f t="shared" si="16"/>
        <v>0</v>
      </c>
      <c r="D56" s="1161">
        <v>0.25</v>
      </c>
      <c r="E56" s="260">
        <f>'数据-汇总表'!E11</f>
        <v>0</v>
      </c>
      <c r="F56" s="689" t="e">
        <f t="shared" si="15"/>
        <v>#DIV/0!</v>
      </c>
      <c r="G56" s="2708" t="s">
        <v>2773</v>
      </c>
      <c r="H56" s="1101">
        <f>项目基本情况!C37</f>
        <v>0</v>
      </c>
      <c r="I56" s="939">
        <f>SUMIF(修正!A45:A56,H56,修正!F45:F56)</f>
        <v>0</v>
      </c>
      <c r="J56" s="940"/>
      <c r="K56" s="1141"/>
      <c r="L56" s="938"/>
      <c r="M56" s="938"/>
      <c r="N56" s="938"/>
      <c r="O56" s="938"/>
    </row>
    <row r="57" spans="1:17" s="690" customFormat="1">
      <c r="A57" s="691" t="s">
        <v>2774</v>
      </c>
      <c r="B57" s="261" t="e">
        <f t="shared" si="17"/>
        <v>#DIV/0!</v>
      </c>
      <c r="C57" s="199">
        <f t="shared" si="16"/>
        <v>0</v>
      </c>
      <c r="D57" s="1161">
        <v>0.25</v>
      </c>
      <c r="E57" s="260">
        <f>'数据-汇总表'!E12</f>
        <v>0</v>
      </c>
      <c r="F57" s="689" t="e">
        <f t="shared" si="15"/>
        <v>#DIV/0!</v>
      </c>
      <c r="G57" s="1106" t="s">
        <v>2775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2776</v>
      </c>
      <c r="B58" s="261" t="e">
        <f t="shared" si="17"/>
        <v>#DIV/0!</v>
      </c>
      <c r="C58" s="199">
        <f t="shared" si="16"/>
        <v>0</v>
      </c>
      <c r="D58" s="1161">
        <v>0.25</v>
      </c>
      <c r="E58" s="260">
        <f>'数据-汇总表'!E13</f>
        <v>0</v>
      </c>
      <c r="F58" s="689" t="e">
        <f t="shared" si="15"/>
        <v>#DIV/0!</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2778</v>
      </c>
      <c r="B59" s="261" t="e">
        <f t="shared" si="17"/>
        <v>#DIV/0!</v>
      </c>
      <c r="C59" s="199">
        <f t="shared" si="16"/>
        <v>0</v>
      </c>
      <c r="D59" s="1161">
        <v>0.25</v>
      </c>
      <c r="E59" s="260">
        <f>'数据-汇总表'!E14</f>
        <v>0</v>
      </c>
      <c r="F59" s="689" t="e">
        <f t="shared" si="15"/>
        <v>#DIV/0!</v>
      </c>
      <c r="G59" s="2708" t="s">
        <v>2768</v>
      </c>
      <c r="H59" s="1101">
        <f>项目基本情况!B37</f>
        <v>0</v>
      </c>
      <c r="I59" s="939">
        <f>SUMIF(修正!A45:A56,H59,修正!H45:H56)</f>
        <v>0</v>
      </c>
      <c r="J59" s="940"/>
      <c r="K59" s="1142"/>
      <c r="L59" s="938"/>
      <c r="M59" s="938"/>
      <c r="N59" s="938"/>
      <c r="O59" s="938"/>
    </row>
    <row r="60" spans="1:17" s="690" customFormat="1" ht="14.4" thickBot="1">
      <c r="A60" s="691" t="s">
        <v>2779</v>
      </c>
      <c r="B60" s="261" t="e">
        <f t="shared" si="17"/>
        <v>#DIV/0!</v>
      </c>
      <c r="C60" s="199">
        <f t="shared" si="16"/>
        <v>0</v>
      </c>
      <c r="D60" s="1161">
        <v>0.25</v>
      </c>
      <c r="E60" s="260">
        <f>'数据-汇总表'!E15</f>
        <v>0</v>
      </c>
      <c r="F60" s="689" t="e">
        <f t="shared" si="15"/>
        <v>#DIV/0!</v>
      </c>
      <c r="G60" s="2709" t="s">
        <v>2773</v>
      </c>
      <c r="H60" s="1111">
        <f>项目基本情况!C37</f>
        <v>0</v>
      </c>
      <c r="I60" s="939">
        <f>SUMIF(修正!A45:A56,H60,修正!H45:H56)</f>
        <v>0</v>
      </c>
      <c r="J60" s="940"/>
      <c r="K60" s="1141"/>
      <c r="L60" s="938"/>
      <c r="M60" s="938"/>
      <c r="N60" s="938"/>
      <c r="O60" s="938"/>
    </row>
    <row r="61" spans="1:17" s="690" customFormat="1" ht="14.4" thickBot="1">
      <c r="A61" s="693" t="s">
        <v>2780</v>
      </c>
      <c r="B61" s="694" t="s">
        <v>28</v>
      </c>
      <c r="C61" s="694" t="s">
        <v>29</v>
      </c>
      <c r="D61" s="694" t="s">
        <v>1025</v>
      </c>
      <c r="E61" s="694">
        <f>IF(B41="楼面地价",SUM(E51:E60),'数据-汇总表'!D3)</f>
        <v>14543</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2020-1-1</v>
      </c>
      <c r="D63" s="758">
        <f>EDATE(C63,-3)</f>
        <v>43739</v>
      </c>
      <c r="E63" s="758">
        <f>EDATE(D63,-3)</f>
        <v>43647</v>
      </c>
      <c r="F63" s="758">
        <f t="shared" ref="F63:O63" si="18">EDATE(E63,-3)</f>
        <v>43556</v>
      </c>
      <c r="G63" s="758">
        <f t="shared" si="18"/>
        <v>43466</v>
      </c>
      <c r="H63" s="758">
        <f t="shared" si="18"/>
        <v>43374</v>
      </c>
      <c r="I63" s="758">
        <f t="shared" si="18"/>
        <v>43282</v>
      </c>
      <c r="J63" s="758">
        <f t="shared" si="18"/>
        <v>43191</v>
      </c>
      <c r="K63" s="758">
        <f t="shared" si="18"/>
        <v>43101</v>
      </c>
      <c r="L63" s="758">
        <f t="shared" si="18"/>
        <v>43009</v>
      </c>
      <c r="M63" s="758">
        <f t="shared" si="18"/>
        <v>42917</v>
      </c>
      <c r="N63" s="758">
        <f t="shared" si="18"/>
        <v>42826</v>
      </c>
      <c r="O63" s="758">
        <f t="shared" si="18"/>
        <v>42736</v>
      </c>
    </row>
    <row r="64" spans="1:17" ht="22.2" thickBot="1">
      <c r="A64" s="760" t="s">
        <v>2673</v>
      </c>
      <c r="B64" s="756"/>
      <c r="C64" s="761"/>
      <c r="D64" s="761"/>
      <c r="E64" s="761"/>
      <c r="F64" s="762"/>
      <c r="G64" s="762"/>
      <c r="H64" s="761"/>
      <c r="I64" s="761"/>
      <c r="J64" s="761"/>
      <c r="K64" s="763"/>
      <c r="L64" s="764"/>
      <c r="M64" s="761"/>
      <c r="N64" s="761"/>
      <c r="O64" s="1156"/>
      <c r="P64" s="502"/>
      <c r="Q64" s="503"/>
    </row>
    <row r="65" spans="1:17" s="507" customFormat="1" ht="14.4">
      <c r="A65" s="2710" t="s">
        <v>2781</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6"/>
    </row>
    <row r="66" spans="1:17" s="117" customFormat="1" ht="30.75" customHeight="1">
      <c r="A66" s="2715" t="s">
        <v>2801</v>
      </c>
      <c r="B66" s="331" t="str">
        <f>"北京市平均增长率"&amp;TEXT(基准地价修正!P24,"0.00%")</f>
        <v>北京市平均增长率1.33%</v>
      </c>
      <c r="C66" s="602">
        <v>100</v>
      </c>
      <c r="D66" s="594"/>
      <c r="E66" s="594"/>
      <c r="F66" s="594"/>
      <c r="G66" s="594"/>
      <c r="H66" s="594"/>
      <c r="I66" s="594"/>
      <c r="J66" s="594"/>
      <c r="K66" s="594"/>
      <c r="L66" s="594"/>
      <c r="M66" s="1564"/>
      <c r="N66" s="1564"/>
      <c r="O66" s="1566"/>
      <c r="P66" s="503"/>
    </row>
    <row r="67" spans="1:17" s="117" customFormat="1" ht="15" thickBot="1">
      <c r="A67" s="514" t="s">
        <v>2584</v>
      </c>
      <c r="B67" s="515"/>
      <c r="C67" s="516"/>
      <c r="D67" s="517"/>
      <c r="E67" s="517"/>
      <c r="F67" s="517"/>
      <c r="G67" s="517"/>
      <c r="H67" s="517"/>
      <c r="I67" s="517"/>
      <c r="J67" s="517"/>
      <c r="K67" s="517"/>
      <c r="L67" s="517"/>
      <c r="M67" s="518"/>
      <c r="N67" s="518"/>
      <c r="O67" s="519"/>
      <c r="P67" s="503"/>
      <c r="Q67" s="503"/>
    </row>
    <row r="68" spans="1:17" s="117" customFormat="1" ht="14.4">
      <c r="A68" s="520" t="s">
        <v>2549</v>
      </c>
      <c r="B68" s="509"/>
      <c r="C68" s="521" t="s">
        <v>2651</v>
      </c>
      <c r="D68" s="522"/>
      <c r="E68" s="522"/>
      <c r="F68" s="522"/>
      <c r="G68" s="522"/>
      <c r="H68" s="522"/>
      <c r="I68" s="522"/>
      <c r="J68" s="522"/>
      <c r="K68" s="522"/>
      <c r="L68" s="523"/>
      <c r="M68" s="524"/>
      <c r="N68" s="1148"/>
      <c r="O68" s="1148"/>
      <c r="P68" s="525"/>
      <c r="Q68" s="503"/>
    </row>
    <row r="69" spans="1:17" s="117" customFormat="1" ht="14.4" thickBot="1">
      <c r="A69" s="520"/>
      <c r="B69" s="509"/>
      <c r="C69" s="637">
        <v>100</v>
      </c>
      <c r="D69" s="511"/>
      <c r="E69" s="511"/>
      <c r="F69" s="511"/>
      <c r="G69" s="511"/>
      <c r="H69" s="511"/>
      <c r="I69" s="511"/>
      <c r="J69" s="511"/>
      <c r="K69" s="511"/>
      <c r="L69" s="511"/>
      <c r="M69" s="513"/>
      <c r="N69" s="1148"/>
      <c r="O69" s="1148"/>
      <c r="P69" s="503"/>
      <c r="Q69" s="503"/>
    </row>
    <row r="70" spans="1:17" ht="14.4">
      <c r="A70" s="526" t="s">
        <v>2587</v>
      </c>
      <c r="B70" s="527" t="s">
        <v>2553</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2556</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29.4" thickTop="1">
      <c r="A87" s="578"/>
      <c r="B87" s="537" t="s">
        <v>2784</v>
      </c>
      <c r="C87" s="572" t="s">
        <v>2596</v>
      </c>
      <c r="D87" s="572" t="s">
        <v>2597</v>
      </c>
      <c r="E87" s="572" t="s">
        <v>2598</v>
      </c>
      <c r="F87" s="572" t="s">
        <v>2599</v>
      </c>
      <c r="G87" s="572" t="s">
        <v>2600</v>
      </c>
      <c r="H87" s="577"/>
      <c r="I87" s="577"/>
      <c r="J87" s="577"/>
      <c r="K87" s="577"/>
      <c r="L87" s="696"/>
      <c r="M87" s="620"/>
      <c r="N87" s="1148"/>
      <c r="O87" s="1148"/>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9.4" thickTop="1">
      <c r="A89" s="578"/>
      <c r="B89" s="537" t="s">
        <v>2785</v>
      </c>
      <c r="C89" s="572" t="s">
        <v>2596</v>
      </c>
      <c r="D89" s="572" t="s">
        <v>2597</v>
      </c>
      <c r="E89" s="572" t="s">
        <v>2598</v>
      </c>
      <c r="F89" s="572" t="s">
        <v>2599</v>
      </c>
      <c r="G89" s="572" t="s">
        <v>2600</v>
      </c>
      <c r="H89" s="577"/>
      <c r="I89" s="577"/>
      <c r="J89" s="577"/>
      <c r="K89" s="577"/>
      <c r="L89" s="577"/>
      <c r="M89" s="620"/>
      <c r="N89" s="1148"/>
      <c r="O89" s="1148"/>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2802</v>
      </c>
      <c r="C93" s="658" t="s">
        <v>2674</v>
      </c>
      <c r="D93" s="658" t="s">
        <v>2675</v>
      </c>
      <c r="E93" s="658" t="s">
        <v>2676</v>
      </c>
      <c r="F93" s="658" t="s">
        <v>2677</v>
      </c>
      <c r="G93" s="658" t="s">
        <v>2678</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2690</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2749</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3"/>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5"/>
      <c r="H106" s="675"/>
      <c r="I106" s="675"/>
      <c r="J106" s="675"/>
      <c r="K106" s="675"/>
      <c r="L106" s="675"/>
      <c r="M106" s="697"/>
      <c r="N106" s="1150"/>
      <c r="O106" s="1150"/>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2791</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2793</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2794</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69" customWidth="1"/>
    <col min="33" max="36" width="9.33203125" style="2787" customWidth="1"/>
    <col min="37" max="38" width="9.33203125" style="2719" customWidth="1"/>
    <col min="39" max="16384" width="12" style="2719"/>
  </cols>
  <sheetData>
    <row r="1" spans="1:36" ht="31.2">
      <c r="A1" s="239" t="s">
        <v>2803</v>
      </c>
      <c r="B1" s="240"/>
      <c r="C1" s="244" t="s">
        <v>2804</v>
      </c>
      <c r="D1" s="387">
        <f>SUM(D29:D30,D33:D39)</f>
        <v>0</v>
      </c>
      <c r="E1" s="2716"/>
      <c r="F1" s="2716"/>
      <c r="G1" s="2716"/>
      <c r="H1" s="2716"/>
      <c r="I1" s="2716"/>
      <c r="J1" s="2716"/>
      <c r="K1" s="1367"/>
      <c r="L1" s="2717" t="s">
        <v>2805</v>
      </c>
      <c r="M1" s="1077">
        <f>SUMPRODUCT((区片价!B5:B9=I2)*(区片价!C3:F3=E2)*(区片价!C5:F9))</f>
        <v>0</v>
      </c>
      <c r="N1" s="1080">
        <f>SUMPRODUCT((因素修正幅度!B5:B9=I2)*(因素修正幅度!C3:F3=E2)*(因素修正幅度!C5:F9))</f>
        <v>0</v>
      </c>
      <c r="O1" s="2718"/>
      <c r="P1" s="2718"/>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6">
      <c r="A2" s="244" t="s">
        <v>2811</v>
      </c>
      <c r="B2" s="247" t="e">
        <f>C26</f>
        <v>#DIV/0!</v>
      </c>
      <c r="C2" s="2720" t="s">
        <v>2812</v>
      </c>
      <c r="D2" s="2721" t="s">
        <v>2813</v>
      </c>
      <c r="E2" s="2722"/>
      <c r="F2" s="2721" t="s">
        <v>2814</v>
      </c>
      <c r="G2" s="2723">
        <f>IF(E2="商业",项目基本情况!B37,IF(E2="办公",项目基本情况!C37,IF(E2="住宅",项目基本情况!D37,项目基本情况!E37)))</f>
        <v>0</v>
      </c>
      <c r="H2" s="2721" t="s">
        <v>2815</v>
      </c>
      <c r="I2" s="2723">
        <f>IF(E2="商业",项目基本情况!B38,IF(E2="办公",项目基本情况!C38,IF(E2="住宅",项目基本情况!D38,项目基本情况!E38)))</f>
        <v>0</v>
      </c>
      <c r="J2" s="2724"/>
      <c r="K2" s="1367"/>
      <c r="L2" s="2725" t="s">
        <v>2816</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6">
      <c r="A3" s="246" t="s">
        <v>2817</v>
      </c>
      <c r="B3" s="247" t="e">
        <f>ROUND(B2*10000/D1,0)</f>
        <v>#DIV/0!</v>
      </c>
      <c r="C3" s="2720" t="s">
        <v>2818</v>
      </c>
      <c r="D3" s="2721" t="s">
        <v>2819</v>
      </c>
      <c r="E3" s="2726"/>
      <c r="F3" s="2727" t="s">
        <v>2820</v>
      </c>
      <c r="G3" s="913">
        <f>IF(F3="宗地容积率",'数据-汇总表'!I4,IF(F3="估价对象容积率",'数据-汇总表'!I6,'数据-汇总表'!I7))</f>
        <v>0.03</v>
      </c>
      <c r="H3" s="197" t="s">
        <v>2821</v>
      </c>
      <c r="I3" s="941"/>
      <c r="J3" s="2724" t="s">
        <v>2822</v>
      </c>
      <c r="K3" s="1367"/>
      <c r="L3" s="2725" t="s">
        <v>2823</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6">
      <c r="A4" s="3328"/>
      <c r="B4" s="3329"/>
      <c r="C4" s="3329"/>
      <c r="D4" s="3330"/>
      <c r="E4" s="3330"/>
      <c r="F4" s="3330"/>
      <c r="G4" s="3330"/>
      <c r="H4" s="3330"/>
      <c r="I4" s="3330"/>
      <c r="J4" s="3331"/>
      <c r="K4" s="1367"/>
      <c r="L4" s="2725" t="s">
        <v>2824</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7" customFormat="1" ht="15.6" thickBot="1">
      <c r="A5" s="2728" t="s">
        <v>807</v>
      </c>
      <c r="B5" s="2729" t="s">
        <v>2825</v>
      </c>
      <c r="C5" s="914" t="e">
        <f>ROUND(IF(E2="商业",C6*C7+C16,(IF(E2="住宅",C6*C12+C16,C6+C16))),0)</f>
        <v>#DIV/0!</v>
      </c>
      <c r="D5" s="1784" t="e">
        <f>ROUND(C6+C16,0)</f>
        <v>#DIV/0!</v>
      </c>
      <c r="E5" s="1784"/>
      <c r="F5" s="2730"/>
      <c r="G5" s="2731"/>
      <c r="H5" s="2731"/>
      <c r="I5" s="2731"/>
      <c r="J5" s="2732"/>
      <c r="K5" s="2733"/>
      <c r="L5" s="2725" t="s">
        <v>2826</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4"/>
      <c r="AD5" s="2735"/>
      <c r="AE5" s="2735"/>
      <c r="AF5" s="2735"/>
      <c r="AG5" s="2735"/>
      <c r="AH5" s="2735"/>
      <c r="AI5" s="2735"/>
      <c r="AJ5" s="2736"/>
    </row>
    <row r="6" spans="1:36" ht="15.6" thickBot="1">
      <c r="A6" s="2738" t="s">
        <v>2827</v>
      </c>
      <c r="B6" s="2739" t="s">
        <v>2828</v>
      </c>
      <c r="C6" s="915">
        <f>SUMIF(L1:L12,G2,M1:M12)</f>
        <v>0</v>
      </c>
      <c r="D6" s="2740" t="s">
        <v>2829</v>
      </c>
      <c r="E6" s="2741"/>
      <c r="F6" s="2741"/>
      <c r="G6" s="2742"/>
      <c r="H6" s="2742"/>
      <c r="I6" s="2742"/>
      <c r="J6" s="2743"/>
      <c r="K6" s="1839"/>
      <c r="L6" s="2725" t="s">
        <v>2830</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4"/>
      <c r="AD6" s="2735"/>
      <c r="AE6" s="2735"/>
      <c r="AF6" s="2735"/>
      <c r="AG6" s="2735"/>
      <c r="AH6" s="2735"/>
      <c r="AI6" s="2735"/>
      <c r="AJ6" s="2736"/>
    </row>
    <row r="7" spans="1:36" ht="24">
      <c r="A7" s="3332" t="str">
        <f>IF(E2="商业",IF(C8="不临58条商业街","",2),"")</f>
        <v/>
      </c>
      <c r="B7" s="2744" t="s">
        <v>2831</v>
      </c>
      <c r="C7" s="916" t="e">
        <f>IF(C8="不临58条商业街",1,ROUND(1+(1.6*E8+1.2*E9+0.8*E10+0.4*E11)*C9,4))</f>
        <v>#DIV/0!</v>
      </c>
      <c r="D7" s="2745" t="s">
        <v>2832</v>
      </c>
      <c r="E7" s="942"/>
      <c r="F7" s="2746"/>
      <c r="G7" s="2747"/>
      <c r="H7" s="2747"/>
      <c r="I7" s="2747"/>
      <c r="J7" s="2748"/>
      <c r="K7" s="1839"/>
      <c r="L7" s="2725" t="s">
        <v>2833</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2834</v>
      </c>
      <c r="X7" s="1601">
        <f>G2</f>
        <v>0</v>
      </c>
      <c r="Y7" s="1601" t="s">
        <v>2835</v>
      </c>
      <c r="Z7" s="1602">
        <f>G3</f>
        <v>0.03</v>
      </c>
      <c r="AA7" s="1603"/>
      <c r="AB7" s="1603"/>
      <c r="AC7" s="1604"/>
      <c r="AD7" s="1605"/>
      <c r="AE7" s="1605"/>
      <c r="AF7" s="1605"/>
      <c r="AG7" s="1605"/>
      <c r="AH7" s="1605"/>
      <c r="AI7" s="1605"/>
      <c r="AJ7" s="1606"/>
    </row>
    <row r="8" spans="1:36" ht="15">
      <c r="A8" s="3333"/>
      <c r="B8" s="197" t="s">
        <v>2836</v>
      </c>
      <c r="C8" s="2749"/>
      <c r="D8" s="917" t="s">
        <v>139</v>
      </c>
      <c r="E8" s="918" t="e">
        <f>ROUND(C11/E7,4)</f>
        <v>#DIV/0!</v>
      </c>
      <c r="F8" s="2750" t="s">
        <v>2837</v>
      </c>
      <c r="G8" s="2751"/>
      <c r="H8" s="2751"/>
      <c r="I8" s="2751"/>
      <c r="J8" s="2752"/>
      <c r="K8" s="1367"/>
      <c r="L8" s="2725" t="s">
        <v>2838</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25" t="s">
        <v>2839</v>
      </c>
      <c r="X8" s="3326"/>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333"/>
      <c r="B9" s="197" t="s">
        <v>2852</v>
      </c>
      <c r="C9" s="919">
        <f>SUMIF(修正!C59:C119,C8,修正!E59:E119)</f>
        <v>0</v>
      </c>
      <c r="D9" s="199" t="s">
        <v>140</v>
      </c>
      <c r="E9" s="199" t="e">
        <f>ROUND(C11/E7,4)</f>
        <v>#DIV/0!</v>
      </c>
      <c r="F9" s="2750" t="s">
        <v>2853</v>
      </c>
      <c r="G9" s="2751"/>
      <c r="H9" s="2751"/>
      <c r="I9" s="2751"/>
      <c r="J9" s="2752"/>
      <c r="K9" s="1367"/>
      <c r="L9" s="2725" t="s">
        <v>2854</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27"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33"/>
      <c r="B10" s="197" t="s">
        <v>2857</v>
      </c>
      <c r="C10" s="199">
        <f>SUMIF(修正!C59:C119,C8,修正!F59:F119)</f>
        <v>0</v>
      </c>
      <c r="D10" s="199" t="s">
        <v>141</v>
      </c>
      <c r="E10" s="199" t="e">
        <f>ROUND(C11/E7,4)</f>
        <v>#DIV/0!</v>
      </c>
      <c r="F10" s="2750" t="s">
        <v>2858</v>
      </c>
      <c r="G10" s="2751"/>
      <c r="H10" s="2751"/>
      <c r="I10" s="2751"/>
      <c r="J10" s="2752"/>
      <c r="K10" s="1367"/>
      <c r="L10" s="2725" t="s">
        <v>2859</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2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333"/>
      <c r="B11" s="2753" t="s">
        <v>2860</v>
      </c>
      <c r="C11" s="920">
        <f>C10/4</f>
        <v>0</v>
      </c>
      <c r="D11" s="920" t="s">
        <v>142</v>
      </c>
      <c r="E11" s="920" t="e">
        <f>ROUND(C11/E7,4)</f>
        <v>#DIV/0!</v>
      </c>
      <c r="F11" s="2754" t="s">
        <v>2861</v>
      </c>
      <c r="G11" s="2755"/>
      <c r="H11" s="2755"/>
      <c r="I11" s="2755"/>
      <c r="J11" s="2756"/>
      <c r="K11" s="1367"/>
      <c r="L11" s="2725" t="s">
        <v>2862</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27" t="s">
        <v>2863</v>
      </c>
      <c r="X11" s="1611" t="s">
        <v>2864</v>
      </c>
      <c r="Y11" s="1612">
        <f>$G$3</f>
        <v>0.03</v>
      </c>
      <c r="Z11" s="1612">
        <f t="shared" ref="Z11:AJ11" si="3">$G$3</f>
        <v>0.03</v>
      </c>
      <c r="AA11" s="1612">
        <f t="shared" si="3"/>
        <v>0.03</v>
      </c>
      <c r="AB11" s="1612">
        <f t="shared" si="3"/>
        <v>0.03</v>
      </c>
      <c r="AC11" s="1612">
        <f t="shared" si="3"/>
        <v>0.03</v>
      </c>
      <c r="AD11" s="1612">
        <f t="shared" si="3"/>
        <v>0.03</v>
      </c>
      <c r="AE11" s="1612">
        <f t="shared" si="3"/>
        <v>0.03</v>
      </c>
      <c r="AF11" s="1612">
        <f t="shared" si="3"/>
        <v>0.03</v>
      </c>
      <c r="AG11" s="1612">
        <f t="shared" si="3"/>
        <v>0.03</v>
      </c>
      <c r="AH11" s="1612">
        <f t="shared" si="3"/>
        <v>0.03</v>
      </c>
      <c r="AI11" s="1612">
        <f t="shared" si="3"/>
        <v>0.03</v>
      </c>
      <c r="AJ11" s="1612">
        <f t="shared" si="3"/>
        <v>0.03</v>
      </c>
    </row>
    <row r="12" spans="1:36" ht="25.8" thickBot="1">
      <c r="A12" s="3332" t="s">
        <v>2865</v>
      </c>
      <c r="B12" s="2757" t="s">
        <v>2866</v>
      </c>
      <c r="C12" s="916">
        <f>ROUND(C15*D15*E15*F15*G15*H15*I15*J15,4)</f>
        <v>1</v>
      </c>
      <c r="D12" s="2758" t="s">
        <v>2867</v>
      </c>
      <c r="E12" s="2759"/>
      <c r="F12" s="2759"/>
      <c r="G12" s="2760"/>
      <c r="H12" s="2760"/>
      <c r="I12" s="2760"/>
      <c r="J12" s="2761"/>
      <c r="K12" s="1367"/>
      <c r="L12" s="2762" t="s">
        <v>2868</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27"/>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34"/>
      <c r="B13" s="2763" t="s">
        <v>2870</v>
      </c>
      <c r="C13" s="2764" t="s">
        <v>2871</v>
      </c>
      <c r="D13" s="1805" t="s">
        <v>2872</v>
      </c>
      <c r="E13" s="1805" t="s">
        <v>2873</v>
      </c>
      <c r="F13" s="30" t="s">
        <v>2874</v>
      </c>
      <c r="G13" s="2765" t="s">
        <v>2875</v>
      </c>
      <c r="H13" s="2765" t="s">
        <v>2875</v>
      </c>
      <c r="I13" s="2765" t="s">
        <v>2875</v>
      </c>
      <c r="J13" s="2766" t="s">
        <v>2875</v>
      </c>
      <c r="K13" s="1367"/>
      <c r="L13" s="1367"/>
      <c r="M13" s="1367"/>
      <c r="N13" s="1367"/>
      <c r="O13" s="1367"/>
      <c r="P13" s="1367"/>
      <c r="Q13" s="1367"/>
      <c r="R13" s="1599">
        <v>12</v>
      </c>
      <c r="S13" s="1600"/>
      <c r="T13" s="1599" t="e">
        <f t="shared" si="0"/>
        <v>#DIV/0!</v>
      </c>
      <c r="U13" s="1600"/>
      <c r="V13" s="1599" t="e">
        <f t="shared" si="1"/>
        <v>#DIV/0!</v>
      </c>
      <c r="W13" s="3327"/>
      <c r="X13" s="1613"/>
      <c r="Y13" s="1610">
        <f>(-0.163*(Y12^2)-0.59*Y12+7617)*(10^(-4))/Y11</f>
        <v>25.390000000000004</v>
      </c>
      <c r="Z13" s="1610">
        <f t="shared" ref="Z13:AJ13" si="5">(-0.163*(Z12^2)-0.59*Z12+7617)*(10^(-4))/Z11</f>
        <v>25.390000000000004</v>
      </c>
      <c r="AA13" s="1610">
        <f t="shared" si="5"/>
        <v>25.390000000000004</v>
      </c>
      <c r="AB13" s="1610">
        <f t="shared" si="5"/>
        <v>25.390000000000004</v>
      </c>
      <c r="AC13" s="1610">
        <f t="shared" si="5"/>
        <v>25.390000000000004</v>
      </c>
      <c r="AD13" s="1610">
        <f t="shared" si="5"/>
        <v>25.390000000000004</v>
      </c>
      <c r="AE13" s="1610">
        <f t="shared" si="5"/>
        <v>25.390000000000004</v>
      </c>
      <c r="AF13" s="1610">
        <f t="shared" si="5"/>
        <v>25.390000000000004</v>
      </c>
      <c r="AG13" s="1610">
        <f t="shared" si="5"/>
        <v>25.390000000000004</v>
      </c>
      <c r="AH13" s="1610">
        <f t="shared" si="5"/>
        <v>25.390000000000004</v>
      </c>
      <c r="AI13" s="1610">
        <f t="shared" si="5"/>
        <v>25.390000000000004</v>
      </c>
      <c r="AJ13" s="1610">
        <f t="shared" si="5"/>
        <v>25.390000000000004</v>
      </c>
    </row>
    <row r="14" spans="1:36" ht="15">
      <c r="A14" s="3334"/>
      <c r="B14" s="2767"/>
      <c r="C14" s="2768"/>
      <c r="D14" s="2769"/>
      <c r="E14" s="2769"/>
      <c r="F14" s="2770"/>
      <c r="G14" s="2771" t="s">
        <v>2876</v>
      </c>
      <c r="H14" s="2772"/>
      <c r="I14" s="2773"/>
      <c r="J14" s="2774"/>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6" thickBot="1">
      <c r="A15" s="3335"/>
      <c r="B15" s="2775" t="s">
        <v>2877</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32" t="s">
        <v>2882</v>
      </c>
      <c r="B16" s="2744" t="s">
        <v>2883</v>
      </c>
      <c r="C16" s="2931" t="e">
        <f>ROUND(IF(F17="与级别开发程度一致",0,(G17-E17)/C17),0)</f>
        <v>#DIV/0!</v>
      </c>
      <c r="D16" s="3346" t="s">
        <v>2887</v>
      </c>
      <c r="E16" s="3347"/>
      <c r="F16" s="3346" t="s">
        <v>2884</v>
      </c>
      <c r="G16" s="3347"/>
      <c r="H16" s="2778"/>
      <c r="I16" s="2778"/>
      <c r="J16" s="2935"/>
      <c r="K16" s="2778"/>
      <c r="L16" s="2778"/>
      <c r="M16" s="2778"/>
      <c r="N16" s="2778"/>
      <c r="O16" s="2779"/>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8" thickBot="1">
      <c r="A17" s="3336"/>
      <c r="B17" s="2942" t="s">
        <v>2886</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82"/>
      <c r="AF17" s="2782"/>
      <c r="AG17" s="2719"/>
      <c r="AH17" s="2719"/>
      <c r="AI17" s="2719"/>
      <c r="AJ17" s="2719"/>
    </row>
    <row r="18" spans="1:37" s="2737" customFormat="1" ht="15" thickBot="1">
      <c r="A18" s="2936" t="s">
        <v>808</v>
      </c>
      <c r="B18" s="2937" t="s">
        <v>2889</v>
      </c>
      <c r="C18" s="2938">
        <f>SUMIF(修正!C18:C39,E3,修正!E18:E39)</f>
        <v>0</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7"/>
      <c r="AH18" s="2787"/>
      <c r="AI18" s="2787"/>
    </row>
    <row r="19" spans="1:37" s="2737" customFormat="1" ht="29.4" thickBot="1">
      <c r="A19" s="2783" t="s">
        <v>809</v>
      </c>
      <c r="B19" s="2784" t="s">
        <v>2890</v>
      </c>
      <c r="C19" s="921" t="e">
        <f>ROUND(IF(H19="按公示增长率计算",SUMPRODUCT((地价!A3:A29=YEAR(G19)&amp;"-"&amp;ROUNDUP(MONTH(G19)/3,0))*(地价!X2:AB2=E2)*(地价!X3:AB29)),IF(H19="地价指数",M20/M19,(1+I19)^O19)),4)</f>
        <v>#VALUE!</v>
      </c>
      <c r="D19" s="2788" t="s">
        <v>2891</v>
      </c>
      <c r="E19" s="922">
        <v>41640</v>
      </c>
      <c r="F19" s="2788" t="s">
        <v>2892</v>
      </c>
      <c r="G19" s="923">
        <f>'数据-取费表'!B2</f>
        <v>43845</v>
      </c>
      <c r="H19" s="2789"/>
      <c r="I19" s="924" t="str">
        <f>IF(H19="季度增幅（自定义）",SUMIF(N21:N24,E2,O21:O24),"")</f>
        <v/>
      </c>
      <c r="J19" s="2786"/>
      <c r="K19" s="1374"/>
      <c r="L19" s="2790" t="s">
        <v>2893</v>
      </c>
      <c r="M19" s="1731">
        <f>ROUND(SUMIF(地价!B2:F2,E2,地价!B29:F29),0)</f>
        <v>0</v>
      </c>
      <c r="N19" s="2791" t="s">
        <v>2894</v>
      </c>
      <c r="O19" s="925">
        <f>ROUNDDOWN(DATEDIF(E19,G19,"M")/3,0)</f>
        <v>24</v>
      </c>
      <c r="P19" s="1371"/>
      <c r="Q19" s="1373"/>
      <c r="R19" s="1373"/>
      <c r="S19" s="1373"/>
      <c r="T19" s="1368"/>
      <c r="U19" s="1368"/>
      <c r="V19" s="1368"/>
      <c r="W19" s="1367"/>
      <c r="X19" s="1367"/>
      <c r="Y19" s="1367"/>
      <c r="Z19" s="1374"/>
      <c r="AA19" s="1375"/>
      <c r="AB19" s="1375"/>
      <c r="AC19" s="1375"/>
      <c r="AD19" s="1375"/>
      <c r="AE19" s="1375"/>
      <c r="AF19" s="2792"/>
      <c r="AG19" s="2793"/>
      <c r="AH19" s="2787"/>
      <c r="AI19" s="2794"/>
      <c r="AJ19" s="2794"/>
      <c r="AK19" s="2794"/>
    </row>
    <row r="20" spans="1:37" s="2737" customFormat="1" ht="29.4" thickBot="1">
      <c r="A20" s="2795" t="s">
        <v>810</v>
      </c>
      <c r="B20" s="2796" t="s">
        <v>2895</v>
      </c>
      <c r="C20" s="926" t="e">
        <f>ROUND(POWER(1+G20,J20-I20)*(POWER(1+G20,I20)-1)/(POWER(1+G20,J20)-1),4)</f>
        <v>#DIV/0!</v>
      </c>
      <c r="D20" s="2797" t="s">
        <v>2896</v>
      </c>
      <c r="E20" s="1765">
        <f ca="1">存贷款利率!D4/100</f>
        <v>4.3499999999999997E-2</v>
      </c>
      <c r="F20" s="2797" t="s">
        <v>2888</v>
      </c>
      <c r="G20" s="931">
        <f>SUMIF(M26:P26,E2,M28:P28)</f>
        <v>0</v>
      </c>
      <c r="H20" s="2797" t="s">
        <v>2897</v>
      </c>
      <c r="I20" s="932" t="e">
        <f>SUMIF('数据-取费表'!C6:C15,E2,'数据-取费表'!F6:F15)/COUNTIF('数据-取费表'!C6:C15,E2)</f>
        <v>#DIV/0!</v>
      </c>
      <c r="J20" s="933">
        <f>IF(E2="住宅",70,IF(E2="商业",40,50))</f>
        <v>50</v>
      </c>
      <c r="K20" s="1374"/>
      <c r="L20" s="2798" t="s">
        <v>2898</v>
      </c>
      <c r="M20" s="1732">
        <f>ROUND(SUMPRODUCT((地价!A4:A29=YEAR(G19)&amp;"-"&amp;ROUNDUP(MONTH(G19)/3,0))*(地价!B2:F2=E2)*(地价!B4:F29)),0)</f>
        <v>0</v>
      </c>
      <c r="N20" s="2799" t="s">
        <v>2899</v>
      </c>
      <c r="O20" s="2800" t="s">
        <v>2900</v>
      </c>
      <c r="P20" s="2801" t="s">
        <v>2901</v>
      </c>
      <c r="R20" s="1373"/>
      <c r="S20" s="1373"/>
      <c r="T20" s="1368"/>
      <c r="U20" s="1368"/>
      <c r="V20" s="1368"/>
      <c r="W20" s="1367"/>
      <c r="X20" s="1367"/>
      <c r="Y20" s="1367"/>
      <c r="Z20" s="1374"/>
      <c r="AA20" s="1375"/>
      <c r="AB20" s="1375"/>
      <c r="AC20" s="1375"/>
      <c r="AD20" s="1375"/>
      <c r="AE20" s="1375"/>
      <c r="AF20" s="1375"/>
    </row>
    <row r="21" spans="1:37" s="2737" customFormat="1" ht="14.4">
      <c r="A21" s="2802" t="s">
        <v>811</v>
      </c>
      <c r="B21" s="2803" t="s">
        <v>2902</v>
      </c>
      <c r="C21" s="934">
        <f>IF(B21="容积率修正",IF(G3&lt;=10,D22,J22),C23)</f>
        <v>0</v>
      </c>
      <c r="D21" s="2804"/>
      <c r="E21" s="2804"/>
      <c r="F21" s="2804"/>
      <c r="G21" s="2804"/>
      <c r="H21" s="2804"/>
      <c r="I21" s="2804"/>
      <c r="J21" s="2805"/>
      <c r="K21" s="1374"/>
      <c r="N21" s="2806" t="s">
        <v>2903</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7" customFormat="1" ht="14.4">
      <c r="A22" s="2663" t="s">
        <v>2904</v>
      </c>
      <c r="B22" s="2807" t="s">
        <v>2905</v>
      </c>
      <c r="C22" s="1807" t="s">
        <v>2906</v>
      </c>
      <c r="D22" s="1807">
        <f>IF(E22=G22,F22,IF(G3&lt;=10,ROUND(F22+(H22-F22)*(G3-E22)/(G22-E22),4),"——"))</f>
        <v>0</v>
      </c>
      <c r="E22" s="913">
        <f>ROUNDDOWN(G3,1)</f>
        <v>0</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6" t="s">
        <v>2907</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9.4" thickBot="1">
      <c r="A23" s="2663" t="s">
        <v>2908</v>
      </c>
      <c r="B23" s="2808" t="s">
        <v>2909</v>
      </c>
      <c r="C23" s="1010">
        <f>ROUND(IF(G3&gt;1,IF(I3&lt;7,SUMPRODUCT((B93:B98=I3)*(C92:N92=G2)*(C93:N98)),SUMIF(C92:N92,G2,C100:N100)),IF(I3&lt;7,SUMPRODUCT((B102:B107=I3)*(C92:N92=G2)*(C102:N107)),SUMIF(C92:N92,G2,C109:N109))),4)</f>
        <v>0</v>
      </c>
      <c r="D23" s="2772"/>
      <c r="E23" s="2772"/>
      <c r="F23" s="2809"/>
      <c r="G23" s="2810"/>
      <c r="H23" s="2811"/>
      <c r="I23" s="2812"/>
      <c r="J23" s="2813"/>
      <c r="K23" s="1367"/>
      <c r="N23" s="2806" t="s">
        <v>2910</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7"/>
    </row>
    <row r="24" spans="1:37" s="2737" customFormat="1" ht="15" thickBot="1">
      <c r="A24" s="2795" t="s">
        <v>812</v>
      </c>
      <c r="B24" s="2784" t="s">
        <v>2911</v>
      </c>
      <c r="C24" s="921">
        <f>SUMIF(A45:A88,E2,B45:B88)</f>
        <v>0</v>
      </c>
      <c r="D24" s="2785"/>
      <c r="E24" s="2814"/>
      <c r="F24" s="2814"/>
      <c r="G24" s="2814"/>
      <c r="H24" s="2814"/>
      <c r="I24" s="2814"/>
      <c r="J24" s="2815"/>
      <c r="K24" s="1374"/>
      <c r="N24" s="2816" t="s">
        <v>2912</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 thickBot="1">
      <c r="A25" s="2795" t="s">
        <v>813</v>
      </c>
      <c r="B25" s="2817" t="s">
        <v>2913</v>
      </c>
      <c r="C25" s="927"/>
      <c r="D25" s="2747"/>
      <c r="E25" s="2747"/>
      <c r="F25" s="2818"/>
      <c r="G25" s="2747"/>
      <c r="H25" s="2747"/>
      <c r="I25" s="2747"/>
      <c r="J25" s="2748"/>
      <c r="K25" s="1367"/>
      <c r="N25" s="2819" t="s">
        <v>2914</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4.4">
      <c r="A26" s="2820"/>
      <c r="B26" s="2807" t="s">
        <v>2915</v>
      </c>
      <c r="C26" s="205" t="e">
        <f>E29+SUM(E33:E39)</f>
        <v>#DIV/0!</v>
      </c>
      <c r="D26" s="2821"/>
      <c r="E26" s="2772"/>
      <c r="F26" s="2822"/>
      <c r="G26" s="2772"/>
      <c r="H26" s="2772"/>
      <c r="I26" s="2772"/>
      <c r="J26" s="2823"/>
      <c r="K26" s="1367"/>
      <c r="L26" s="2776" t="s">
        <v>2813</v>
      </c>
      <c r="M26" s="917" t="s">
        <v>2878</v>
      </c>
      <c r="N26" s="917" t="s">
        <v>2879</v>
      </c>
      <c r="O26" s="917" t="s">
        <v>2880</v>
      </c>
      <c r="P26" s="2777" t="s">
        <v>2881</v>
      </c>
      <c r="R26" s="1373"/>
      <c r="S26" s="1373"/>
      <c r="T26" s="1368"/>
      <c r="U26" s="1368"/>
      <c r="V26" s="1368"/>
      <c r="W26" s="1367"/>
      <c r="X26" s="1367"/>
      <c r="Y26" s="1367"/>
      <c r="Z26" s="1374"/>
      <c r="AA26" s="1375"/>
      <c r="AB26" s="1375"/>
      <c r="AC26" s="1375"/>
      <c r="AD26" s="1375"/>
    </row>
    <row r="27" spans="1:37" ht="15" thickBot="1">
      <c r="A27" s="2820"/>
      <c r="B27" s="2824" t="s">
        <v>2916</v>
      </c>
      <c r="C27" s="928" t="e">
        <f>E30+SUM(I33:I39)</f>
        <v>#DIV/0!</v>
      </c>
      <c r="D27" s="2825"/>
      <c r="E27" s="2826"/>
      <c r="F27" s="2827"/>
      <c r="G27" s="2826"/>
      <c r="H27" s="2826"/>
      <c r="I27" s="2826"/>
      <c r="J27" s="2828"/>
      <c r="K27" s="1367"/>
      <c r="L27" s="2780" t="s">
        <v>2885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9"/>
      <c r="B28" s="2830" t="s">
        <v>2917</v>
      </c>
      <c r="C28" s="2831" t="s">
        <v>2918</v>
      </c>
      <c r="D28" s="2831" t="s">
        <v>2919</v>
      </c>
      <c r="E28" s="2832" t="s">
        <v>2920</v>
      </c>
      <c r="F28" s="2833"/>
      <c r="G28" s="2760"/>
      <c r="H28" s="2760"/>
      <c r="I28" s="2760"/>
      <c r="J28" s="2761"/>
      <c r="K28" s="1367"/>
      <c r="L28" s="2781" t="s">
        <v>2888</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4"/>
      <c r="B29" s="2835" t="s">
        <v>2921</v>
      </c>
      <c r="C29" s="205" t="e">
        <f>ROUND(C5*C18*C19*C20*C21*C24,0)</f>
        <v>#DIV/0!</v>
      </c>
      <c r="D29" s="2836"/>
      <c r="E29" s="939" t="e">
        <f>ROUND(C29*D29/10000,0)</f>
        <v>#DIV/0!</v>
      </c>
      <c r="F29" s="2837" t="s">
        <v>2922</v>
      </c>
      <c r="G29" s="2838"/>
      <c r="H29" s="2838"/>
      <c r="I29" s="2838"/>
      <c r="J29" s="2839"/>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9"/>
      <c r="AH29" s="2719"/>
      <c r="AI29" s="2719"/>
      <c r="AJ29" s="2719"/>
    </row>
    <row r="30" spans="1:37" ht="25.8" thickBot="1">
      <c r="A30" s="2840"/>
      <c r="B30" s="2841" t="s">
        <v>2923</v>
      </c>
      <c r="C30" s="228" t="e">
        <f>ROUND(IF(E2="工业",C29*M39,C29*M38),0)</f>
        <v>#DIV/0!</v>
      </c>
      <c r="D30" s="2842"/>
      <c r="E30" s="939" t="e">
        <f>ROUND(C30*D30/10000,0)</f>
        <v>#DIV/0!</v>
      </c>
      <c r="F30" s="2843" t="s">
        <v>2924</v>
      </c>
      <c r="G30" s="2844"/>
      <c r="H30" s="2844"/>
      <c r="I30" s="2844"/>
      <c r="J30" s="2845"/>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9"/>
      <c r="AH30" s="2719"/>
      <c r="AI30" s="2719"/>
      <c r="AJ30" s="2719"/>
    </row>
    <row r="31" spans="1:37" ht="13.8">
      <c r="A31" s="2846"/>
      <c r="B31" s="2847" t="s">
        <v>2925</v>
      </c>
      <c r="C31" s="2848" t="s">
        <v>2926</v>
      </c>
      <c r="D31" s="2760"/>
      <c r="E31" s="2848"/>
      <c r="F31" s="2848"/>
      <c r="G31" s="2758" t="s">
        <v>2927</v>
      </c>
      <c r="H31" s="2760"/>
      <c r="I31" s="2849"/>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9"/>
      <c r="AH31" s="2719"/>
      <c r="AI31" s="2719"/>
      <c r="AJ31" s="2719"/>
    </row>
    <row r="32" spans="1:37" ht="36">
      <c r="A32" s="2834"/>
      <c r="B32" s="2850"/>
      <c r="C32" s="500" t="s">
        <v>2918</v>
      </c>
      <c r="D32" s="497" t="s">
        <v>2919</v>
      </c>
      <c r="E32" s="497" t="s">
        <v>2920</v>
      </c>
      <c r="F32" s="387" t="s">
        <v>2928</v>
      </c>
      <c r="G32" s="2851" t="s">
        <v>2918</v>
      </c>
      <c r="H32" s="2851" t="s">
        <v>2919</v>
      </c>
      <c r="I32" s="2851" t="s">
        <v>2920</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9"/>
      <c r="AH32" s="2719"/>
      <c r="AI32" s="2719"/>
      <c r="AJ32" s="2719"/>
    </row>
    <row r="33" spans="1:37" ht="36" customHeight="1">
      <c r="A33" s="3343" t="s">
        <v>2929</v>
      </c>
      <c r="B33" s="2852" t="s">
        <v>2930</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44"/>
      <c r="B34" s="2764" t="s">
        <v>2931</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44"/>
      <c r="B35" s="2764" t="s">
        <v>2932</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7"/>
      <c r="L35" s="1367"/>
      <c r="M35" s="1367"/>
      <c r="N35" s="1367"/>
      <c r="O35" s="1367"/>
      <c r="P35" s="1367"/>
      <c r="Q35" s="1367"/>
      <c r="R35" s="1367"/>
      <c r="S35" s="1367"/>
      <c r="T35" s="1367"/>
      <c r="U35" s="1367"/>
      <c r="V35" s="1367"/>
      <c r="W35" s="1367"/>
      <c r="X35" s="1367"/>
      <c r="Y35" s="1367"/>
      <c r="Z35" s="1368"/>
    </row>
    <row r="36" spans="1:37" ht="13.8" thickBot="1">
      <c r="A36" s="3345"/>
      <c r="B36" s="2764" t="s">
        <v>2933</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7"/>
      <c r="L36" s="2718"/>
      <c r="M36" s="2718"/>
      <c r="N36" s="1367"/>
      <c r="O36" s="1367"/>
      <c r="P36" s="1367"/>
      <c r="Q36" s="1367"/>
      <c r="R36" s="1367"/>
      <c r="S36" s="1367"/>
      <c r="T36" s="1367"/>
      <c r="U36" s="1367"/>
      <c r="V36" s="1367"/>
      <c r="W36" s="1367"/>
      <c r="X36" s="1367"/>
      <c r="Y36" s="1367"/>
      <c r="Z36" s="1368"/>
    </row>
    <row r="37" spans="1:37">
      <c r="A37" s="2854"/>
      <c r="B37" s="2764" t="s">
        <v>2934</v>
      </c>
      <c r="C37" s="199" t="e">
        <f>ROUND(D5*C19*C20*C24*F37,0)</f>
        <v>#DIV/0!</v>
      </c>
      <c r="D37" s="2836"/>
      <c r="E37" s="199" t="e">
        <f t="shared" si="7"/>
        <v>#DIV/0!</v>
      </c>
      <c r="F37" s="205">
        <f>SUMIF(修正!A45:A56,G2,修正!F45:F56)</f>
        <v>0</v>
      </c>
      <c r="G37" s="199" t="e">
        <f>ROUND(IF(E2="工业",C37*$M$39,C37*$M$38),0)</f>
        <v>#DIV/0!</v>
      </c>
      <c r="H37" s="199">
        <f t="shared" si="8"/>
        <v>0</v>
      </c>
      <c r="I37" s="199" t="e">
        <f t="shared" si="9"/>
        <v>#DIV/0!</v>
      </c>
      <c r="J37" s="2853"/>
      <c r="K37" s="1367"/>
      <c r="L37" s="2855" t="s">
        <v>2935</v>
      </c>
      <c r="M37" s="2856"/>
      <c r="N37" s="1367"/>
      <c r="O37" s="1367"/>
      <c r="P37" s="1367"/>
      <c r="Q37" s="1367"/>
      <c r="R37" s="1367"/>
      <c r="S37" s="1367"/>
      <c r="T37" s="1367"/>
      <c r="U37" s="1367"/>
      <c r="V37" s="1367"/>
      <c r="W37" s="1367"/>
      <c r="X37" s="1367"/>
      <c r="Y37" s="1367"/>
      <c r="Z37" s="1368"/>
    </row>
    <row r="38" spans="1:37">
      <c r="A38" s="2854"/>
      <c r="B38" s="2764" t="s">
        <v>2936</v>
      </c>
      <c r="C38" s="199" t="e">
        <f>ROUND(D5*C19*C41*C24*F38,0)</f>
        <v>#DIV/0!</v>
      </c>
      <c r="D38" s="2836"/>
      <c r="E38" s="199" t="e">
        <f t="shared" si="7"/>
        <v>#DIV/0!</v>
      </c>
      <c r="F38" s="205">
        <f>SUMIF(修正!A45:A56,G2,修正!G45:G56)</f>
        <v>0</v>
      </c>
      <c r="G38" s="199" t="e">
        <f>ROUND(IF(E2="工业",C38*$M$39,C38*$M$38),0)</f>
        <v>#DIV/0!</v>
      </c>
      <c r="H38" s="199">
        <f t="shared" si="8"/>
        <v>0</v>
      </c>
      <c r="I38" s="199" t="e">
        <f t="shared" si="9"/>
        <v>#DIV/0!</v>
      </c>
      <c r="J38" s="2853"/>
      <c r="K38" s="1367"/>
      <c r="L38" s="1884" t="s">
        <v>2937</v>
      </c>
      <c r="M38" s="2857">
        <v>0.25</v>
      </c>
      <c r="N38" s="1367"/>
      <c r="O38" s="1367"/>
      <c r="P38" s="1367"/>
      <c r="Q38" s="1367"/>
      <c r="R38" s="1367"/>
      <c r="S38" s="1367"/>
      <c r="T38" s="1367"/>
      <c r="U38" s="1367"/>
      <c r="V38" s="1367"/>
      <c r="W38" s="1367"/>
      <c r="X38" s="1367"/>
      <c r="Y38" s="1367"/>
      <c r="Z38" s="1368"/>
    </row>
    <row r="39" spans="1:37" ht="13.8" thickBot="1">
      <c r="A39" s="2840"/>
      <c r="B39" s="2858" t="s">
        <v>2938</v>
      </c>
      <c r="C39" s="228" t="e">
        <f>ROUND(D5*C19*C41*C24*F39,0)</f>
        <v>#DIV/0!</v>
      </c>
      <c r="D39" s="2842"/>
      <c r="E39" s="228" t="e">
        <f t="shared" si="7"/>
        <v>#DIV/0!</v>
      </c>
      <c r="F39" s="929">
        <f>SUMIF(修正!A45:A56,G2,修正!H45:H56)</f>
        <v>0</v>
      </c>
      <c r="G39" s="228" t="e">
        <f>ROUND(IF(E2="工业",C39*$M$39,C39*$M$38),0)</f>
        <v>#DIV/0!</v>
      </c>
      <c r="H39" s="228">
        <f t="shared" si="8"/>
        <v>0</v>
      </c>
      <c r="I39" s="228" t="e">
        <f t="shared" si="9"/>
        <v>#DIV/0!</v>
      </c>
      <c r="J39" s="2859"/>
      <c r="K39" s="1367"/>
      <c r="L39" s="2860" t="s">
        <v>2881</v>
      </c>
      <c r="M39" s="286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9" t="s">
        <v>3044</v>
      </c>
      <c r="C41" s="387" t="e">
        <f>ROUND(POWER(1+E41,H41-G41)*(POWER(1+E41,G41)-1)/(POWER(1+E41,H41)-1),4)</f>
        <v>#DIV/0!</v>
      </c>
      <c r="D41" s="199" t="s">
        <v>2888</v>
      </c>
      <c r="E41" s="2928">
        <f>G20</f>
        <v>0</v>
      </c>
      <c r="F41" s="199" t="s">
        <v>2897</v>
      </c>
      <c r="G41" s="217"/>
      <c r="H41" s="199">
        <v>50</v>
      </c>
      <c r="Z41" s="1368"/>
      <c r="AA41" s="1368"/>
      <c r="AB41" s="1368"/>
      <c r="AC41" s="1368"/>
      <c r="AD41" s="1368"/>
      <c r="AE41" s="1368"/>
      <c r="AF41" s="1368"/>
      <c r="AG41" s="1368"/>
      <c r="AH41" s="1368"/>
      <c r="AI41" s="1368"/>
      <c r="AJ41" s="1368"/>
    </row>
    <row r="42" spans="1:37" s="1367" customFormat="1">
      <c r="A42" s="1368"/>
      <c r="B42" s="2862"/>
      <c r="Z42" s="1368"/>
      <c r="AA42" s="1368"/>
      <c r="AB42" s="1368"/>
      <c r="AC42" s="1368"/>
      <c r="AD42" s="1368"/>
      <c r="AE42" s="1368"/>
      <c r="AF42" s="1368"/>
      <c r="AG42" s="1368"/>
      <c r="AH42" s="1368"/>
      <c r="AI42" s="1368"/>
      <c r="AJ42" s="1368"/>
    </row>
    <row r="43" spans="1:37" s="1367" customFormat="1">
      <c r="A43" s="1368"/>
      <c r="B43" s="2862"/>
      <c r="Z43" s="1368"/>
      <c r="AA43" s="1368"/>
      <c r="AB43" s="1368"/>
      <c r="AC43" s="1368"/>
      <c r="AD43" s="1368"/>
      <c r="AE43" s="1368"/>
      <c r="AF43" s="1368"/>
      <c r="AG43" s="1368"/>
      <c r="AH43" s="1368"/>
      <c r="AI43" s="1368"/>
      <c r="AJ43" s="1368"/>
    </row>
    <row r="44" spans="1:37" s="1367" customFormat="1">
      <c r="A44" s="1368"/>
      <c r="B44" s="2862"/>
      <c r="Z44" s="1368"/>
      <c r="AA44" s="1368"/>
      <c r="AB44" s="1368"/>
      <c r="AC44" s="1368"/>
      <c r="AD44" s="1368"/>
      <c r="AE44" s="1368"/>
      <c r="AF44" s="1368"/>
      <c r="AG44" s="1368"/>
      <c r="AH44" s="1368"/>
      <c r="AI44" s="1368"/>
      <c r="AJ44" s="1368"/>
    </row>
    <row r="45" spans="1:37" s="1367" customFormat="1" ht="15" thickBot="1">
      <c r="A45" s="2863" t="s">
        <v>2939</v>
      </c>
      <c r="B45" s="2864"/>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4.4">
      <c r="A46" s="2865" t="s">
        <v>2940</v>
      </c>
      <c r="B46" s="2866">
        <f>1+E48</f>
        <v>1</v>
      </c>
      <c r="C46" s="2867"/>
      <c r="D46" s="811"/>
      <c r="E46" s="812"/>
      <c r="F46" s="2868"/>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5.2">
      <c r="A47" s="2869" t="s">
        <v>2941</v>
      </c>
      <c r="B47" s="1806" t="s">
        <v>2942</v>
      </c>
      <c r="C47" s="1806" t="s">
        <v>2943</v>
      </c>
      <c r="D47" s="1806" t="s">
        <v>2944</v>
      </c>
      <c r="E47" s="816" t="s">
        <v>2945</v>
      </c>
      <c r="F47" s="2870" t="s">
        <v>2946</v>
      </c>
      <c r="G47" s="1806" t="s">
        <v>754</v>
      </c>
      <c r="H47" s="2871" t="s">
        <v>2947</v>
      </c>
      <c r="I47" s="1806" t="s">
        <v>2948</v>
      </c>
      <c r="J47" s="602" t="s">
        <v>2596</v>
      </c>
      <c r="K47" s="602" t="s">
        <v>2597</v>
      </c>
      <c r="L47" s="602" t="s">
        <v>2598</v>
      </c>
      <c r="M47" s="602" t="s">
        <v>2599</v>
      </c>
      <c r="N47" s="602" t="s">
        <v>2600</v>
      </c>
      <c r="AA47" s="1368"/>
      <c r="AB47" s="1368"/>
      <c r="AC47" s="1368"/>
      <c r="AD47" s="1368"/>
      <c r="AE47" s="1368"/>
      <c r="AF47" s="1368"/>
      <c r="AG47" s="1368"/>
      <c r="AH47" s="1368"/>
      <c r="AI47" s="1368"/>
      <c r="AJ47" s="1368"/>
      <c r="AK47" s="1368"/>
    </row>
    <row r="48" spans="1:37" s="1367" customFormat="1" ht="52.8">
      <c r="A48" s="2869" t="s">
        <v>2949</v>
      </c>
      <c r="B48" s="2872" t="str">
        <f>估价对象房地状况!C4</f>
        <v>估价对象位于XX商圈，周边商业氛围成熟，人流量大，商业繁华度好</v>
      </c>
      <c r="C48" s="2769"/>
      <c r="D48" s="1283">
        <f t="shared" ref="D48:D56" si="10">SUMIF($J$47:$N$47,C48,J48:N48)</f>
        <v>0</v>
      </c>
      <c r="E48" s="818">
        <f>ROUND(SUM(D48:D56),4)</f>
        <v>0</v>
      </c>
      <c r="F48" s="2500"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9" t="s">
        <v>2950</v>
      </c>
      <c r="B49" s="2873" t="str">
        <f>估价对象房地状况!C18</f>
        <v>估价对象周边道路状况、公共交通通达情况、停车便捷程度，综合评价交通便捷度较好</v>
      </c>
      <c r="C49" s="2769"/>
      <c r="D49" s="1283">
        <f t="shared" si="10"/>
        <v>0</v>
      </c>
      <c r="E49" s="819"/>
      <c r="F49" s="2500"/>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9" t="s">
        <v>2951</v>
      </c>
      <c r="B50" s="2873">
        <f>估价对象房地状况!C19</f>
        <v>0</v>
      </c>
      <c r="C50" s="2769"/>
      <c r="D50" s="1283">
        <f t="shared" si="10"/>
        <v>0</v>
      </c>
      <c r="E50" s="819"/>
      <c r="F50" s="2500"/>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9" t="s">
        <v>2952</v>
      </c>
      <c r="B51" s="2874" t="s">
        <v>2953</v>
      </c>
      <c r="C51" s="2769"/>
      <c r="D51" s="1283">
        <f t="shared" si="10"/>
        <v>0</v>
      </c>
      <c r="E51" s="819"/>
      <c r="F51" s="2500"/>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9" t="s">
        <v>2954</v>
      </c>
      <c r="B52" s="2873">
        <f>估价对象房地状况!C24</f>
        <v>0</v>
      </c>
      <c r="C52" s="2769"/>
      <c r="D52" s="1283">
        <f t="shared" si="10"/>
        <v>0</v>
      </c>
      <c r="E52" s="819"/>
      <c r="F52" s="2500"/>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9" t="s">
        <v>2955</v>
      </c>
      <c r="B53" s="2875" t="s">
        <v>2956</v>
      </c>
      <c r="C53" s="2769"/>
      <c r="D53" s="1283">
        <f t="shared" si="10"/>
        <v>0</v>
      </c>
      <c r="E53" s="819"/>
      <c r="F53" s="2500"/>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76" t="s">
        <v>2957</v>
      </c>
      <c r="B54" s="1722" t="str">
        <f>估价对象房地状况!C21</f>
        <v>估价对象所在区域公共配套设施齐备情况</v>
      </c>
      <c r="C54" s="2769"/>
      <c r="D54" s="1283">
        <f t="shared" si="10"/>
        <v>0</v>
      </c>
      <c r="E54" s="819"/>
      <c r="F54" s="2500"/>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6" t="s">
        <v>2958</v>
      </c>
      <c r="B55" s="2873" t="str">
        <f>估价对象房地状况!C22</f>
        <v>估价对象所在区域基础设施水平</v>
      </c>
      <c r="C55" s="2769"/>
      <c r="D55" s="1283">
        <f t="shared" si="10"/>
        <v>0</v>
      </c>
      <c r="E55" s="819"/>
      <c r="F55" s="2500"/>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77" t="s">
        <v>2959</v>
      </c>
      <c r="B56" s="2878" t="str">
        <f>估价对象房地状况!C20</f>
        <v>区域自然环境：；人文环境；综合评价环境状况一般</v>
      </c>
      <c r="C56" s="2769"/>
      <c r="D56" s="1283">
        <f t="shared" si="10"/>
        <v>0</v>
      </c>
      <c r="E56" s="822"/>
      <c r="F56" s="2500"/>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5" t="s">
        <v>2960</v>
      </c>
      <c r="B57" s="2866">
        <f>1+E59</f>
        <v>1</v>
      </c>
      <c r="C57" s="811"/>
      <c r="D57" s="811"/>
      <c r="E57" s="812"/>
      <c r="F57" s="286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9" t="s">
        <v>2941</v>
      </c>
      <c r="B58" s="1806"/>
      <c r="C58" s="1806" t="s">
        <v>2943</v>
      </c>
      <c r="D58" s="1806" t="s">
        <v>2944</v>
      </c>
      <c r="E58" s="816" t="s">
        <v>2945</v>
      </c>
      <c r="F58" s="2870" t="s">
        <v>2961</v>
      </c>
      <c r="G58" s="1806" t="s">
        <v>754</v>
      </c>
      <c r="H58" s="2871" t="s">
        <v>2947</v>
      </c>
      <c r="I58" s="1806" t="s">
        <v>2948</v>
      </c>
      <c r="J58" s="602" t="s">
        <v>2596</v>
      </c>
      <c r="K58" s="602" t="s">
        <v>2597</v>
      </c>
      <c r="L58" s="602" t="s">
        <v>2598</v>
      </c>
      <c r="M58" s="602" t="s">
        <v>2599</v>
      </c>
      <c r="N58" s="602" t="s">
        <v>2600</v>
      </c>
      <c r="AA58" s="1368"/>
      <c r="AB58" s="1368"/>
      <c r="AC58" s="1368"/>
      <c r="AD58" s="1368"/>
      <c r="AE58" s="1368"/>
      <c r="AF58" s="1368"/>
      <c r="AG58" s="1368"/>
      <c r="AH58" s="1368"/>
      <c r="AI58" s="1368"/>
      <c r="AJ58" s="1368"/>
      <c r="AK58" s="1368"/>
    </row>
    <row r="59" spans="1:37" s="1367" customFormat="1" ht="52.8">
      <c r="A59" s="2869" t="s">
        <v>2962</v>
      </c>
      <c r="B59" s="2872" t="str">
        <f>估价对象房地状况!C17</f>
        <v>估价对象位于XX商圈，周边办公楼项目较多，入驻率高，办公集聚程度较好</v>
      </c>
      <c r="C59" s="2769"/>
      <c r="D59" s="1283">
        <f t="shared" ref="D59:D67" si="15">SUMIF($J$58:$N$58,C59,J59:N59)</f>
        <v>0</v>
      </c>
      <c r="E59" s="818">
        <f>ROUND(SUM(D59:D67),4)</f>
        <v>0</v>
      </c>
      <c r="F59" s="2500"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9" t="s">
        <v>2950</v>
      </c>
      <c r="B60" s="2873" t="str">
        <f>估价对象房地状况!C18</f>
        <v>估价对象周边道路状况、公共交通通达情况、停车便捷程度，综合评价交通便捷度较好</v>
      </c>
      <c r="C60" s="2769"/>
      <c r="D60" s="1283">
        <f t="shared" si="15"/>
        <v>0</v>
      </c>
      <c r="E60" s="819"/>
      <c r="F60" s="2500"/>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9" t="s">
        <v>2951</v>
      </c>
      <c r="B61" s="2873">
        <f>估价对象房地状况!C19</f>
        <v>0</v>
      </c>
      <c r="C61" s="2769"/>
      <c r="D61" s="1283">
        <f t="shared" si="15"/>
        <v>0</v>
      </c>
      <c r="E61" s="819"/>
      <c r="F61" s="2500"/>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9" t="s">
        <v>2952</v>
      </c>
      <c r="B62" s="2874" t="s">
        <v>2953</v>
      </c>
      <c r="C62" s="2769"/>
      <c r="D62" s="1283">
        <f t="shared" si="15"/>
        <v>0</v>
      </c>
      <c r="E62" s="819"/>
      <c r="F62" s="2500"/>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9" t="s">
        <v>2954</v>
      </c>
      <c r="B63" s="2873">
        <f>估价对象房地状况!C24</f>
        <v>0</v>
      </c>
      <c r="C63" s="2769"/>
      <c r="D63" s="1283">
        <f t="shared" si="15"/>
        <v>0</v>
      </c>
      <c r="E63" s="819"/>
      <c r="F63" s="2500"/>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9" t="s">
        <v>2955</v>
      </c>
      <c r="B64" s="2875" t="s">
        <v>2956</v>
      </c>
      <c r="C64" s="2769"/>
      <c r="D64" s="1283">
        <f t="shared" si="15"/>
        <v>0</v>
      </c>
      <c r="E64" s="819"/>
      <c r="F64" s="2500"/>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9" t="s">
        <v>2957</v>
      </c>
      <c r="B65" s="1722" t="str">
        <f>估价对象房地状况!C21</f>
        <v>估价对象所在区域公共配套设施齐备情况</v>
      </c>
      <c r="C65" s="2769"/>
      <c r="D65" s="1283">
        <f t="shared" si="15"/>
        <v>0</v>
      </c>
      <c r="E65" s="819"/>
      <c r="F65" s="2500"/>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9" t="s">
        <v>2958</v>
      </c>
      <c r="B66" s="1722" t="str">
        <f>估价对象房地状况!C22</f>
        <v>估价对象所在区域基础设施水平</v>
      </c>
      <c r="C66" s="2769"/>
      <c r="D66" s="1283">
        <f t="shared" si="15"/>
        <v>0</v>
      </c>
      <c r="E66" s="819"/>
      <c r="F66" s="2500"/>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7" t="s">
        <v>2959</v>
      </c>
      <c r="B67" s="2879" t="str">
        <f>估价对象房地状况!C20</f>
        <v>区域自然环境：；人文环境；综合评价环境状况一般</v>
      </c>
      <c r="C67" s="2769"/>
      <c r="D67" s="1283">
        <f t="shared" si="15"/>
        <v>0</v>
      </c>
      <c r="E67" s="822"/>
      <c r="F67" s="2500"/>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5" t="s">
        <v>2963</v>
      </c>
      <c r="B68" s="2866">
        <f>1+E70</f>
        <v>1</v>
      </c>
      <c r="C68" s="811"/>
      <c r="D68" s="811"/>
      <c r="E68" s="812"/>
      <c r="F68" s="286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9" t="s">
        <v>2941</v>
      </c>
      <c r="B69" s="1806"/>
      <c r="C69" s="1806" t="s">
        <v>2943</v>
      </c>
      <c r="D69" s="1806" t="s">
        <v>2944</v>
      </c>
      <c r="E69" s="816" t="s">
        <v>2945</v>
      </c>
      <c r="F69" s="2870" t="s">
        <v>2961</v>
      </c>
      <c r="G69" s="1806" t="s">
        <v>754</v>
      </c>
      <c r="H69" s="2871" t="s">
        <v>2947</v>
      </c>
      <c r="I69" s="1806" t="s">
        <v>2948</v>
      </c>
      <c r="J69" s="602" t="s">
        <v>2596</v>
      </c>
      <c r="K69" s="602" t="s">
        <v>2597</v>
      </c>
      <c r="L69" s="602" t="s">
        <v>2598</v>
      </c>
      <c r="M69" s="602" t="s">
        <v>2599</v>
      </c>
      <c r="N69" s="602" t="s">
        <v>2600</v>
      </c>
      <c r="AA69" s="1368"/>
      <c r="AB69" s="1368"/>
      <c r="AC69" s="1368"/>
      <c r="AD69" s="1368"/>
      <c r="AE69" s="1368"/>
      <c r="AF69" s="1368"/>
      <c r="AG69" s="1368"/>
      <c r="AH69" s="1368"/>
      <c r="AI69" s="1368"/>
      <c r="AJ69" s="1368"/>
      <c r="AK69" s="1368"/>
    </row>
    <row r="70" spans="1:37" s="1367" customFormat="1" ht="66">
      <c r="A70" s="2869" t="s">
        <v>2964</v>
      </c>
      <c r="B70" s="2872" t="str">
        <f>估价对象房地状况!C15</f>
        <v>估价对象周边居住用地比例、居住小区规模和社区发展完善程度，综合评价居住社区成熟度一般</v>
      </c>
      <c r="C70" s="2769"/>
      <c r="D70" s="1283">
        <f t="shared" ref="D70:D78" si="20">SUMIF($J$69:$N$69,C70,J70:N70)</f>
        <v>0</v>
      </c>
      <c r="E70" s="818">
        <f>ROUND(SUM(D70:D78),4)</f>
        <v>0</v>
      </c>
      <c r="F70" s="2500"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9" t="s">
        <v>2950</v>
      </c>
      <c r="B71" s="2873" t="str">
        <f>估价对象房地状况!C18</f>
        <v>估价对象周边道路状况、公共交通通达情况、停车便捷程度，综合评价交通便捷度较好</v>
      </c>
      <c r="C71" s="2769"/>
      <c r="D71" s="1283">
        <f t="shared" si="20"/>
        <v>0</v>
      </c>
      <c r="E71" s="823"/>
      <c r="F71" s="2500"/>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9" t="s">
        <v>2951</v>
      </c>
      <c r="B72" s="2873">
        <f>估价对象房地状况!C19</f>
        <v>0</v>
      </c>
      <c r="C72" s="2769"/>
      <c r="D72" s="1283">
        <f t="shared" si="20"/>
        <v>0</v>
      </c>
      <c r="E72" s="823"/>
      <c r="F72" s="2500"/>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9" t="s">
        <v>2965</v>
      </c>
      <c r="B73" s="2873">
        <f>估价对象房地状况!C24</f>
        <v>0</v>
      </c>
      <c r="C73" s="2769"/>
      <c r="D73" s="1283">
        <f t="shared" si="20"/>
        <v>0</v>
      </c>
      <c r="E73" s="823"/>
      <c r="F73" s="2500"/>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9" t="s">
        <v>2957</v>
      </c>
      <c r="B74" s="1722" t="str">
        <f>估价对象房地状况!C21</f>
        <v>估价对象所在区域公共配套设施齐备情况</v>
      </c>
      <c r="C74" s="2769"/>
      <c r="D74" s="1283">
        <f t="shared" si="20"/>
        <v>0</v>
      </c>
      <c r="E74" s="823"/>
      <c r="F74" s="2500"/>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9" t="s">
        <v>2958</v>
      </c>
      <c r="B75" s="1722" t="str">
        <f>估价对象房地状况!C22</f>
        <v>估价对象所在区域基础设施水平</v>
      </c>
      <c r="C75" s="2769"/>
      <c r="D75" s="1283">
        <f t="shared" si="20"/>
        <v>0</v>
      </c>
      <c r="E75" s="823"/>
      <c r="F75" s="2500"/>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8" customFormat="1" ht="36">
      <c r="A76" s="2869" t="s">
        <v>2955</v>
      </c>
      <c r="B76" s="2875" t="s">
        <v>2956</v>
      </c>
      <c r="C76" s="2769"/>
      <c r="D76" s="1283">
        <f t="shared" si="20"/>
        <v>0</v>
      </c>
      <c r="E76" s="823"/>
      <c r="F76" s="2500"/>
      <c r="G76" s="1281"/>
      <c r="H76" s="1285" t="str">
        <f t="shared" si="21"/>
        <v>——</v>
      </c>
      <c r="I76" s="817">
        <v>0.05</v>
      </c>
      <c r="J76" s="1282">
        <f t="shared" si="22"/>
        <v>0</v>
      </c>
      <c r="K76" s="1282">
        <f t="shared" si="23"/>
        <v>0</v>
      </c>
      <c r="L76" s="1282">
        <v>0</v>
      </c>
      <c r="M76" s="1282">
        <f t="shared" si="24"/>
        <v>0</v>
      </c>
      <c r="N76" s="1282">
        <f t="shared" si="24"/>
        <v>0</v>
      </c>
      <c r="AA76" s="2880"/>
      <c r="AB76" s="1368"/>
      <c r="AC76" s="1368"/>
      <c r="AD76" s="1368"/>
      <c r="AE76" s="1368"/>
      <c r="AF76" s="1368"/>
      <c r="AG76" s="1368"/>
      <c r="AH76" s="2880"/>
      <c r="AI76" s="2880"/>
      <c r="AJ76" s="2880"/>
      <c r="AK76" s="2880"/>
    </row>
    <row r="77" spans="1:37" ht="39.6">
      <c r="A77" s="2869" t="s">
        <v>2959</v>
      </c>
      <c r="B77" s="2872" t="str">
        <f>估价对象房地状况!C20</f>
        <v>区域自然环境：；人文环境；综合评价环境状况一般</v>
      </c>
      <c r="C77" s="2769"/>
      <c r="D77" s="1283">
        <f t="shared" si="20"/>
        <v>0</v>
      </c>
      <c r="E77" s="823"/>
      <c r="F77" s="2500"/>
      <c r="G77" s="1281"/>
      <c r="H77" s="1285" t="str">
        <f t="shared" si="21"/>
        <v>——</v>
      </c>
      <c r="I77" s="817">
        <v>0.15</v>
      </c>
      <c r="J77" s="1282">
        <f t="shared" si="22"/>
        <v>0</v>
      </c>
      <c r="K77" s="1282">
        <f t="shared" si="23"/>
        <v>0</v>
      </c>
      <c r="L77" s="1282">
        <v>0</v>
      </c>
      <c r="M77" s="1282">
        <f t="shared" si="24"/>
        <v>0</v>
      </c>
      <c r="N77" s="1282">
        <f t="shared" si="24"/>
        <v>0</v>
      </c>
      <c r="Z77" s="2719"/>
      <c r="AA77" s="2787"/>
      <c r="AG77" s="1369"/>
      <c r="AK77" s="2787"/>
    </row>
    <row r="78" spans="1:37" ht="36.6" thickBot="1">
      <c r="A78" s="2877" t="s">
        <v>2966</v>
      </c>
      <c r="B78" s="2881"/>
      <c r="C78" s="2769"/>
      <c r="D78" s="1283">
        <f t="shared" si="20"/>
        <v>0</v>
      </c>
      <c r="E78" s="824"/>
      <c r="F78" s="2500"/>
      <c r="G78" s="1281"/>
      <c r="H78" s="1285" t="str">
        <f t="shared" si="21"/>
        <v>——</v>
      </c>
      <c r="I78" s="821">
        <v>0.04</v>
      </c>
      <c r="J78" s="1282">
        <f t="shared" si="22"/>
        <v>0</v>
      </c>
      <c r="K78" s="1282">
        <f t="shared" si="23"/>
        <v>0</v>
      </c>
      <c r="L78" s="1282">
        <v>0</v>
      </c>
      <c r="M78" s="1282">
        <f t="shared" si="24"/>
        <v>0</v>
      </c>
      <c r="N78" s="1282">
        <f t="shared" si="24"/>
        <v>0</v>
      </c>
      <c r="Z78" s="2719"/>
      <c r="AA78" s="2787"/>
      <c r="AG78" s="1369"/>
      <c r="AK78" s="2787"/>
    </row>
    <row r="79" spans="1:37" ht="14.4">
      <c r="A79" s="2865" t="s">
        <v>2967</v>
      </c>
      <c r="B79" s="2866">
        <f>1+E81</f>
        <v>1</v>
      </c>
      <c r="C79" s="811"/>
      <c r="D79" s="811"/>
      <c r="E79" s="812"/>
      <c r="F79" s="2868"/>
      <c r="G79" s="6"/>
      <c r="H79" s="6"/>
      <c r="I79" s="6"/>
      <c r="J79" s="7"/>
      <c r="K79" s="7"/>
      <c r="L79" s="7"/>
      <c r="M79" s="7"/>
      <c r="N79" s="7"/>
      <c r="Z79" s="2719"/>
      <c r="AA79" s="2787"/>
      <c r="AG79" s="1369"/>
      <c r="AK79" s="2787"/>
    </row>
    <row r="80" spans="1:37" ht="25.2">
      <c r="A80" s="2869" t="s">
        <v>2941</v>
      </c>
      <c r="B80" s="1806"/>
      <c r="C80" s="1806" t="s">
        <v>2943</v>
      </c>
      <c r="D80" s="1806" t="s">
        <v>2944</v>
      </c>
      <c r="E80" s="816" t="s">
        <v>2945</v>
      </c>
      <c r="F80" s="2870" t="s">
        <v>2961</v>
      </c>
      <c r="G80" s="1806" t="s">
        <v>754</v>
      </c>
      <c r="H80" s="2871" t="s">
        <v>2947</v>
      </c>
      <c r="I80" s="1806" t="s">
        <v>2948</v>
      </c>
      <c r="J80" s="602" t="s">
        <v>2596</v>
      </c>
      <c r="K80" s="602" t="s">
        <v>2597</v>
      </c>
      <c r="L80" s="602" t="s">
        <v>2598</v>
      </c>
      <c r="M80" s="602" t="s">
        <v>2599</v>
      </c>
      <c r="N80" s="602" t="s">
        <v>2600</v>
      </c>
      <c r="Z80" s="2719"/>
      <c r="AA80" s="2787"/>
      <c r="AG80" s="1369"/>
      <c r="AK80" s="2787"/>
    </row>
    <row r="81" spans="1:37" ht="39.6">
      <c r="A81" s="2869" t="s">
        <v>2968</v>
      </c>
      <c r="B81" s="2873" t="str">
        <f>估价对象房地状况!G15</f>
        <v>估价对象位于XX开发区，园区建设成熟度XX，产业集聚程度XX</v>
      </c>
      <c r="C81" s="2769"/>
      <c r="D81" s="1283">
        <f t="shared" ref="D81:D88" si="25">SUMIF($J$80:$N$80,C81,J81:N81)</f>
        <v>0</v>
      </c>
      <c r="E81" s="818">
        <f>ROUND(SUM(D81:D88),4)</f>
        <v>0</v>
      </c>
      <c r="F81" s="2500"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9"/>
      <c r="AA81" s="2787"/>
      <c r="AG81" s="1369"/>
      <c r="AK81" s="2787"/>
    </row>
    <row r="82" spans="1:37" ht="66">
      <c r="A82" s="2869" t="s">
        <v>2950</v>
      </c>
      <c r="B82" s="2873" t="str">
        <f>估价对象房地状况!G16</f>
        <v>估价对象周边道路状况、公共交通通达情况、停车便捷程度，综合评价交通便捷度较好</v>
      </c>
      <c r="C82" s="2769"/>
      <c r="D82" s="1283">
        <f t="shared" si="25"/>
        <v>0</v>
      </c>
      <c r="E82" s="823"/>
      <c r="F82" s="2500"/>
      <c r="G82" s="1281"/>
      <c r="H82" s="1285" t="str">
        <f t="shared" si="26"/>
        <v>——</v>
      </c>
      <c r="I82" s="817">
        <v>0.33</v>
      </c>
      <c r="J82" s="1282">
        <f t="shared" si="27"/>
        <v>0</v>
      </c>
      <c r="K82" s="1282">
        <f t="shared" si="28"/>
        <v>0</v>
      </c>
      <c r="L82" s="1282">
        <v>0</v>
      </c>
      <c r="M82" s="1282">
        <f t="shared" si="29"/>
        <v>0</v>
      </c>
      <c r="N82" s="1282">
        <f t="shared" si="29"/>
        <v>0</v>
      </c>
      <c r="Z82" s="2719"/>
      <c r="AA82" s="2787"/>
      <c r="AG82" s="1369"/>
      <c r="AK82" s="2787"/>
    </row>
    <row r="83" spans="1:37" ht="24">
      <c r="A83" s="2869" t="s">
        <v>2951</v>
      </c>
      <c r="B83" s="2873">
        <f>估价对象房地状况!G17</f>
        <v>0</v>
      </c>
      <c r="C83" s="2769"/>
      <c r="D83" s="1283">
        <f t="shared" si="25"/>
        <v>0</v>
      </c>
      <c r="E83" s="823"/>
      <c r="F83" s="2500"/>
      <c r="G83" s="1281"/>
      <c r="H83" s="1285" t="str">
        <f t="shared" si="26"/>
        <v>——</v>
      </c>
      <c r="I83" s="817">
        <v>0.05</v>
      </c>
      <c r="J83" s="1282">
        <f t="shared" si="27"/>
        <v>0</v>
      </c>
      <c r="K83" s="1282">
        <f t="shared" si="28"/>
        <v>0</v>
      </c>
      <c r="L83" s="1282">
        <v>0</v>
      </c>
      <c r="M83" s="1282">
        <f t="shared" si="29"/>
        <v>0</v>
      </c>
      <c r="N83" s="1282">
        <f t="shared" si="29"/>
        <v>0</v>
      </c>
      <c r="Z83" s="2719"/>
      <c r="AA83" s="2787"/>
      <c r="AG83" s="1369"/>
      <c r="AK83" s="2787"/>
    </row>
    <row r="84" spans="1:37" ht="13.8">
      <c r="A84" s="2869" t="s">
        <v>2965</v>
      </c>
      <c r="B84" s="2873">
        <f>估价对象房地状况!G22</f>
        <v>0</v>
      </c>
      <c r="C84" s="2769"/>
      <c r="D84" s="1283">
        <f t="shared" si="25"/>
        <v>0</v>
      </c>
      <c r="E84" s="823"/>
      <c r="F84" s="2500"/>
      <c r="G84" s="1281"/>
      <c r="H84" s="1285" t="str">
        <f t="shared" si="26"/>
        <v>——</v>
      </c>
      <c r="I84" s="817">
        <v>0.04</v>
      </c>
      <c r="J84" s="1282">
        <f t="shared" si="27"/>
        <v>0</v>
      </c>
      <c r="K84" s="1282">
        <f t="shared" si="28"/>
        <v>0</v>
      </c>
      <c r="L84" s="1282">
        <v>0</v>
      </c>
      <c r="M84" s="1282">
        <f t="shared" si="29"/>
        <v>0</v>
      </c>
      <c r="N84" s="1282">
        <f t="shared" si="29"/>
        <v>0</v>
      </c>
      <c r="Z84" s="2719"/>
      <c r="AA84" s="2787"/>
      <c r="AG84" s="1369"/>
      <c r="AK84" s="2787"/>
    </row>
    <row r="85" spans="1:37" ht="26.4">
      <c r="A85" s="2869" t="s">
        <v>2957</v>
      </c>
      <c r="B85" s="1722" t="str">
        <f>估价对象房地状况!G19</f>
        <v>估价对象所在区域公共配套设施齐备情况</v>
      </c>
      <c r="C85" s="2769"/>
      <c r="D85" s="1283">
        <f t="shared" si="25"/>
        <v>0</v>
      </c>
      <c r="E85" s="823"/>
      <c r="F85" s="2500"/>
      <c r="G85" s="1281"/>
      <c r="H85" s="1285" t="str">
        <f t="shared" si="26"/>
        <v>——</v>
      </c>
      <c r="I85" s="817">
        <v>0.06</v>
      </c>
      <c r="J85" s="1282">
        <f t="shared" si="27"/>
        <v>0</v>
      </c>
      <c r="K85" s="1282">
        <f t="shared" si="28"/>
        <v>0</v>
      </c>
      <c r="L85" s="1282">
        <v>0</v>
      </c>
      <c r="M85" s="1282">
        <f t="shared" si="29"/>
        <v>0</v>
      </c>
      <c r="N85" s="1282">
        <f t="shared" si="29"/>
        <v>0</v>
      </c>
      <c r="Z85" s="2719"/>
      <c r="AA85" s="2787"/>
      <c r="AG85" s="1369"/>
      <c r="AK85" s="2787"/>
    </row>
    <row r="86" spans="1:37" ht="26.4">
      <c r="A86" s="2869" t="s">
        <v>2958</v>
      </c>
      <c r="B86" s="1722" t="str">
        <f>估价对象房地状况!G20</f>
        <v>估价对象所在区域基础设施水平</v>
      </c>
      <c r="C86" s="2769"/>
      <c r="D86" s="1283">
        <f t="shared" si="25"/>
        <v>0</v>
      </c>
      <c r="E86" s="823"/>
      <c r="F86" s="2500"/>
      <c r="G86" s="1281"/>
      <c r="H86" s="1285" t="str">
        <f t="shared" si="26"/>
        <v>——</v>
      </c>
      <c r="I86" s="817">
        <v>0.15</v>
      </c>
      <c r="J86" s="1282">
        <f t="shared" si="27"/>
        <v>0</v>
      </c>
      <c r="K86" s="1282">
        <f t="shared" si="28"/>
        <v>0</v>
      </c>
      <c r="L86" s="1282">
        <v>0</v>
      </c>
      <c r="M86" s="1282">
        <f t="shared" si="29"/>
        <v>0</v>
      </c>
      <c r="N86" s="1282">
        <f t="shared" si="29"/>
        <v>0</v>
      </c>
      <c r="Z86" s="2719"/>
      <c r="AA86" s="2787"/>
      <c r="AG86" s="1369"/>
      <c r="AK86" s="2787"/>
    </row>
    <row r="87" spans="1:37" ht="36">
      <c r="A87" s="2869" t="s">
        <v>2955</v>
      </c>
      <c r="B87" s="2875" t="s">
        <v>2969</v>
      </c>
      <c r="C87" s="2769"/>
      <c r="D87" s="1283">
        <f t="shared" si="25"/>
        <v>0</v>
      </c>
      <c r="E87" s="823"/>
      <c r="F87" s="2500"/>
      <c r="G87" s="1281"/>
      <c r="H87" s="1285" t="str">
        <f t="shared" si="26"/>
        <v>——</v>
      </c>
      <c r="I87" s="817">
        <v>0.05</v>
      </c>
      <c r="J87" s="1282">
        <f t="shared" si="27"/>
        <v>0</v>
      </c>
      <c r="K87" s="1282">
        <f t="shared" si="28"/>
        <v>0</v>
      </c>
      <c r="L87" s="1282">
        <v>0</v>
      </c>
      <c r="M87" s="1282">
        <f t="shared" si="29"/>
        <v>0</v>
      </c>
      <c r="N87" s="1282">
        <f t="shared" si="29"/>
        <v>0</v>
      </c>
      <c r="Z87" s="2719"/>
      <c r="AA87" s="2787"/>
      <c r="AG87" s="1369"/>
      <c r="AK87" s="2787"/>
    </row>
    <row r="88" spans="1:37" ht="53.4" thickBot="1">
      <c r="A88" s="2877" t="s">
        <v>2970</v>
      </c>
      <c r="B88" s="2882" t="str">
        <f>估价对象房地状况!G18</f>
        <v>该园区内是否有污染型企业，绿化情况，卫生条件，整体环境状况判断</v>
      </c>
      <c r="C88" s="2769"/>
      <c r="D88" s="1283">
        <f t="shared" si="25"/>
        <v>0</v>
      </c>
      <c r="E88" s="824"/>
      <c r="F88" s="2500"/>
      <c r="G88" s="1281"/>
      <c r="H88" s="1285" t="str">
        <f t="shared" si="26"/>
        <v>——</v>
      </c>
      <c r="I88" s="821">
        <v>0.06</v>
      </c>
      <c r="J88" s="1282">
        <f t="shared" si="27"/>
        <v>0</v>
      </c>
      <c r="K88" s="1282">
        <f t="shared" si="28"/>
        <v>0</v>
      </c>
      <c r="L88" s="1282">
        <v>0</v>
      </c>
      <c r="M88" s="1282">
        <f t="shared" si="29"/>
        <v>0</v>
      </c>
      <c r="N88" s="1282">
        <f t="shared" si="29"/>
        <v>0</v>
      </c>
      <c r="Z88" s="2719"/>
      <c r="AA88" s="2787"/>
      <c r="AG88" s="1369"/>
      <c r="AK88" s="2787"/>
    </row>
    <row r="90" spans="1:37">
      <c r="A90" s="3337" t="s">
        <v>2971</v>
      </c>
      <c r="B90" s="3337"/>
      <c r="C90" s="3337"/>
      <c r="D90" s="3337"/>
      <c r="E90" s="3337"/>
      <c r="F90" s="3337"/>
      <c r="G90" s="3337"/>
      <c r="H90" s="3337"/>
      <c r="I90" s="3337"/>
      <c r="J90" s="3337"/>
      <c r="K90" s="2883"/>
      <c r="L90" s="2883"/>
      <c r="M90" s="2883"/>
      <c r="N90" s="2883"/>
    </row>
    <row r="91" spans="1:37">
      <c r="A91" s="3339" t="s">
        <v>2972</v>
      </c>
      <c r="B91" s="3339" t="s">
        <v>2973</v>
      </c>
      <c r="C91" s="2837" t="s">
        <v>2974</v>
      </c>
      <c r="D91" s="2838"/>
      <c r="E91" s="2838"/>
      <c r="F91" s="2838"/>
      <c r="G91" s="2838"/>
      <c r="H91" s="2838"/>
      <c r="I91" s="2838"/>
      <c r="J91" s="2884"/>
      <c r="K91" s="2885"/>
      <c r="L91" s="2885"/>
      <c r="M91" s="2885"/>
      <c r="N91" s="2885"/>
    </row>
    <row r="92" spans="1:37">
      <c r="A92" s="3339"/>
      <c r="B92" s="3339"/>
      <c r="C92" s="939" t="s">
        <v>2840</v>
      </c>
      <c r="D92" s="939" t="s">
        <v>2841</v>
      </c>
      <c r="E92" s="939" t="s">
        <v>2842</v>
      </c>
      <c r="F92" s="939" t="s">
        <v>2843</v>
      </c>
      <c r="G92" s="939" t="s">
        <v>2844</v>
      </c>
      <c r="H92" s="939" t="s">
        <v>2845</v>
      </c>
      <c r="I92" s="939" t="s">
        <v>2846</v>
      </c>
      <c r="J92" s="939" t="s">
        <v>2847</v>
      </c>
      <c r="K92" s="939" t="s">
        <v>2848</v>
      </c>
      <c r="L92" s="939" t="s">
        <v>2849</v>
      </c>
      <c r="M92" s="939" t="s">
        <v>2850</v>
      </c>
      <c r="N92" s="939" t="s">
        <v>2851</v>
      </c>
    </row>
    <row r="93" spans="1:37">
      <c r="A93" s="3340"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4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4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4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4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4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41"/>
      <c r="B99" s="2886" t="s">
        <v>2856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4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40" t="s">
        <v>2976</v>
      </c>
      <c r="B101" s="2890" t="s">
        <v>2977</v>
      </c>
      <c r="C101" s="2891">
        <f>$G$3</f>
        <v>0.03</v>
      </c>
      <c r="D101" s="2891">
        <f t="shared" ref="D101:N101" si="31">$G$3</f>
        <v>0.03</v>
      </c>
      <c r="E101" s="2891">
        <f t="shared" si="31"/>
        <v>0.03</v>
      </c>
      <c r="F101" s="2891">
        <f t="shared" si="31"/>
        <v>0.03</v>
      </c>
      <c r="G101" s="2891">
        <f t="shared" si="31"/>
        <v>0.03</v>
      </c>
      <c r="H101" s="2891">
        <f t="shared" si="31"/>
        <v>0.03</v>
      </c>
      <c r="I101" s="2891">
        <f t="shared" si="31"/>
        <v>0.03</v>
      </c>
      <c r="J101" s="2891">
        <f t="shared" si="31"/>
        <v>0.03</v>
      </c>
      <c r="K101" s="2891">
        <f t="shared" si="31"/>
        <v>0.03</v>
      </c>
      <c r="L101" s="2891">
        <f t="shared" si="31"/>
        <v>0.03</v>
      </c>
      <c r="M101" s="2891">
        <f t="shared" si="31"/>
        <v>0.03</v>
      </c>
      <c r="N101" s="2891">
        <f t="shared" si="31"/>
        <v>0.03</v>
      </c>
    </row>
    <row r="102" spans="1:14">
      <c r="A102" s="3341"/>
      <c r="B102" s="2886">
        <v>1</v>
      </c>
      <c r="C102" s="2887">
        <f>1.9362/C101</f>
        <v>64.540000000000006</v>
      </c>
      <c r="D102" s="2887">
        <f>1.9362/D101</f>
        <v>64.540000000000006</v>
      </c>
      <c r="E102" s="2887">
        <f>1.8629/E101</f>
        <v>62.096666666666671</v>
      </c>
      <c r="F102" s="2887">
        <f>1.8629/F101</f>
        <v>62.096666666666671</v>
      </c>
      <c r="G102" s="2887">
        <f>1.8629/G101</f>
        <v>62.096666666666671</v>
      </c>
      <c r="H102" s="2887">
        <f>1.8629/H101</f>
        <v>62.096666666666671</v>
      </c>
      <c r="I102" s="2887">
        <f>1.8629/I101</f>
        <v>62.096666666666671</v>
      </c>
      <c r="J102" s="2887">
        <f>1.942/J101</f>
        <v>64.733333333333334</v>
      </c>
      <c r="K102" s="2887">
        <f>1.942/K101</f>
        <v>64.733333333333334</v>
      </c>
      <c r="L102" s="2887">
        <f>1.942/L101</f>
        <v>64.733333333333334</v>
      </c>
      <c r="M102" s="2887">
        <f>1.942/M101</f>
        <v>64.733333333333334</v>
      </c>
      <c r="N102" s="2887">
        <f>1.942/N101</f>
        <v>64.733333333333334</v>
      </c>
    </row>
    <row r="103" spans="1:14">
      <c r="A103" s="3341"/>
      <c r="B103" s="2886">
        <v>2</v>
      </c>
      <c r="C103" s="2887">
        <f>1.4198/C101</f>
        <v>47.326666666666668</v>
      </c>
      <c r="D103" s="2887">
        <f>1.4198/D101</f>
        <v>47.326666666666668</v>
      </c>
      <c r="E103" s="2887">
        <f>1.3372/E101</f>
        <v>44.573333333333331</v>
      </c>
      <c r="F103" s="2887">
        <f>1.3372/F101</f>
        <v>44.573333333333331</v>
      </c>
      <c r="G103" s="2887">
        <f>1.3372/G101</f>
        <v>44.573333333333331</v>
      </c>
      <c r="H103" s="2887">
        <f>1.3372/H101</f>
        <v>44.573333333333331</v>
      </c>
      <c r="I103" s="2887">
        <f>1.3372/I101</f>
        <v>44.573333333333331</v>
      </c>
      <c r="J103" s="2887">
        <f>1.2799/J101</f>
        <v>42.663333333333334</v>
      </c>
      <c r="K103" s="2887">
        <f>1.2799/K101</f>
        <v>42.663333333333334</v>
      </c>
      <c r="L103" s="2887">
        <f>1.2799/L101</f>
        <v>42.663333333333334</v>
      </c>
      <c r="M103" s="2887">
        <f>1.2799/M101</f>
        <v>42.663333333333334</v>
      </c>
      <c r="N103" s="2887">
        <f>1.2799/N101</f>
        <v>42.663333333333334</v>
      </c>
    </row>
    <row r="104" spans="1:14">
      <c r="A104" s="3341"/>
      <c r="B104" s="2886">
        <v>3</v>
      </c>
      <c r="C104" s="2887">
        <f>1.1594/C101</f>
        <v>38.646666666666668</v>
      </c>
      <c r="D104" s="2887">
        <f>1.1594/D101</f>
        <v>38.646666666666668</v>
      </c>
      <c r="E104" s="2887">
        <f>1.0788/E101</f>
        <v>35.96</v>
      </c>
      <c r="F104" s="2887">
        <f>1.0788/F101</f>
        <v>35.96</v>
      </c>
      <c r="G104" s="2887">
        <f>1.0788/G101</f>
        <v>35.96</v>
      </c>
      <c r="H104" s="2887">
        <f>1.0788/H101</f>
        <v>35.96</v>
      </c>
      <c r="I104" s="2887">
        <f>1.0788/I101</f>
        <v>35.96</v>
      </c>
      <c r="J104" s="2887">
        <f>1.0072/J101</f>
        <v>33.573333333333338</v>
      </c>
      <c r="K104" s="2887">
        <f>1.0072/K101</f>
        <v>33.573333333333338</v>
      </c>
      <c r="L104" s="2887">
        <f>1.0072/L101</f>
        <v>33.573333333333338</v>
      </c>
      <c r="M104" s="2887">
        <f>1.0072/M101</f>
        <v>33.573333333333338</v>
      </c>
      <c r="N104" s="2887">
        <f>1.0072/N101</f>
        <v>33.573333333333338</v>
      </c>
    </row>
    <row r="105" spans="1:14">
      <c r="A105" s="3341"/>
      <c r="B105" s="2886">
        <v>4</v>
      </c>
      <c r="C105" s="2887">
        <f>0.9622/C101</f>
        <v>32.073333333333338</v>
      </c>
      <c r="D105" s="2887">
        <f>0.9622/D101</f>
        <v>32.073333333333338</v>
      </c>
      <c r="E105" s="2887">
        <f>0.8656/E101</f>
        <v>28.853333333333335</v>
      </c>
      <c r="F105" s="2887">
        <f>0.8656/F101</f>
        <v>28.853333333333335</v>
      </c>
      <c r="G105" s="2887">
        <f>0.8656/G101</f>
        <v>28.853333333333335</v>
      </c>
      <c r="H105" s="2887">
        <f>0.8656/H101</f>
        <v>28.853333333333335</v>
      </c>
      <c r="I105" s="2887">
        <f>0.8656/I101</f>
        <v>28.853333333333335</v>
      </c>
      <c r="J105" s="2887">
        <f>0.7525/J101</f>
        <v>25.083333333333332</v>
      </c>
      <c r="K105" s="2887">
        <f>0.7525/K101</f>
        <v>25.083333333333332</v>
      </c>
      <c r="L105" s="2887">
        <f>0.7525/L101</f>
        <v>25.083333333333332</v>
      </c>
      <c r="M105" s="2887">
        <f>0.7525/M101</f>
        <v>25.083333333333332</v>
      </c>
      <c r="N105" s="2887">
        <f>0.7525/N101</f>
        <v>25.083333333333332</v>
      </c>
    </row>
    <row r="106" spans="1:14">
      <c r="A106" s="3341"/>
      <c r="B106" s="2886">
        <v>5</v>
      </c>
      <c r="C106" s="2887">
        <f>0.8417/C101</f>
        <v>28.056666666666668</v>
      </c>
      <c r="D106" s="2887">
        <f>0.8417/D101</f>
        <v>28.056666666666668</v>
      </c>
      <c r="E106" s="2887">
        <f>0.7371/E101</f>
        <v>24.57</v>
      </c>
      <c r="F106" s="2887">
        <f>0.7371/F101</f>
        <v>24.57</v>
      </c>
      <c r="G106" s="2887">
        <f>0.7371/G101</f>
        <v>24.57</v>
      </c>
      <c r="H106" s="2887">
        <f>0.7371/H101</f>
        <v>24.57</v>
      </c>
      <c r="I106" s="2887">
        <f>0.7371/I101</f>
        <v>24.57</v>
      </c>
      <c r="J106" s="2887">
        <f>0.5659/J101</f>
        <v>18.863333333333333</v>
      </c>
      <c r="K106" s="2887">
        <f>0.5659/K101</f>
        <v>18.863333333333333</v>
      </c>
      <c r="L106" s="2887">
        <f>0.5659/L101</f>
        <v>18.863333333333333</v>
      </c>
      <c r="M106" s="2887">
        <f>0.5659/M101</f>
        <v>18.863333333333333</v>
      </c>
      <c r="N106" s="2887">
        <f>0.5659/N101</f>
        <v>18.863333333333333</v>
      </c>
    </row>
    <row r="107" spans="1:14">
      <c r="A107" s="3341"/>
      <c r="B107" s="2886">
        <v>6</v>
      </c>
      <c r="C107" s="2887">
        <f>0.7608/C101</f>
        <v>25.360000000000003</v>
      </c>
      <c r="D107" s="2887">
        <f>0.7608/D101</f>
        <v>25.360000000000003</v>
      </c>
      <c r="E107" s="2887">
        <f>0.6482/E101</f>
        <v>21.606666666666669</v>
      </c>
      <c r="F107" s="2887">
        <f>0.6482/F101</f>
        <v>21.606666666666669</v>
      </c>
      <c r="G107" s="2887">
        <f>0.6482/G101</f>
        <v>21.606666666666669</v>
      </c>
      <c r="H107" s="2887">
        <f>0.6482/H101</f>
        <v>21.606666666666669</v>
      </c>
      <c r="I107" s="2887">
        <f>0.6482/I101</f>
        <v>21.606666666666669</v>
      </c>
      <c r="J107" s="2887">
        <f>0.4525/J101</f>
        <v>15.083333333333334</v>
      </c>
      <c r="K107" s="2887">
        <f>0.4525/K101</f>
        <v>15.083333333333334</v>
      </c>
      <c r="L107" s="2887">
        <f>0.4525/L101</f>
        <v>15.083333333333334</v>
      </c>
      <c r="M107" s="2887">
        <f>0.4525/M101</f>
        <v>15.083333333333334</v>
      </c>
      <c r="N107" s="2887">
        <f>0.4525/N101</f>
        <v>15.083333333333334</v>
      </c>
    </row>
    <row r="108" spans="1:14">
      <c r="A108" s="3341"/>
      <c r="B108" s="3193"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42"/>
      <c r="B109" s="3194"/>
      <c r="C109" s="2889">
        <f>(-0.163*(C108^2)-0.59*C108+7617)*(10^(-4))/C101</f>
        <v>25.390000000000004</v>
      </c>
      <c r="D109" s="2889">
        <f>(-0.163*(D108^2)-0.59*D108+7617)*(10^(-4))/D101</f>
        <v>25.390000000000004</v>
      </c>
      <c r="E109" s="2889">
        <f>(-0.161*(E108^2)-7.509*E108+6533)*(10^(-4))/E101</f>
        <v>21.776666666666667</v>
      </c>
      <c r="F109" s="2889">
        <f>(-0.161*(F108^2)-7.509*F108+6533)*(10^(-4))/F101</f>
        <v>21.776666666666667</v>
      </c>
      <c r="G109" s="2889">
        <f>(-0.161*(G108^2)-7.509*G108+6533)*(10^(-4))/G101</f>
        <v>21.776666666666667</v>
      </c>
      <c r="H109" s="2889">
        <f>(-0.161*(H108^2)-7.509*H108+6533)*(10^(-4))/H101</f>
        <v>21.776666666666667</v>
      </c>
      <c r="I109" s="2889">
        <f>(-0.161*(I108^2)-7.509*I108+6533)*(10^(-4))/I101</f>
        <v>21.776666666666667</v>
      </c>
      <c r="J109" s="2889">
        <f>(-0.214*(J108^2)-21.991*J108+4665)*(10^(-4))/J101</f>
        <v>15.55</v>
      </c>
      <c r="K109" s="2889">
        <f>(-0.214*(K108^2)-21.991*K108+4665)*(10^(-4))/K101</f>
        <v>15.55</v>
      </c>
      <c r="L109" s="2889">
        <f>(-0.214*(L108^2)-21.991*L108+4665)*(10^(-4))/L101</f>
        <v>15.55</v>
      </c>
      <c r="M109" s="2889">
        <f>(-0.214*(M108^2)-21.991*M108+4665)*(10^(-4))/M101</f>
        <v>15.55</v>
      </c>
      <c r="N109" s="2889">
        <f>(-0.214*(N108^2)-21.991*N108+4665)*(10^(-4))/N101</f>
        <v>15.55</v>
      </c>
    </row>
    <row r="110" spans="1:14">
      <c r="A110" s="3338" t="s">
        <v>2979</v>
      </c>
      <c r="B110" s="3338"/>
      <c r="C110" s="3338"/>
      <c r="D110" s="3338"/>
      <c r="E110" s="3338"/>
      <c r="F110" s="3338"/>
      <c r="G110" s="3338"/>
      <c r="H110" s="3338"/>
      <c r="I110" s="3338"/>
      <c r="J110" s="3338"/>
      <c r="K110" s="2892"/>
      <c r="L110" s="2892"/>
      <c r="M110" s="2892"/>
      <c r="N110" s="2892"/>
    </row>
    <row r="112" spans="1:14" ht="13.8" thickBot="1"/>
    <row r="113" spans="1:13" ht="25.8" thickBot="1">
      <c r="A113" s="900" t="s">
        <v>2980</v>
      </c>
      <c r="B113" s="1284">
        <f>G3</f>
        <v>0.03</v>
      </c>
      <c r="C113" s="901" t="s">
        <v>2981</v>
      </c>
      <c r="D113" s="902">
        <f>SUMPRODUCT((A115:A118=F113)*(B114:M114=H113)*B115:M118)</f>
        <v>0</v>
      </c>
      <c r="E113" s="2723" t="s">
        <v>2813</v>
      </c>
      <c r="F113" s="2894">
        <f>E2</f>
        <v>0</v>
      </c>
      <c r="G113" s="2723" t="s">
        <v>2814</v>
      </c>
      <c r="H113" s="2894">
        <f>G2</f>
        <v>0</v>
      </c>
      <c r="I113" s="2723"/>
      <c r="J113" s="2895"/>
      <c r="K113" s="2895"/>
      <c r="L113" s="2895"/>
      <c r="M113" s="2895"/>
    </row>
    <row r="114" spans="1:13">
      <c r="A114" s="905"/>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6" t="s">
        <v>2878</v>
      </c>
      <c r="B115" s="907">
        <f>ROUND(0.9335-0.0094*B113,4)</f>
        <v>0.93320000000000003</v>
      </c>
      <c r="C115" s="907">
        <f>B115</f>
        <v>0.93320000000000003</v>
      </c>
      <c r="D115" s="907">
        <f>ROUND(0.8331-0.0109*B113,4)</f>
        <v>0.83279999999999998</v>
      </c>
      <c r="E115" s="907">
        <f>D115</f>
        <v>0.83279999999999998</v>
      </c>
      <c r="F115" s="907">
        <f>E115</f>
        <v>0.83279999999999998</v>
      </c>
      <c r="G115" s="907">
        <f>F115</f>
        <v>0.83279999999999998</v>
      </c>
      <c r="H115" s="907">
        <f>G115</f>
        <v>0.83279999999999998</v>
      </c>
      <c r="I115" s="907">
        <f>ROUND(0.689-0.0155*B113,4)</f>
        <v>0.6885</v>
      </c>
      <c r="J115" s="907">
        <f t="shared" ref="J115:M118" si="33">I115</f>
        <v>0.6885</v>
      </c>
      <c r="K115" s="907">
        <f t="shared" si="33"/>
        <v>0.6885</v>
      </c>
      <c r="L115" s="907">
        <f t="shared" si="33"/>
        <v>0.6885</v>
      </c>
      <c r="M115" s="908">
        <f t="shared" si="33"/>
        <v>0.6885</v>
      </c>
    </row>
    <row r="116" spans="1:13">
      <c r="A116" s="906" t="s">
        <v>2879</v>
      </c>
      <c r="B116" s="907">
        <f>ROUND(0.949-0.012*B113,4)</f>
        <v>0.9486</v>
      </c>
      <c r="C116" s="907">
        <f>B116</f>
        <v>0.9486</v>
      </c>
      <c r="D116" s="907">
        <f>ROUND(0.8567-0.013*B113,4)</f>
        <v>0.85629999999999995</v>
      </c>
      <c r="E116" s="907">
        <f t="shared" ref="E116:H117" si="34">D116</f>
        <v>0.85629999999999995</v>
      </c>
      <c r="F116" s="907">
        <f t="shared" si="34"/>
        <v>0.85629999999999995</v>
      </c>
      <c r="G116" s="907">
        <f t="shared" si="34"/>
        <v>0.85629999999999995</v>
      </c>
      <c r="H116" s="907">
        <f t="shared" si="34"/>
        <v>0.85629999999999995</v>
      </c>
      <c r="I116" s="907">
        <f>ROUND(0.7694-0.014*B113,4)</f>
        <v>0.76900000000000002</v>
      </c>
      <c r="J116" s="907">
        <f t="shared" si="33"/>
        <v>0.76900000000000002</v>
      </c>
      <c r="K116" s="907">
        <f t="shared" si="33"/>
        <v>0.76900000000000002</v>
      </c>
      <c r="L116" s="907">
        <f t="shared" si="33"/>
        <v>0.76900000000000002</v>
      </c>
      <c r="M116" s="908">
        <f t="shared" si="33"/>
        <v>0.76900000000000002</v>
      </c>
    </row>
    <row r="117" spans="1:13">
      <c r="A117" s="906" t="s">
        <v>2880</v>
      </c>
      <c r="B117" s="907">
        <f>ROUND(0.8808-0.006*B113,4)</f>
        <v>0.88060000000000005</v>
      </c>
      <c r="C117" s="907">
        <f>B117</f>
        <v>0.88060000000000005</v>
      </c>
      <c r="D117" s="907">
        <f>ROUND(0.8748-0.008*B113,4)</f>
        <v>0.87460000000000004</v>
      </c>
      <c r="E117" s="907">
        <f t="shared" si="34"/>
        <v>0.87460000000000004</v>
      </c>
      <c r="F117" s="907">
        <f t="shared" si="34"/>
        <v>0.87460000000000004</v>
      </c>
      <c r="G117" s="907">
        <f t="shared" si="34"/>
        <v>0.87460000000000004</v>
      </c>
      <c r="H117" s="907">
        <f t="shared" si="34"/>
        <v>0.87460000000000004</v>
      </c>
      <c r="I117" s="907">
        <f>ROUND(0.7412-0.0095*B113,4)</f>
        <v>0.7409</v>
      </c>
      <c r="J117" s="907">
        <f t="shared" si="33"/>
        <v>0.7409</v>
      </c>
      <c r="K117" s="907">
        <f t="shared" si="33"/>
        <v>0.7409</v>
      </c>
      <c r="L117" s="907">
        <f t="shared" si="33"/>
        <v>0.7409</v>
      </c>
      <c r="M117" s="908">
        <f t="shared" si="33"/>
        <v>0.7409</v>
      </c>
    </row>
    <row r="118" spans="1:13" ht="13.8" thickBot="1">
      <c r="A118" s="712" t="s">
        <v>2881</v>
      </c>
      <c r="B118" s="909">
        <f>ROUND(0.7275-0.01*B113,4)</f>
        <v>0.72719999999999996</v>
      </c>
      <c r="C118" s="909">
        <f>B118</f>
        <v>0.72719999999999996</v>
      </c>
      <c r="D118" s="909">
        <f>ROUND(0.7043-0.012*B113,4)</f>
        <v>0.70389999999999997</v>
      </c>
      <c r="E118" s="909">
        <f>D118</f>
        <v>0.70389999999999997</v>
      </c>
      <c r="F118" s="909">
        <f>E118</f>
        <v>0.70389999999999997</v>
      </c>
      <c r="G118" s="909">
        <f>ROUND(0.6299-0.0122*B113,4)</f>
        <v>0.62949999999999995</v>
      </c>
      <c r="H118" s="909">
        <f>G118</f>
        <v>0.62949999999999995</v>
      </c>
      <c r="I118" s="909">
        <f>ROUND(0.5667-0.0136*B113,4)</f>
        <v>0.56630000000000003</v>
      </c>
      <c r="J118" s="909">
        <f t="shared" si="33"/>
        <v>0.56630000000000003</v>
      </c>
      <c r="K118" s="909">
        <f t="shared" si="33"/>
        <v>0.56630000000000003</v>
      </c>
      <c r="L118" s="909">
        <f t="shared" si="33"/>
        <v>0.56630000000000003</v>
      </c>
      <c r="M118" s="910">
        <f t="shared" si="33"/>
        <v>0.56630000000000003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8" t="s">
        <v>183</v>
      </c>
      <c r="B18" s="879" t="s">
        <v>560</v>
      </c>
      <c r="C18" s="880" t="s">
        <v>561</v>
      </c>
      <c r="D18" s="881"/>
      <c r="E18" s="879">
        <v>1</v>
      </c>
      <c r="F18" s="882" t="s">
        <v>562</v>
      </c>
      <c r="G18" s="883"/>
      <c r="H18" s="875"/>
      <c r="I18" s="875"/>
    </row>
    <row r="19" spans="1:9" s="884" customFormat="1" ht="19.5" customHeight="1">
      <c r="A19" s="3348"/>
      <c r="B19" s="3348" t="s">
        <v>563</v>
      </c>
      <c r="C19" s="880" t="s">
        <v>564</v>
      </c>
      <c r="D19" s="881"/>
      <c r="E19" s="879">
        <v>0.9</v>
      </c>
      <c r="F19" s="882" t="s">
        <v>565</v>
      </c>
      <c r="G19" s="883"/>
      <c r="H19" s="875"/>
      <c r="I19" s="875"/>
    </row>
    <row r="20" spans="1:9" s="884" customFormat="1" ht="19.5" customHeight="1">
      <c r="A20" s="3348"/>
      <c r="B20" s="3348"/>
      <c r="C20" s="880" t="s">
        <v>566</v>
      </c>
      <c r="D20" s="881"/>
      <c r="E20" s="879">
        <v>1.1000000000000001</v>
      </c>
      <c r="F20" s="882" t="s">
        <v>567</v>
      </c>
      <c r="G20" s="883"/>
      <c r="H20" s="875"/>
      <c r="I20" s="875"/>
    </row>
    <row r="21" spans="1:9" s="884" customFormat="1" ht="19.5" customHeight="1">
      <c r="A21" s="3348"/>
      <c r="B21" s="3348"/>
      <c r="C21" s="880" t="s">
        <v>568</v>
      </c>
      <c r="D21" s="881"/>
      <c r="E21" s="879">
        <v>0.8</v>
      </c>
      <c r="F21" s="882" t="s">
        <v>569</v>
      </c>
      <c r="G21" s="883"/>
      <c r="H21" s="875"/>
      <c r="I21" s="875"/>
    </row>
    <row r="22" spans="1:9" s="884" customFormat="1" ht="19.5" customHeight="1">
      <c r="A22" s="3348"/>
      <c r="B22" s="3348"/>
      <c r="C22" s="880" t="s">
        <v>570</v>
      </c>
      <c r="D22" s="881"/>
      <c r="E22" s="879">
        <v>0.5</v>
      </c>
      <c r="F22" s="882"/>
      <c r="G22" s="883"/>
      <c r="H22" s="875"/>
      <c r="I22" s="875"/>
    </row>
    <row r="23" spans="1:9" s="884" customFormat="1" ht="19.5" customHeight="1">
      <c r="A23" s="3348" t="s">
        <v>184</v>
      </c>
      <c r="B23" s="879" t="s">
        <v>560</v>
      </c>
      <c r="C23" s="880" t="s">
        <v>571</v>
      </c>
      <c r="D23" s="881"/>
      <c r="E23" s="879">
        <v>1</v>
      </c>
      <c r="F23" s="882" t="s">
        <v>572</v>
      </c>
      <c r="G23" s="883"/>
      <c r="H23" s="875"/>
      <c r="I23" s="875"/>
    </row>
    <row r="24" spans="1:9" s="884" customFormat="1" ht="19.5" customHeight="1">
      <c r="A24" s="3348"/>
      <c r="B24" s="3348" t="s">
        <v>563</v>
      </c>
      <c r="C24" s="880" t="s">
        <v>573</v>
      </c>
      <c r="D24" s="881"/>
      <c r="E24" s="879">
        <v>0.5</v>
      </c>
      <c r="F24" s="882"/>
      <c r="G24" s="883"/>
      <c r="H24" s="875"/>
      <c r="I24" s="875"/>
    </row>
    <row r="25" spans="1:9" s="884" customFormat="1" ht="19.5" customHeight="1">
      <c r="A25" s="3348"/>
      <c r="B25" s="3348"/>
      <c r="C25" s="880" t="s">
        <v>574</v>
      </c>
      <c r="D25" s="881"/>
      <c r="E25" s="879">
        <v>1.1000000000000001</v>
      </c>
      <c r="F25" s="882"/>
      <c r="G25" s="883"/>
      <c r="H25" s="875"/>
      <c r="I25" s="875"/>
    </row>
    <row r="26" spans="1:9" s="884" customFormat="1" ht="19.5" customHeight="1">
      <c r="A26" s="3348"/>
      <c r="B26" s="3348"/>
      <c r="C26" s="880" t="s">
        <v>575</v>
      </c>
      <c r="D26" s="881"/>
      <c r="E26" s="879">
        <v>1.1000000000000001</v>
      </c>
      <c r="F26" s="882"/>
      <c r="G26" s="883"/>
      <c r="H26" s="875"/>
      <c r="I26" s="875"/>
    </row>
    <row r="27" spans="1:9" s="884" customFormat="1" ht="19.5" customHeight="1">
      <c r="A27" s="3348"/>
      <c r="B27" s="3348"/>
      <c r="C27" s="880" t="s">
        <v>576</v>
      </c>
      <c r="D27" s="881"/>
      <c r="E27" s="879">
        <v>0.9</v>
      </c>
      <c r="F27" s="882" t="s">
        <v>577</v>
      </c>
      <c r="G27" s="883"/>
      <c r="H27" s="875"/>
      <c r="I27" s="875"/>
    </row>
    <row r="28" spans="1:9" s="884" customFormat="1" ht="19.5" customHeight="1">
      <c r="A28" s="3348"/>
      <c r="B28" s="3348"/>
      <c r="C28" s="880" t="s">
        <v>578</v>
      </c>
      <c r="D28" s="881"/>
      <c r="E28" s="879">
        <v>0.9</v>
      </c>
      <c r="F28" s="882" t="s">
        <v>579</v>
      </c>
      <c r="G28" s="883"/>
      <c r="H28" s="875"/>
      <c r="I28" s="875"/>
    </row>
    <row r="29" spans="1:9" s="884" customFormat="1" ht="19.5" customHeight="1">
      <c r="A29" s="3348"/>
      <c r="B29" s="3348"/>
      <c r="C29" s="880" t="s">
        <v>580</v>
      </c>
      <c r="D29" s="881"/>
      <c r="E29" s="879">
        <v>0.9</v>
      </c>
      <c r="F29" s="882" t="s">
        <v>581</v>
      </c>
      <c r="G29" s="883"/>
      <c r="H29" s="875"/>
      <c r="I29" s="875"/>
    </row>
    <row r="30" spans="1:9" s="884" customFormat="1" ht="19.5" customHeight="1">
      <c r="A30" s="3348"/>
      <c r="B30" s="3348"/>
      <c r="C30" s="880" t="s">
        <v>582</v>
      </c>
      <c r="D30" s="881"/>
      <c r="E30" s="879">
        <v>0.9</v>
      </c>
      <c r="F30" s="882" t="s">
        <v>583</v>
      </c>
      <c r="G30" s="883"/>
      <c r="H30" s="875"/>
      <c r="I30" s="875"/>
    </row>
    <row r="31" spans="1:9" s="884" customFormat="1" ht="19.5" customHeight="1">
      <c r="A31" s="3348"/>
      <c r="B31" s="3348"/>
      <c r="C31" s="880" t="s">
        <v>584</v>
      </c>
      <c r="D31" s="881"/>
      <c r="E31" s="879">
        <v>0.8</v>
      </c>
      <c r="F31" s="882" t="s">
        <v>585</v>
      </c>
      <c r="G31" s="883"/>
      <c r="H31" s="875"/>
      <c r="I31" s="875"/>
    </row>
    <row r="32" spans="1:9" s="884" customFormat="1" ht="19.5" customHeight="1">
      <c r="A32" s="3348"/>
      <c r="B32" s="3348"/>
      <c r="C32" s="880" t="s">
        <v>586</v>
      </c>
      <c r="D32" s="881"/>
      <c r="E32" s="879">
        <v>0.8</v>
      </c>
      <c r="F32" s="882" t="s">
        <v>587</v>
      </c>
      <c r="G32" s="883"/>
      <c r="H32" s="875"/>
      <c r="I32" s="875"/>
    </row>
    <row r="33" spans="1:9" s="884" customFormat="1" ht="19.5" customHeight="1">
      <c r="A33" s="3348" t="s">
        <v>185</v>
      </c>
      <c r="B33" s="879" t="s">
        <v>560</v>
      </c>
      <c r="C33" s="880" t="s">
        <v>588</v>
      </c>
      <c r="D33" s="881"/>
      <c r="E33" s="879">
        <v>1</v>
      </c>
      <c r="F33" s="882" t="s">
        <v>589</v>
      </c>
      <c r="G33" s="883"/>
      <c r="H33" s="875"/>
      <c r="I33" s="875"/>
    </row>
    <row r="34" spans="1:9" s="884" customFormat="1" ht="19.5" customHeight="1">
      <c r="A34" s="3348"/>
      <c r="B34" s="879" t="s">
        <v>563</v>
      </c>
      <c r="C34" s="880" t="s">
        <v>590</v>
      </c>
      <c r="D34" s="881"/>
      <c r="E34" s="879">
        <v>1.5</v>
      </c>
      <c r="F34" s="882" t="s">
        <v>591</v>
      </c>
      <c r="G34" s="883"/>
      <c r="H34" s="875"/>
      <c r="I34" s="875"/>
    </row>
    <row r="35" spans="1:9" s="884" customFormat="1" ht="19.5" customHeight="1">
      <c r="A35" s="3348" t="s">
        <v>186</v>
      </c>
      <c r="B35" s="879" t="s">
        <v>560</v>
      </c>
      <c r="C35" s="880" t="s">
        <v>592</v>
      </c>
      <c r="D35" s="881"/>
      <c r="E35" s="879">
        <v>1</v>
      </c>
      <c r="F35" s="882" t="s">
        <v>593</v>
      </c>
      <c r="G35" s="883"/>
      <c r="H35" s="875"/>
      <c r="I35" s="875"/>
    </row>
    <row r="36" spans="1:9" s="884" customFormat="1" ht="19.5" customHeight="1">
      <c r="A36" s="3348"/>
      <c r="B36" s="3348" t="s">
        <v>563</v>
      </c>
      <c r="C36" s="880" t="s">
        <v>594</v>
      </c>
      <c r="D36" s="881"/>
      <c r="E36" s="879">
        <v>1</v>
      </c>
      <c r="F36" s="882" t="s">
        <v>595</v>
      </c>
      <c r="G36" s="883"/>
      <c r="H36" s="875"/>
      <c r="I36" s="875"/>
    </row>
    <row r="37" spans="1:9" s="884" customFormat="1" ht="19.5" customHeight="1">
      <c r="A37" s="3348"/>
      <c r="B37" s="3348"/>
      <c r="C37" s="880" t="s">
        <v>596</v>
      </c>
      <c r="D37" s="881"/>
      <c r="E37" s="879">
        <v>1.5</v>
      </c>
      <c r="F37" s="882" t="s">
        <v>597</v>
      </c>
      <c r="G37" s="883"/>
      <c r="H37" s="875"/>
      <c r="I37" s="875"/>
    </row>
    <row r="38" spans="1:9" s="884" customFormat="1" ht="19.5" customHeight="1">
      <c r="A38" s="3348"/>
      <c r="B38" s="3348"/>
      <c r="C38" s="880" t="s">
        <v>598</v>
      </c>
      <c r="D38" s="881"/>
      <c r="E38" s="879">
        <v>1</v>
      </c>
      <c r="F38" s="882" t="s">
        <v>599</v>
      </c>
      <c r="G38" s="883"/>
      <c r="H38" s="875"/>
      <c r="I38" s="875"/>
    </row>
    <row r="39" spans="1:9" s="884" customFormat="1" ht="19.5" customHeight="1">
      <c r="A39" s="3348"/>
      <c r="B39" s="334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48" t="s">
        <v>614</v>
      </c>
      <c r="C61" s="815" t="s">
        <v>615</v>
      </c>
      <c r="D61" s="815" t="s">
        <v>616</v>
      </c>
      <c r="E61" s="892">
        <v>0.5</v>
      </c>
      <c r="F61" s="879">
        <v>80</v>
      </c>
    </row>
    <row r="62" spans="1:8" s="875" customFormat="1" ht="36">
      <c r="A62" s="879">
        <v>2</v>
      </c>
      <c r="B62" s="3348"/>
      <c r="C62" s="815" t="s">
        <v>617</v>
      </c>
      <c r="D62" s="815" t="s">
        <v>618</v>
      </c>
      <c r="E62" s="892">
        <v>0.5</v>
      </c>
      <c r="F62" s="879">
        <v>80</v>
      </c>
    </row>
    <row r="63" spans="1:8" s="875" customFormat="1" ht="48">
      <c r="A63" s="879">
        <v>3</v>
      </c>
      <c r="B63" s="3348"/>
      <c r="C63" s="815" t="s">
        <v>619</v>
      </c>
      <c r="D63" s="815" t="s">
        <v>620</v>
      </c>
      <c r="E63" s="892">
        <v>0.5</v>
      </c>
      <c r="F63" s="879">
        <v>80</v>
      </c>
    </row>
    <row r="64" spans="1:8" s="875" customFormat="1" ht="48">
      <c r="A64" s="879">
        <v>4</v>
      </c>
      <c r="B64" s="3348"/>
      <c r="C64" s="815" t="s">
        <v>621</v>
      </c>
      <c r="D64" s="815" t="s">
        <v>622</v>
      </c>
      <c r="E64" s="892">
        <v>0.4</v>
      </c>
      <c r="F64" s="879">
        <v>60</v>
      </c>
    </row>
    <row r="65" spans="1:6" s="875" customFormat="1" ht="48">
      <c r="A65" s="879">
        <v>5</v>
      </c>
      <c r="B65" s="3348"/>
      <c r="C65" s="815" t="s">
        <v>623</v>
      </c>
      <c r="D65" s="815" t="s">
        <v>624</v>
      </c>
      <c r="E65" s="892">
        <v>0.2</v>
      </c>
      <c r="F65" s="879">
        <v>30</v>
      </c>
    </row>
    <row r="66" spans="1:6" s="875" customFormat="1" ht="48">
      <c r="A66" s="879">
        <v>6</v>
      </c>
      <c r="B66" s="3348"/>
      <c r="C66" s="815" t="s">
        <v>625</v>
      </c>
      <c r="D66" s="815" t="s">
        <v>626</v>
      </c>
      <c r="E66" s="892">
        <v>0.3</v>
      </c>
      <c r="F66" s="879">
        <v>50</v>
      </c>
    </row>
    <row r="67" spans="1:6" s="875" customFormat="1" ht="48">
      <c r="A67" s="879">
        <v>7</v>
      </c>
      <c r="B67" s="3348"/>
      <c r="C67" s="815" t="s">
        <v>627</v>
      </c>
      <c r="D67" s="815" t="s">
        <v>628</v>
      </c>
      <c r="E67" s="892">
        <v>0.2</v>
      </c>
      <c r="F67" s="879">
        <v>30</v>
      </c>
    </row>
    <row r="68" spans="1:6" s="875" customFormat="1" ht="48">
      <c r="A68" s="879">
        <v>8</v>
      </c>
      <c r="B68" s="3348"/>
      <c r="C68" s="815" t="s">
        <v>629</v>
      </c>
      <c r="D68" s="815" t="s">
        <v>630</v>
      </c>
      <c r="E68" s="892">
        <v>0.2</v>
      </c>
      <c r="F68" s="879">
        <v>30</v>
      </c>
    </row>
    <row r="69" spans="1:6" s="875" customFormat="1" ht="48">
      <c r="A69" s="879">
        <v>9</v>
      </c>
      <c r="B69" s="3348"/>
      <c r="C69" s="815" t="s">
        <v>631</v>
      </c>
      <c r="D69" s="815" t="s">
        <v>632</v>
      </c>
      <c r="E69" s="892">
        <v>0.2</v>
      </c>
      <c r="F69" s="879">
        <v>30</v>
      </c>
    </row>
    <row r="70" spans="1:6" s="875" customFormat="1" ht="60">
      <c r="A70" s="879">
        <v>10</v>
      </c>
      <c r="B70" s="3348"/>
      <c r="C70" s="815" t="s">
        <v>633</v>
      </c>
      <c r="D70" s="815" t="s">
        <v>634</v>
      </c>
      <c r="E70" s="892">
        <v>0.2</v>
      </c>
      <c r="F70" s="879">
        <v>30</v>
      </c>
    </row>
    <row r="71" spans="1:6" s="875" customFormat="1" ht="60">
      <c r="A71" s="879">
        <v>11</v>
      </c>
      <c r="B71" s="3348"/>
      <c r="C71" s="815" t="s">
        <v>635</v>
      </c>
      <c r="D71" s="815" t="s">
        <v>636</v>
      </c>
      <c r="E71" s="892">
        <v>0.2</v>
      </c>
      <c r="F71" s="879">
        <v>30</v>
      </c>
    </row>
    <row r="72" spans="1:6" s="875" customFormat="1" ht="36">
      <c r="A72" s="879">
        <v>12</v>
      </c>
      <c r="B72" s="3348"/>
      <c r="C72" s="815" t="s">
        <v>637</v>
      </c>
      <c r="D72" s="815" t="s">
        <v>638</v>
      </c>
      <c r="E72" s="892">
        <v>0.5</v>
      </c>
      <c r="F72" s="879">
        <v>80</v>
      </c>
    </row>
    <row r="73" spans="1:6" s="875" customFormat="1" ht="36">
      <c r="A73" s="879">
        <v>13</v>
      </c>
      <c r="B73" s="3348"/>
      <c r="C73" s="815" t="s">
        <v>639</v>
      </c>
      <c r="D73" s="815" t="s">
        <v>640</v>
      </c>
      <c r="E73" s="892">
        <v>0.4</v>
      </c>
      <c r="F73" s="879">
        <v>60</v>
      </c>
    </row>
    <row r="74" spans="1:6" s="875" customFormat="1" ht="36">
      <c r="A74" s="879">
        <v>14</v>
      </c>
      <c r="B74" s="3348"/>
      <c r="C74" s="815" t="s">
        <v>641</v>
      </c>
      <c r="D74" s="815" t="s">
        <v>642</v>
      </c>
      <c r="E74" s="892">
        <v>0.2</v>
      </c>
      <c r="F74" s="879">
        <v>30</v>
      </c>
    </row>
    <row r="75" spans="1:6" s="875" customFormat="1" ht="36">
      <c r="A75" s="879">
        <v>15</v>
      </c>
      <c r="B75" s="3348"/>
      <c r="C75" s="815" t="s">
        <v>643</v>
      </c>
      <c r="D75" s="815" t="s">
        <v>644</v>
      </c>
      <c r="E75" s="892">
        <v>0.2</v>
      </c>
      <c r="F75" s="879">
        <v>30</v>
      </c>
    </row>
    <row r="76" spans="1:6" s="875" customFormat="1" ht="36">
      <c r="A76" s="879">
        <v>16</v>
      </c>
      <c r="B76" s="3348" t="s">
        <v>645</v>
      </c>
      <c r="C76" s="815" t="s">
        <v>646</v>
      </c>
      <c r="D76" s="815" t="s">
        <v>647</v>
      </c>
      <c r="E76" s="892">
        <v>0.5</v>
      </c>
      <c r="F76" s="879">
        <v>80</v>
      </c>
    </row>
    <row r="77" spans="1:6" s="875" customFormat="1" ht="36">
      <c r="A77" s="879">
        <v>17</v>
      </c>
      <c r="B77" s="3348"/>
      <c r="C77" s="815" t="s">
        <v>648</v>
      </c>
      <c r="D77" s="815" t="s">
        <v>649</v>
      </c>
      <c r="E77" s="892">
        <v>0.5</v>
      </c>
      <c r="F77" s="879">
        <v>80</v>
      </c>
    </row>
    <row r="78" spans="1:6" s="875" customFormat="1" ht="36">
      <c r="A78" s="879">
        <v>18</v>
      </c>
      <c r="B78" s="3348"/>
      <c r="C78" s="815" t="s">
        <v>650</v>
      </c>
      <c r="D78" s="815" t="s">
        <v>651</v>
      </c>
      <c r="E78" s="892">
        <v>0.2</v>
      </c>
      <c r="F78" s="879">
        <v>30</v>
      </c>
    </row>
    <row r="79" spans="1:6" s="875" customFormat="1" ht="36">
      <c r="A79" s="879">
        <v>19</v>
      </c>
      <c r="B79" s="3348"/>
      <c r="C79" s="815" t="s">
        <v>652</v>
      </c>
      <c r="D79" s="815" t="s">
        <v>653</v>
      </c>
      <c r="E79" s="892">
        <v>0.5</v>
      </c>
      <c r="F79" s="879">
        <v>80</v>
      </c>
    </row>
    <row r="80" spans="1:6" s="875" customFormat="1" ht="36">
      <c r="A80" s="879">
        <v>20</v>
      </c>
      <c r="B80" s="3348"/>
      <c r="C80" s="815" t="s">
        <v>654</v>
      </c>
      <c r="D80" s="815" t="s">
        <v>655</v>
      </c>
      <c r="E80" s="892">
        <v>0.2</v>
      </c>
      <c r="F80" s="879">
        <v>30</v>
      </c>
    </row>
    <row r="81" spans="1:6" s="875" customFormat="1" ht="36">
      <c r="A81" s="879">
        <v>21</v>
      </c>
      <c r="B81" s="3348"/>
      <c r="C81" s="815" t="s">
        <v>656</v>
      </c>
      <c r="D81" s="815" t="s">
        <v>657</v>
      </c>
      <c r="E81" s="892">
        <v>0.2</v>
      </c>
      <c r="F81" s="879">
        <v>30</v>
      </c>
    </row>
    <row r="82" spans="1:6" s="875" customFormat="1" ht="60">
      <c r="A82" s="879">
        <v>22</v>
      </c>
      <c r="B82" s="3348"/>
      <c r="C82" s="815" t="s">
        <v>658</v>
      </c>
      <c r="D82" s="815" t="s">
        <v>659</v>
      </c>
      <c r="E82" s="892">
        <v>0.2</v>
      </c>
      <c r="F82" s="879">
        <v>30</v>
      </c>
    </row>
    <row r="83" spans="1:6" s="875" customFormat="1" ht="60">
      <c r="A83" s="879">
        <v>23</v>
      </c>
      <c r="B83" s="3348"/>
      <c r="C83" s="815" t="s">
        <v>660</v>
      </c>
      <c r="D83" s="815" t="s">
        <v>661</v>
      </c>
      <c r="E83" s="892">
        <v>0.2</v>
      </c>
      <c r="F83" s="879">
        <v>30</v>
      </c>
    </row>
    <row r="84" spans="1:6" s="875" customFormat="1" ht="48">
      <c r="A84" s="879">
        <v>24</v>
      </c>
      <c r="B84" s="3348"/>
      <c r="C84" s="815" t="s">
        <v>662</v>
      </c>
      <c r="D84" s="815" t="s">
        <v>663</v>
      </c>
      <c r="E84" s="892">
        <v>0.2</v>
      </c>
      <c r="F84" s="879">
        <v>30</v>
      </c>
    </row>
    <row r="85" spans="1:6" s="875" customFormat="1" ht="36">
      <c r="A85" s="879">
        <v>25</v>
      </c>
      <c r="B85" s="3348"/>
      <c r="C85" s="815" t="s">
        <v>664</v>
      </c>
      <c r="D85" s="815" t="s">
        <v>665</v>
      </c>
      <c r="E85" s="892">
        <v>0.5</v>
      </c>
      <c r="F85" s="879">
        <v>80</v>
      </c>
    </row>
    <row r="86" spans="1:6" s="875" customFormat="1" ht="36">
      <c r="A86" s="879">
        <v>26</v>
      </c>
      <c r="B86" s="3348"/>
      <c r="C86" s="815" t="s">
        <v>666</v>
      </c>
      <c r="D86" s="815" t="s">
        <v>667</v>
      </c>
      <c r="E86" s="892">
        <v>0.2</v>
      </c>
      <c r="F86" s="879">
        <v>30</v>
      </c>
    </row>
    <row r="87" spans="1:6" s="875" customFormat="1" ht="36">
      <c r="A87" s="879">
        <v>27</v>
      </c>
      <c r="B87" s="3348"/>
      <c r="C87" s="815" t="s">
        <v>668</v>
      </c>
      <c r="D87" s="815" t="s">
        <v>669</v>
      </c>
      <c r="E87" s="892">
        <v>0.2</v>
      </c>
      <c r="F87" s="879">
        <v>30</v>
      </c>
    </row>
    <row r="88" spans="1:6" s="875" customFormat="1" ht="36">
      <c r="A88" s="879">
        <v>28</v>
      </c>
      <c r="B88" s="3348"/>
      <c r="C88" s="815" t="s">
        <v>670</v>
      </c>
      <c r="D88" s="815" t="s">
        <v>671</v>
      </c>
      <c r="E88" s="892">
        <v>0.2</v>
      </c>
      <c r="F88" s="879">
        <v>30</v>
      </c>
    </row>
    <row r="89" spans="1:6" s="875" customFormat="1" ht="36">
      <c r="A89" s="879">
        <v>29</v>
      </c>
      <c r="B89" s="3348"/>
      <c r="C89" s="815" t="s">
        <v>672</v>
      </c>
      <c r="D89" s="815" t="s">
        <v>673</v>
      </c>
      <c r="E89" s="892">
        <v>0.2</v>
      </c>
      <c r="F89" s="879">
        <v>30</v>
      </c>
    </row>
    <row r="90" spans="1:6" s="875" customFormat="1" ht="36">
      <c r="A90" s="879">
        <v>30</v>
      </c>
      <c r="B90" s="3348"/>
      <c r="C90" s="815" t="s">
        <v>674</v>
      </c>
      <c r="D90" s="815" t="s">
        <v>675</v>
      </c>
      <c r="E90" s="892">
        <v>0.2</v>
      </c>
      <c r="F90" s="879">
        <v>30</v>
      </c>
    </row>
    <row r="91" spans="1:6" s="875" customFormat="1" ht="48">
      <c r="A91" s="879">
        <v>31</v>
      </c>
      <c r="B91" s="3348"/>
      <c r="C91" s="815" t="s">
        <v>676</v>
      </c>
      <c r="D91" s="815" t="s">
        <v>677</v>
      </c>
      <c r="E91" s="892">
        <v>0.2</v>
      </c>
      <c r="F91" s="879">
        <v>30</v>
      </c>
    </row>
    <row r="92" spans="1:6" s="875" customFormat="1" ht="36">
      <c r="A92" s="879">
        <v>32</v>
      </c>
      <c r="B92" s="3348" t="s">
        <v>678</v>
      </c>
      <c r="C92" s="879" t="s">
        <v>679</v>
      </c>
      <c r="D92" s="815" t="s">
        <v>680</v>
      </c>
      <c r="E92" s="892">
        <v>0.2</v>
      </c>
      <c r="F92" s="879">
        <v>30</v>
      </c>
    </row>
    <row r="93" spans="1:6" s="875" customFormat="1" ht="36">
      <c r="A93" s="879">
        <v>33</v>
      </c>
      <c r="B93" s="3348"/>
      <c r="C93" s="879" t="s">
        <v>681</v>
      </c>
      <c r="D93" s="815" t="s">
        <v>682</v>
      </c>
      <c r="E93" s="892">
        <v>0.2</v>
      </c>
      <c r="F93" s="879">
        <v>30</v>
      </c>
    </row>
    <row r="94" spans="1:6" s="875" customFormat="1" ht="60">
      <c r="A94" s="879">
        <v>34</v>
      </c>
      <c r="B94" s="3348"/>
      <c r="C94" s="879" t="s">
        <v>683</v>
      </c>
      <c r="D94" s="815" t="s">
        <v>684</v>
      </c>
      <c r="E94" s="892">
        <v>0.2</v>
      </c>
      <c r="F94" s="879">
        <v>30</v>
      </c>
    </row>
    <row r="95" spans="1:6" s="875" customFormat="1" ht="48">
      <c r="A95" s="879">
        <v>35</v>
      </c>
      <c r="B95" s="3348"/>
      <c r="C95" s="879" t="s">
        <v>685</v>
      </c>
      <c r="D95" s="815" t="s">
        <v>686</v>
      </c>
      <c r="E95" s="892">
        <v>0.2</v>
      </c>
      <c r="F95" s="879">
        <v>30</v>
      </c>
    </row>
    <row r="96" spans="1:6" s="875" customFormat="1" ht="72">
      <c r="A96" s="879">
        <v>36</v>
      </c>
      <c r="B96" s="3348"/>
      <c r="C96" s="815" t="s">
        <v>687</v>
      </c>
      <c r="D96" s="815" t="s">
        <v>688</v>
      </c>
      <c r="E96" s="892">
        <v>0.2</v>
      </c>
      <c r="F96" s="879">
        <v>30</v>
      </c>
    </row>
    <row r="97" spans="1:6" s="875" customFormat="1" ht="36">
      <c r="A97" s="879">
        <v>37</v>
      </c>
      <c r="B97" s="3348"/>
      <c r="C97" s="879" t="s">
        <v>689</v>
      </c>
      <c r="D97" s="815" t="s">
        <v>690</v>
      </c>
      <c r="E97" s="892">
        <v>0.2</v>
      </c>
      <c r="F97" s="879">
        <v>30</v>
      </c>
    </row>
    <row r="98" spans="1:6" s="875" customFormat="1" ht="36">
      <c r="A98" s="879">
        <v>38</v>
      </c>
      <c r="B98" s="3348"/>
      <c r="C98" s="879" t="s">
        <v>691</v>
      </c>
      <c r="D98" s="815" t="s">
        <v>692</v>
      </c>
      <c r="E98" s="892">
        <v>0.2</v>
      </c>
      <c r="F98" s="879">
        <v>30</v>
      </c>
    </row>
    <row r="99" spans="1:6" s="875" customFormat="1" ht="36">
      <c r="A99" s="879">
        <v>39</v>
      </c>
      <c r="B99" s="3348" t="s">
        <v>693</v>
      </c>
      <c r="C99" s="879" t="s">
        <v>694</v>
      </c>
      <c r="D99" s="815" t="s">
        <v>695</v>
      </c>
      <c r="E99" s="892">
        <v>0.3</v>
      </c>
      <c r="F99" s="879">
        <v>50</v>
      </c>
    </row>
    <row r="100" spans="1:6" s="875" customFormat="1" ht="36">
      <c r="A100" s="879">
        <v>40</v>
      </c>
      <c r="B100" s="3348"/>
      <c r="C100" s="879" t="s">
        <v>696</v>
      </c>
      <c r="D100" s="815" t="s">
        <v>697</v>
      </c>
      <c r="E100" s="892">
        <v>0.2</v>
      </c>
      <c r="F100" s="879">
        <v>30</v>
      </c>
    </row>
    <row r="101" spans="1:6" s="875" customFormat="1" ht="36">
      <c r="A101" s="879">
        <v>41</v>
      </c>
      <c r="B101" s="334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48" t="s">
        <v>708</v>
      </c>
      <c r="C105" s="879" t="s">
        <v>709</v>
      </c>
      <c r="D105" s="815" t="s">
        <v>710</v>
      </c>
      <c r="E105" s="892">
        <v>0.2</v>
      </c>
      <c r="F105" s="879">
        <v>30</v>
      </c>
    </row>
    <row r="106" spans="1:6" s="875" customFormat="1" ht="48">
      <c r="A106" s="879">
        <v>46</v>
      </c>
      <c r="B106" s="3348"/>
      <c r="C106" s="879" t="s">
        <v>711</v>
      </c>
      <c r="D106" s="815" t="s">
        <v>712</v>
      </c>
      <c r="E106" s="892">
        <v>0.2</v>
      </c>
      <c r="F106" s="879">
        <v>30</v>
      </c>
    </row>
    <row r="107" spans="1:6" s="875" customFormat="1" ht="36">
      <c r="A107" s="879">
        <v>47</v>
      </c>
      <c r="B107" s="3348" t="s">
        <v>713</v>
      </c>
      <c r="C107" s="879" t="s">
        <v>714</v>
      </c>
      <c r="D107" s="815" t="s">
        <v>715</v>
      </c>
      <c r="E107" s="892">
        <v>0.3</v>
      </c>
      <c r="F107" s="879">
        <v>50</v>
      </c>
    </row>
    <row r="108" spans="1:6" s="875" customFormat="1" ht="48">
      <c r="A108" s="879">
        <v>48</v>
      </c>
      <c r="B108" s="334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48" t="s">
        <v>724</v>
      </c>
      <c r="C111" s="879" t="s">
        <v>725</v>
      </c>
      <c r="D111" s="815" t="s">
        <v>726</v>
      </c>
      <c r="E111" s="892">
        <v>0.2</v>
      </c>
      <c r="F111" s="879">
        <v>30</v>
      </c>
    </row>
    <row r="112" spans="1:6" s="875" customFormat="1" ht="36">
      <c r="A112" s="879">
        <v>52</v>
      </c>
      <c r="B112" s="3348"/>
      <c r="C112" s="879" t="s">
        <v>727</v>
      </c>
      <c r="D112" s="815" t="s">
        <v>728</v>
      </c>
      <c r="E112" s="892">
        <v>0.2</v>
      </c>
      <c r="F112" s="879">
        <v>30</v>
      </c>
    </row>
    <row r="113" spans="1:6" s="875" customFormat="1" ht="36">
      <c r="A113" s="879">
        <v>53</v>
      </c>
      <c r="B113" s="334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48" t="s">
        <v>737</v>
      </c>
      <c r="C116" s="879" t="s">
        <v>738</v>
      </c>
      <c r="D116" s="815" t="s">
        <v>739</v>
      </c>
      <c r="E116" s="892">
        <v>0.2</v>
      </c>
      <c r="F116" s="879">
        <v>30</v>
      </c>
    </row>
    <row r="117" spans="1:6" ht="36">
      <c r="A117" s="879">
        <v>57</v>
      </c>
      <c r="B117" s="334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1615</v>
      </c>
      <c r="B1" s="1955"/>
      <c r="C1" s="1955"/>
      <c r="D1" s="1955"/>
      <c r="E1" s="1955"/>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7.399999999999999">
      <c r="A3" s="3036" t="str">
        <f>IF(项目基本情况!B9="房地产市场价值","估价结果一览表（市场价值不需“结果表-1”）","估价结果一览表")</f>
        <v>估价结果一览表</v>
      </c>
      <c r="B3" s="3036"/>
      <c r="C3" s="3036"/>
      <c r="D3" s="3036"/>
      <c r="E3" s="3036"/>
    </row>
    <row r="4" spans="1:5" ht="18" thickBot="1">
      <c r="A4" s="1957"/>
      <c r="B4" s="3034" t="s">
        <v>1624</v>
      </c>
      <c r="C4" s="3034"/>
      <c r="D4" s="3034"/>
      <c r="E4" s="1957"/>
    </row>
    <row r="5" spans="1:5" ht="16.2" thickTop="1">
      <c r="A5" s="1955"/>
      <c r="B5" s="3032" t="s">
        <v>1616</v>
      </c>
      <c r="C5" s="1958" t="s">
        <v>1617</v>
      </c>
      <c r="D5" s="1037">
        <f ca="1">结果表!H101</f>
        <v>2333</v>
      </c>
      <c r="E5" s="1955"/>
    </row>
    <row r="6" spans="1:5" ht="15.6">
      <c r="A6" s="1955"/>
      <c r="B6" s="3032"/>
      <c r="C6" s="1958" t="s">
        <v>1618</v>
      </c>
      <c r="D6" s="1037" t="str">
        <f ca="1">NUMBERSTRING(INT(D5*10000),2)&amp;"元整"</f>
        <v>贰仟叁佰叁拾叁万元整</v>
      </c>
      <c r="E6" s="1955"/>
    </row>
    <row r="7" spans="1:5" ht="15.6">
      <c r="A7" s="1955"/>
      <c r="B7" s="3037"/>
      <c r="C7" s="1959" t="s">
        <v>1619</v>
      </c>
      <c r="D7" s="1038">
        <f ca="1">结果表!H102</f>
        <v>46747</v>
      </c>
      <c r="E7" s="1955"/>
    </row>
    <row r="8" spans="1:5" ht="15.6">
      <c r="A8" s="1955"/>
      <c r="B8" s="3038" t="str">
        <f>结果表!E103</f>
        <v>2.估价师知悉的法定优先受偿款</v>
      </c>
      <c r="C8" s="1960" t="s">
        <v>1620</v>
      </c>
      <c r="D8" s="1038">
        <f>结果表!H103</f>
        <v>0</v>
      </c>
      <c r="E8" s="1955"/>
    </row>
    <row r="9" spans="1:5" ht="15.6">
      <c r="A9" s="1955"/>
      <c r="B9" s="3040"/>
      <c r="C9" s="1958" t="s">
        <v>1618</v>
      </c>
      <c r="D9" s="1037" t="str">
        <f>NUMBERSTRING(INT(D8*10000),2)&amp;"元整"</f>
        <v>零元整</v>
      </c>
      <c r="E9" s="1955"/>
    </row>
    <row r="10" spans="1:5" ht="15.6">
      <c r="A10" s="1955"/>
      <c r="B10" s="1961" t="s">
        <v>1623</v>
      </c>
      <c r="C10" s="1962" t="s">
        <v>1621</v>
      </c>
      <c r="D10" s="1039">
        <f>结果表!H104</f>
        <v>0</v>
      </c>
      <c r="E10" s="1955"/>
    </row>
    <row r="11" spans="1:5" ht="15.6">
      <c r="A11" s="1955"/>
      <c r="B11" s="1961" t="s">
        <v>1625</v>
      </c>
      <c r="C11" s="1962" t="s">
        <v>1626</v>
      </c>
      <c r="D11" s="1039">
        <f>结果表!H105</f>
        <v>0</v>
      </c>
      <c r="E11" s="1955"/>
    </row>
    <row r="12" spans="1:5" ht="15.6">
      <c r="A12" s="1955"/>
      <c r="B12" s="1961" t="s">
        <v>1627</v>
      </c>
      <c r="C12" s="1962" t="s">
        <v>1626</v>
      </c>
      <c r="D12" s="1039">
        <f>结果表!H106</f>
        <v>0</v>
      </c>
      <c r="E12" s="1955"/>
    </row>
    <row r="13" spans="1:5" ht="15.6">
      <c r="A13" s="1955"/>
      <c r="B13" s="3031" t="str">
        <f>结果表!E107</f>
        <v>3.房地产抵押价值</v>
      </c>
      <c r="C13" s="1963" t="s">
        <v>1617</v>
      </c>
      <c r="D13" s="1040">
        <f ca="1">结果表!H107</f>
        <v>2333</v>
      </c>
      <c r="E13" s="1955"/>
    </row>
    <row r="14" spans="1:5" ht="15.6">
      <c r="A14" s="1955"/>
      <c r="B14" s="3032"/>
      <c r="C14" s="1958" t="s">
        <v>1618</v>
      </c>
      <c r="D14" s="1037" t="str">
        <f ca="1">NUMBERSTRING(INT(D13*10000),2)&amp;"元整"</f>
        <v>贰仟叁佰叁拾叁万元整</v>
      </c>
      <c r="E14" s="1955"/>
    </row>
    <row r="15" spans="1:5" ht="15.6">
      <c r="A15" s="1955"/>
      <c r="B15" s="3037"/>
      <c r="C15" s="1959" t="s">
        <v>1628</v>
      </c>
      <c r="D15" s="1049">
        <f ca="1">结果表!H108</f>
        <v>46747</v>
      </c>
      <c r="E15" s="1955"/>
    </row>
    <row r="16" spans="1:5" ht="15.6">
      <c r="A16" s="1955"/>
      <c r="B16" s="3038" t="str">
        <f>结果表!E109</f>
        <v>——</v>
      </c>
      <c r="C16" s="1963" t="s">
        <v>1629</v>
      </c>
      <c r="D16" s="1964" t="str">
        <f>结果表!H109</f>
        <v>——</v>
      </c>
      <c r="E16" s="1955"/>
    </row>
    <row r="17" spans="1:5" ht="15.6">
      <c r="A17" s="1955"/>
      <c r="B17" s="3039"/>
      <c r="C17" s="1958" t="s">
        <v>1630</v>
      </c>
      <c r="D17" s="1037" t="e">
        <f>NUMBERSTRING(INT(D16*10000),2)&amp;"元整"</f>
        <v>#VALUE!</v>
      </c>
      <c r="E17" s="1955"/>
    </row>
    <row r="18" spans="1:5" ht="15.6">
      <c r="A18" s="1955"/>
      <c r="B18" s="3040"/>
      <c r="C18" s="1959" t="s">
        <v>1619</v>
      </c>
      <c r="D18" s="1049" t="str">
        <f>结果表!H110</f>
        <v>——</v>
      </c>
      <c r="E18" s="1955"/>
    </row>
    <row r="19" spans="1:5" ht="15.6">
      <c r="A19" s="1955"/>
      <c r="B19" s="3031" t="str">
        <f>结果表!E111</f>
        <v>——</v>
      </c>
      <c r="C19" s="1963" t="s">
        <v>1617</v>
      </c>
      <c r="D19" s="1038" t="str">
        <f>结果表!H111</f>
        <v>——</v>
      </c>
      <c r="E19" s="1955"/>
    </row>
    <row r="20" spans="1:5" ht="15.6">
      <c r="A20" s="1955"/>
      <c r="B20" s="3032"/>
      <c r="C20" s="1958" t="s">
        <v>1630</v>
      </c>
      <c r="D20" s="1037" t="e">
        <f>NUMBERSTRING(INT(D19*10000),2)&amp;"元整"</f>
        <v>#VALUE!</v>
      </c>
      <c r="E20" s="1955"/>
    </row>
    <row r="21" spans="1:5" ht="16.2" thickBot="1">
      <c r="A21" s="1955"/>
      <c r="B21" s="3033"/>
      <c r="C21" s="1965" t="s">
        <v>1628</v>
      </c>
      <c r="D21" s="1050" t="str">
        <f>结果表!H112</f>
        <v>——</v>
      </c>
      <c r="E21" s="1955"/>
    </row>
    <row r="22" spans="1:5" ht="14.4" thickTop="1">
      <c r="A22" s="1955"/>
      <c r="B22" s="1966" t="s">
        <v>1631</v>
      </c>
      <c r="C22" s="1955"/>
      <c r="D22" s="1955"/>
      <c r="E22" s="1955"/>
    </row>
    <row r="23" spans="1:5">
      <c r="A23" s="1955"/>
      <c r="B23" s="1955"/>
      <c r="C23" s="1955"/>
      <c r="D23" s="1955"/>
      <c r="E23" s="1955"/>
    </row>
    <row r="24" spans="1:5" ht="17.399999999999999">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60" t="s">
        <v>3002</v>
      </c>
    </row>
    <row r="2" spans="1:5" ht="15.6">
      <c r="A2" s="2901" t="s">
        <v>2994</v>
      </c>
      <c r="B2" s="2902" t="e">
        <f ca="1">SUMIF(B6:B13,"&lt;&gt;#ref!",B6:B13)</f>
        <v>#DIV/0!</v>
      </c>
      <c r="C2" s="2901" t="s">
        <v>2995</v>
      </c>
      <c r="D2" s="2901" t="s">
        <v>2996</v>
      </c>
      <c r="E2" s="2902">
        <f ca="1">SUMIF(E6:E13,"&lt;&gt;#ref!",E6:E13)</f>
        <v>0</v>
      </c>
    </row>
    <row r="3" spans="1:5" ht="15.6">
      <c r="A3" s="2901" t="s">
        <v>2997</v>
      </c>
      <c r="B3" s="2902" t="e">
        <f ca="1">ROUND(B2*10000/E2,0)</f>
        <v>#DIV/0!</v>
      </c>
      <c r="C3" s="2901" t="s">
        <v>3003</v>
      </c>
      <c r="D3" s="2903"/>
      <c r="E3" s="2903"/>
    </row>
    <row r="4" spans="1:5" ht="15.6">
      <c r="A4" s="2904"/>
      <c r="B4" s="2903"/>
      <c r="C4" s="2903"/>
      <c r="D4" s="2903"/>
      <c r="E4" s="2903"/>
    </row>
    <row r="5" spans="1:5" ht="31.2">
      <c r="A5" s="2905" t="s">
        <v>2998</v>
      </c>
      <c r="B5" s="2901" t="s">
        <v>2999</v>
      </c>
      <c r="C5" s="2902"/>
      <c r="D5" s="2903"/>
      <c r="E5" s="2901" t="s">
        <v>3000</v>
      </c>
    </row>
    <row r="6" spans="1:5" ht="15.6">
      <c r="A6" s="2906" t="s">
        <v>3001</v>
      </c>
      <c r="B6" s="2902" t="e">
        <f ca="1">SUMIF(INDIRECT("'"&amp;A6&amp;"'"&amp;"!A:A"),"总价",INDIRECT("'"&amp;A6&amp;"'"&amp;"!B:B"))</f>
        <v>#DIV/0!</v>
      </c>
      <c r="C6" s="2901" t="s">
        <v>2995</v>
      </c>
      <c r="D6" s="2903"/>
      <c r="E6" s="2574">
        <f ca="1">SUMIF(INDIRECT("'"&amp;A6&amp;"'"&amp;"!C:C"),"建筑面积",INDIRECT("'"&amp;A6&amp;"'"&amp;"!D:D"))</f>
        <v>0</v>
      </c>
    </row>
    <row r="7" spans="1:5" ht="15.6">
      <c r="A7" s="2906"/>
      <c r="B7" s="2902" t="e">
        <f ca="1">SUMIF(INDIRECT("'"&amp;A7&amp;"'"&amp;"!A:A"),"总价",INDIRECT("'"&amp;A7&amp;"'"&amp;"!B:B"))</f>
        <v>#REF!</v>
      </c>
      <c r="C7" s="2901" t="s">
        <v>2995</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2995</v>
      </c>
      <c r="D8" s="2903"/>
      <c r="E8" s="2574" t="e">
        <f t="shared" ca="1" si="0"/>
        <v>#REF!</v>
      </c>
    </row>
    <row r="9" spans="1:5" ht="15.6">
      <c r="A9" s="2906"/>
      <c r="B9" s="2902" t="e">
        <f t="shared" ca="1" si="1"/>
        <v>#REF!</v>
      </c>
      <c r="C9" s="2901" t="s">
        <v>2995</v>
      </c>
      <c r="D9" s="2903"/>
      <c r="E9" s="2574" t="e">
        <f t="shared" ca="1" si="0"/>
        <v>#REF!</v>
      </c>
    </row>
    <row r="10" spans="1:5" ht="15.6">
      <c r="A10" s="2906"/>
      <c r="B10" s="2902" t="e">
        <f t="shared" ca="1" si="1"/>
        <v>#REF!</v>
      </c>
      <c r="C10" s="2901" t="s">
        <v>2995</v>
      </c>
      <c r="D10" s="2903"/>
      <c r="E10" s="2574" t="e">
        <f t="shared" ca="1" si="0"/>
        <v>#REF!</v>
      </c>
    </row>
    <row r="11" spans="1:5" ht="15.6">
      <c r="A11" s="2906"/>
      <c r="B11" s="2902" t="e">
        <f t="shared" ca="1" si="1"/>
        <v>#REF!</v>
      </c>
      <c r="C11" s="2901" t="s">
        <v>2995</v>
      </c>
      <c r="D11" s="2903"/>
      <c r="E11" s="2574" t="e">
        <f t="shared" ca="1" si="0"/>
        <v>#REF!</v>
      </c>
    </row>
    <row r="12" spans="1:5" ht="15.6">
      <c r="A12" s="2906"/>
      <c r="B12" s="2902" t="e">
        <f t="shared" ca="1" si="1"/>
        <v>#REF!</v>
      </c>
      <c r="C12" s="2901" t="s">
        <v>2995</v>
      </c>
      <c r="D12" s="2903"/>
      <c r="E12" s="2574" t="e">
        <f t="shared" ca="1" si="0"/>
        <v>#REF!</v>
      </c>
    </row>
    <row r="13" spans="1:5" ht="15.6">
      <c r="A13" s="2906"/>
      <c r="B13" s="2902" t="e">
        <f t="shared" ca="1" si="1"/>
        <v>#REF!</v>
      </c>
      <c r="C13" s="2901" t="s">
        <v>2995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H112"/>
  <sheetViews>
    <sheetView zoomScale="80" zoomScaleNormal="80" workbookViewId="0">
      <selection activeCell="H6" sqref="H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54" t="s">
        <v>1145</v>
      </c>
      <c r="C1" s="3354"/>
      <c r="D1" s="3354"/>
      <c r="E1" s="3354"/>
      <c r="F1" s="3354"/>
      <c r="G1" s="3353" t="s">
        <v>1146</v>
      </c>
      <c r="H1" s="3353"/>
      <c r="I1" s="3353"/>
      <c r="J1" s="3353"/>
      <c r="K1" s="3353"/>
      <c r="L1" s="3353"/>
      <c r="N1" s="3353" t="s">
        <v>1147</v>
      </c>
      <c r="O1" s="3353"/>
      <c r="P1" s="3353"/>
      <c r="Q1" s="3353"/>
      <c r="R1" s="1443"/>
      <c r="S1" s="3353" t="s">
        <v>1148</v>
      </c>
      <c r="T1" s="3353"/>
      <c r="U1" s="3353"/>
      <c r="V1" s="3353"/>
      <c r="X1" s="3352" t="s">
        <v>1149</v>
      </c>
      <c r="Y1" s="3353"/>
      <c r="Z1" s="3353"/>
      <c r="AA1" s="3353"/>
      <c r="AB1" s="3353"/>
      <c r="AD1" s="3352" t="s">
        <v>1150</v>
      </c>
      <c r="AE1" s="3353"/>
      <c r="AF1" s="3353"/>
      <c r="AG1" s="3353"/>
      <c r="AH1" s="3353"/>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7" customFormat="1" ht="14.4">
      <c r="A3" s="2926" t="s">
        <v>3035</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0" customFormat="1" ht="14.4">
      <c r="B4" s="1451"/>
      <c r="C4" s="1451"/>
      <c r="D4" s="1452"/>
      <c r="E4" s="1452"/>
      <c r="F4" s="1451"/>
      <c r="G4" s="1453"/>
      <c r="H4" s="1454"/>
      <c r="I4" s="2912"/>
      <c r="J4" s="2912"/>
      <c r="K4" s="2912"/>
      <c r="L4" s="2912"/>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51">
        <v>2020</v>
      </c>
      <c r="H5" s="1727">
        <v>1</v>
      </c>
      <c r="I5" s="2913">
        <v>0</v>
      </c>
      <c r="J5" s="2913">
        <v>0</v>
      </c>
      <c r="K5" s="2913">
        <v>0</v>
      </c>
      <c r="L5" s="2913">
        <v>0</v>
      </c>
      <c r="N5" s="1464">
        <f t="shared" ref="N5" si="7">I5/100</f>
        <v>0</v>
      </c>
      <c r="O5" s="1464">
        <f t="shared" ref="O5" si="8">J5/100</f>
        <v>0</v>
      </c>
      <c r="P5" s="1464">
        <f t="shared" ref="P5" si="9">K5/100</f>
        <v>0</v>
      </c>
      <c r="Q5" s="1464">
        <f t="shared" ref="Q5" si="10">L5/100</f>
        <v>0</v>
      </c>
      <c r="R5" s="1729"/>
      <c r="S5" s="1730"/>
      <c r="T5" s="1729"/>
      <c r="U5" s="1729"/>
      <c r="V5" s="1729"/>
      <c r="W5" s="2916" t="s">
        <v>3036</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3053</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1">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8" thickBot="1">
      <c r="A7" s="1458" t="s">
        <v>3049</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50">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3047</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6">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8" thickBot="1">
      <c r="A9" s="1458" t="s">
        <v>3045</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30">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3048</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50">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 customHeight="1">
      <c r="A11" s="1458" t="s">
        <v>3042</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50"/>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 customHeight="1">
      <c r="A12" s="1458" t="s">
        <v>3041</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50"/>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3034</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59"/>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3031</v>
      </c>
      <c r="B14" s="1466">
        <v>439</v>
      </c>
      <c r="C14" s="1466">
        <v>327</v>
      </c>
      <c r="D14" s="1466">
        <f>C14</f>
        <v>327</v>
      </c>
      <c r="E14" s="1466">
        <v>627</v>
      </c>
      <c r="F14" s="1467">
        <v>283</v>
      </c>
      <c r="G14" s="3355">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 customHeight="1">
      <c r="A15" s="1458" t="s">
        <v>3032</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50"/>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350"/>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359"/>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154</v>
      </c>
      <c r="B18" s="1466">
        <v>392</v>
      </c>
      <c r="C18" s="1466">
        <v>302</v>
      </c>
      <c r="D18" s="1466">
        <f>C18</f>
        <v>302</v>
      </c>
      <c r="E18" s="1466">
        <v>553</v>
      </c>
      <c r="F18" s="1467">
        <v>266</v>
      </c>
      <c r="G18" s="3355">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50"/>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350"/>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351"/>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349">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50"/>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350"/>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351"/>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349">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50"/>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350"/>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351"/>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8" thickBot="1">
      <c r="A30" s="1458" t="s">
        <v>1158</v>
      </c>
      <c r="B30" s="1466">
        <v>299</v>
      </c>
      <c r="C30" s="1466">
        <v>252</v>
      </c>
      <c r="D30" s="1466">
        <f t="shared" si="119"/>
        <v>252</v>
      </c>
      <c r="E30" s="1466">
        <v>409</v>
      </c>
      <c r="F30" s="1467">
        <v>227</v>
      </c>
      <c r="G30" s="3356">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57"/>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357"/>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358"/>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349">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350"/>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350"/>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351"/>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349">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50">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350">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351">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349">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50">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350">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351">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349">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50">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350">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351">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349">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50">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350">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351">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349">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50">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350">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351">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349">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50">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350">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351">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349">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50">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350">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351">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349">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50">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350">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351">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349">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350">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350">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351">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349">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350">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350">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351">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workbookViewId="0">
      <selection activeCell="I29" sqref="I29"/>
    </sheetView>
  </sheetViews>
  <sheetFormatPr defaultRowHeight="14.4"/>
  <sheetData/>
  <phoneticPr fontId="14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topLeftCell="A10" zoomScale="70" zoomScaleNormal="70" zoomScaleSheetLayoutView="90" workbookViewId="0">
      <selection activeCell="C43" sqref="C43"/>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27</v>
      </c>
      <c r="D1" s="1817" t="s">
        <v>70</v>
      </c>
      <c r="E1" s="1818" t="s">
        <v>1381</v>
      </c>
      <c r="F1" s="1280">
        <f ca="1">J53</f>
        <v>49</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ROUND(D2/10000,0)</f>
        <v>275</v>
      </c>
      <c r="C2" s="1842" t="s">
        <v>1510</v>
      </c>
      <c r="D2" s="1934">
        <f ca="1">C40+J29+L46</f>
        <v>2748804</v>
      </c>
      <c r="E2" s="1843" t="s">
        <v>1586</v>
      </c>
      <c r="F2" s="1844"/>
      <c r="G2" s="1845"/>
      <c r="H2" s="1837"/>
      <c r="I2" s="1837"/>
      <c r="J2" s="1837"/>
      <c r="K2" s="1838"/>
      <c r="L2" s="1837"/>
      <c r="M2" s="1837"/>
    </row>
    <row r="3" spans="1:37" ht="18" customHeight="1" thickBot="1">
      <c r="A3" s="1846" t="s">
        <v>1511</v>
      </c>
      <c r="B3" s="1847">
        <f ca="1">IF(ISERROR(D2/F43),0,ROUND(D2/F43,0))</f>
        <v>49564</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164172</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ROUND(F6*F8*F7*(1-F9),0)</f>
        <v>163967</v>
      </c>
      <c r="D6" s="163" t="s">
        <v>3026</v>
      </c>
      <c r="E6" s="346" t="s">
        <v>1399</v>
      </c>
      <c r="F6" s="347">
        <f ca="1">INDIRECT("'数据-取费表'!u"&amp;$G$1)</f>
        <v>9</v>
      </c>
      <c r="G6" s="1848"/>
      <c r="H6" s="1288" t="s">
        <v>1031</v>
      </c>
      <c r="I6" s="3297" t="s">
        <v>1397</v>
      </c>
      <c r="J6" s="345">
        <f ca="1">ROUND(M6*M8*M7*(1-M9),0)</f>
        <v>0</v>
      </c>
      <c r="K6" s="1831" t="s">
        <v>3027</v>
      </c>
      <c r="L6" s="346" t="s">
        <v>1399</v>
      </c>
      <c r="M6" s="347">
        <f ca="1">INDIRECT("'数据-取费表'!z"&amp;$G$1)</f>
        <v>0</v>
      </c>
    </row>
    <row r="7" spans="1:37" ht="18" customHeight="1">
      <c r="A7" s="1292"/>
      <c r="B7" s="3298"/>
      <c r="C7" s="1294"/>
      <c r="D7" s="351"/>
      <c r="E7" s="3017" t="s">
        <v>1400</v>
      </c>
      <c r="F7" s="347">
        <f ca="1">IF(INDIRECT("'数据-取费表'!ah"&amp;$G$1)="",INDIRECT("'数据-取费表'!k"&amp;$G$1),INDIRECT("'数据-取费表'!ah"&amp;$G$1))</f>
        <v>55.46</v>
      </c>
      <c r="G7" s="1848"/>
      <c r="H7" s="348"/>
      <c r="I7" s="3298"/>
      <c r="J7" s="350"/>
      <c r="K7" s="351"/>
      <c r="L7" s="346" t="s">
        <v>1400</v>
      </c>
      <c r="M7" s="347">
        <f ca="1">F7</f>
        <v>55.46</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205</v>
      </c>
      <c r="D10" s="1821" t="s">
        <v>3037</v>
      </c>
      <c r="E10" s="357" t="s">
        <v>1404</v>
      </c>
      <c r="F10" s="1363" t="s">
        <v>3112</v>
      </c>
      <c r="G10" s="1848"/>
      <c r="H10" s="1288" t="s">
        <v>1035</v>
      </c>
      <c r="I10" s="1820" t="s">
        <v>1403</v>
      </c>
      <c r="J10" s="345">
        <f ca="1">ROUND(IF(M10="押一",J6/12*M11,IF(M10="押二",J6/12*2*M11,IF(M10="押三",J6/12*3*M11,J11*M11))),0)</f>
        <v>0</v>
      </c>
      <c r="K10" s="1832" t="s">
        <v>3039</v>
      </c>
      <c r="L10" s="357" t="s">
        <v>1404</v>
      </c>
      <c r="M10" s="1363" t="s">
        <v>3112</v>
      </c>
    </row>
    <row r="11" spans="1:37" ht="18" customHeight="1">
      <c r="A11" s="352"/>
      <c r="B11" s="1822" t="s">
        <v>1596</v>
      </c>
      <c r="C11" s="1175"/>
      <c r="D11" s="351"/>
      <c r="E11" s="357" t="s">
        <v>1406</v>
      </c>
      <c r="F11" s="358">
        <f ca="1">'数据-取费表'!B39</f>
        <v>1.4999999999999999E-2</v>
      </c>
      <c r="G11" s="1848"/>
      <c r="H11" s="1296"/>
      <c r="I11" s="1822" t="s">
        <v>1597</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360877</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ROUND(INDIRECT("'数据-取费表'!l"&amp;$G$1)*F43+'数据-取费表'!L14*INDIRECT("'数据-取费表'!S"&amp;$G$1),0)</f>
        <v>277300</v>
      </c>
      <c r="D14" s="3011" t="s">
        <v>1412</v>
      </c>
      <c r="E14" s="3009"/>
      <c r="F14" s="363"/>
      <c r="G14" s="1848"/>
      <c r="H14" s="1198" t="s">
        <v>1031</v>
      </c>
      <c r="I14" s="346" t="s">
        <v>1413</v>
      </c>
      <c r="J14" s="24">
        <f ca="1">C29</f>
        <v>451096</v>
      </c>
      <c r="K14" s="3016"/>
      <c r="L14" s="976"/>
      <c r="M14" s="977"/>
    </row>
    <row r="15" spans="1:37" s="1855" customFormat="1" ht="18" customHeight="1" thickBot="1">
      <c r="A15" s="1198" t="s">
        <v>1032</v>
      </c>
      <c r="B15" s="346" t="s">
        <v>1414</v>
      </c>
      <c r="C15" s="24">
        <f ca="1">ROUND(C14*F15,0)</f>
        <v>13865</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ROUND(INDIRECT("'数据-取费表'!l"&amp;$G$1)*F43*F16,0)</f>
        <v>0</v>
      </c>
      <c r="D16" s="346" t="s">
        <v>1415</v>
      </c>
      <c r="E16" s="346" t="s">
        <v>1416</v>
      </c>
      <c r="F16" s="366">
        <f ca="1">IF(INDIRECT("'数据-取费表'!c"&amp;$G$1)="住宅",'数据-取费表'!B34,0)</f>
        <v>0</v>
      </c>
      <c r="G16" s="1848"/>
      <c r="H16" s="1326" t="s">
        <v>1026</v>
      </c>
      <c r="I16" s="1327" t="s">
        <v>1418</v>
      </c>
      <c r="J16" s="354">
        <f ca="1">ROUND(J17+J22+J23+J24,0)</f>
        <v>33264</v>
      </c>
      <c r="K16" s="1334" t="s">
        <v>1419</v>
      </c>
      <c r="L16" s="3012"/>
      <c r="M16" s="1291"/>
    </row>
    <row r="17" spans="1:37" s="1855" customFormat="1" ht="18" customHeight="1">
      <c r="A17" s="1198" t="s">
        <v>1384</v>
      </c>
      <c r="B17" s="346" t="s">
        <v>1420</v>
      </c>
      <c r="C17" s="24">
        <f ca="1">ROUND(F17*(F43+INDIRECT("'数据-取费表'!S"&amp;$G$1)),0)</f>
        <v>11092</v>
      </c>
      <c r="D17" s="346" t="s">
        <v>1421</v>
      </c>
      <c r="E17" s="346" t="s">
        <v>1422</v>
      </c>
      <c r="F17" s="26">
        <f>'数据-取费表'!B35</f>
        <v>200</v>
      </c>
      <c r="G17" s="1851"/>
      <c r="H17" s="1198" t="s">
        <v>1031</v>
      </c>
      <c r="I17" s="346" t="s">
        <v>1423</v>
      </c>
      <c r="J17" s="24">
        <f ca="1">ROUND(IF(项目基本情况!B11="自然人",J6*M17/(1+'数据-取费表'!C42),J18+J19+J20),0)</f>
        <v>24242</v>
      </c>
      <c r="K17" s="3011" t="s">
        <v>1424</v>
      </c>
      <c r="L17" s="3010"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4160</v>
      </c>
      <c r="D18" s="346" t="s">
        <v>1415</v>
      </c>
      <c r="E18" s="346" t="s">
        <v>1416</v>
      </c>
      <c r="F18" s="366">
        <f>'数据-取费表'!B36</f>
        <v>1.4999999999999999E-2</v>
      </c>
      <c r="G18" s="1851"/>
      <c r="H18" s="1198" t="s">
        <v>1030</v>
      </c>
      <c r="I18" s="346" t="s">
        <v>1427</v>
      </c>
      <c r="J18" s="24">
        <f ca="1">ROUND(J6*M18/(1+'数据-取费表'!C42),0)</f>
        <v>0</v>
      </c>
      <c r="K18" s="3010"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306417</v>
      </c>
      <c r="D19" s="139" t="s">
        <v>1430</v>
      </c>
      <c r="E19" s="3015"/>
      <c r="F19" s="26"/>
      <c r="G19" s="1848"/>
      <c r="H19" s="1198" t="s">
        <v>1032</v>
      </c>
      <c r="I19" s="346" t="s">
        <v>1431</v>
      </c>
      <c r="J19" s="24">
        <f ca="1">IF(K19="按租金收入计税",ROUND(J6*M19/(1+'数据-取费表'!C42),0),ROUND(C29*M19*0.7,0))</f>
        <v>0</v>
      </c>
      <c r="K19" s="1825" t="s">
        <v>3111</v>
      </c>
      <c r="L19" s="346" t="s">
        <v>1416</v>
      </c>
      <c r="M19" s="366">
        <f>IF(K19="按租金收入计税",'数据-取费表'!B51,'数据-取费表'!B50)</f>
        <v>0.12</v>
      </c>
    </row>
    <row r="20" spans="1:37" s="1855" customFormat="1" ht="18" customHeight="1">
      <c r="A20" s="1198" t="s">
        <v>1035</v>
      </c>
      <c r="B20" s="346" t="s">
        <v>1433</v>
      </c>
      <c r="C20" s="24">
        <f ca="1">ROUND(C19*F20,0)</f>
        <v>9193</v>
      </c>
      <c r="D20" s="368" t="s">
        <v>1434</v>
      </c>
      <c r="E20" s="346" t="s">
        <v>1416</v>
      </c>
      <c r="F20" s="366">
        <f>'数据-取费表'!B37</f>
        <v>0.03</v>
      </c>
      <c r="G20" s="1851"/>
      <c r="H20" s="1198" t="s">
        <v>1383</v>
      </c>
      <c r="I20" s="163" t="s">
        <v>1435</v>
      </c>
      <c r="J20" s="25">
        <f ca="1">ROUND(M20*M21,0)</f>
        <v>24242</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v>
      </c>
      <c r="D21" s="368" t="s">
        <v>1439</v>
      </c>
      <c r="E21" s="346" t="s">
        <v>1440</v>
      </c>
      <c r="F21" s="366">
        <f>'数据-取费表'!B38</f>
        <v>0.03</v>
      </c>
      <c r="G21" s="1851"/>
      <c r="H21" s="371"/>
      <c r="I21" s="355"/>
      <c r="J21" s="29"/>
      <c r="K21" s="372"/>
      <c r="L21" s="346" t="s">
        <v>1441</v>
      </c>
      <c r="M21" s="347">
        <f ca="1">INDIRECT("'数据-取费表'!r"&amp;$G$1)</f>
        <v>1616.12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3015"/>
      <c r="F22" s="26"/>
      <c r="G22" s="1848"/>
      <c r="H22" s="1198" t="s">
        <v>1035</v>
      </c>
      <c r="I22" s="346" t="s">
        <v>1443</v>
      </c>
      <c r="J22" s="24">
        <f ca="1">ROUND(J14*M22,0)</f>
        <v>9022</v>
      </c>
      <c r="K22" s="3010" t="s">
        <v>1444</v>
      </c>
      <c r="L22" s="346" t="s">
        <v>1416</v>
      </c>
      <c r="M22" s="373">
        <f ca="1">INDIRECT("'数据-取费表'!Ak"&amp;$G$1)</f>
        <v>0.02</v>
      </c>
    </row>
    <row r="23" spans="1:37" s="1855" customFormat="1" ht="18" customHeight="1">
      <c r="A23" s="1198" t="s">
        <v>1030</v>
      </c>
      <c r="B23" s="346" t="s">
        <v>1445</v>
      </c>
      <c r="C23" s="24">
        <f ca="1">IF('数据-取费表'!B22&lt;=1,ROUND(C19*F24*F23/2,0)+ROUND(C20*F24*F23/2,0),ROUND(C19*(POWER((1+F24),F23/2)-1),0)+ROUND(C20*(POWER((1+F24),F23/2)-1),0))</f>
        <v>14992</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ROUND(J13*M23,0)</f>
        <v>0</v>
      </c>
      <c r="K23" s="3010" t="s">
        <v>1448</v>
      </c>
      <c r="L23" s="346" t="s">
        <v>1416</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1386</v>
      </c>
      <c r="I24" s="1337" t="s">
        <v>1433</v>
      </c>
      <c r="J24" s="1338">
        <f ca="1">ROUND(J5*M24,0)</f>
        <v>0</v>
      </c>
      <c r="K24" s="1339" t="s">
        <v>1453</v>
      </c>
      <c r="L24" s="1337" t="s">
        <v>1416</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6" t="s">
        <v>1455</v>
      </c>
      <c r="C25" s="24"/>
      <c r="D25" s="139" t="s">
        <v>1456</v>
      </c>
      <c r="E25" s="3015"/>
      <c r="F25" s="26"/>
      <c r="G25" s="1848"/>
      <c r="H25" s="1326" t="s">
        <v>1027</v>
      </c>
      <c r="I25" s="1341" t="s">
        <v>1457</v>
      </c>
      <c r="J25" s="354">
        <f ca="1">J5-J16</f>
        <v>-33264</v>
      </c>
      <c r="K25" s="1342" t="s">
        <v>1458</v>
      </c>
      <c r="L25" s="1343"/>
      <c r="M25" s="1344"/>
    </row>
    <row r="26" spans="1:37" ht="18" customHeight="1">
      <c r="A26" s="1198" t="s">
        <v>1030</v>
      </c>
      <c r="B26" s="346" t="s">
        <v>1459</v>
      </c>
      <c r="C26" s="24">
        <f ca="1">ROUND((C19+C20)*F26,0)</f>
        <v>78903</v>
      </c>
      <c r="D26" s="368" t="s">
        <v>1460</v>
      </c>
      <c r="E26" s="357" t="s">
        <v>1461</v>
      </c>
      <c r="F26" s="356">
        <f ca="1">INDIRECT("'数据-取费表'!q"&amp;$G$1)</f>
        <v>0.25</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7.4999999999999997E-3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451096</v>
      </c>
      <c r="D29" s="1339"/>
      <c r="E29" s="1337"/>
      <c r="F29" s="1340"/>
      <c r="G29" s="1851"/>
      <c r="H29" s="379" t="s">
        <v>1029</v>
      </c>
      <c r="I29" s="380" t="s">
        <v>1473</v>
      </c>
      <c r="J29" s="381">
        <f ca="1">ROUND(J26/(1+F40)^F41,0)</f>
        <v>0</v>
      </c>
      <c r="K29" s="382" t="s">
        <v>1474</v>
      </c>
      <c r="L29" s="383"/>
      <c r="M29" s="384">
        <f ca="1">INDIRECT("'数据-取费表'!k"&amp;$G$1)</f>
        <v>55.46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64753</v>
      </c>
      <c r="D30" s="1334" t="s">
        <v>1419</v>
      </c>
      <c r="E30" s="3012"/>
      <c r="F30" s="1291"/>
      <c r="G30" s="1848"/>
      <c r="H30" s="742"/>
      <c r="I30" s="743"/>
      <c r="J30" s="744"/>
      <c r="K30" s="745"/>
      <c r="L30" s="746"/>
      <c r="M30" s="747"/>
    </row>
    <row r="31" spans="1:37" ht="18" customHeight="1">
      <c r="A31" s="1198" t="s">
        <v>1031</v>
      </c>
      <c r="B31" s="346" t="s">
        <v>1423</v>
      </c>
      <c r="C31" s="24">
        <f ca="1">ROUND(IF(项目基本情况!B11="自然人",C6*F31/(1+'数据-取费表'!C42),C32+C33+C34),0)</f>
        <v>51726</v>
      </c>
      <c r="D31" s="3011" t="s">
        <v>1424</v>
      </c>
      <c r="E31" s="3010" t="s">
        <v>1475</v>
      </c>
      <c r="F31" s="367">
        <f ca="1">IF(项目基本情况!B11="企业","",IF(INDIRECT("'数据-取费表'!c"&amp;$G$1)="住宅",5%,IF(F6*F7*F8/12/(1+'数据-取费表'!C42)&gt;20000,12%,7%)))</f>
        <v>7.0000000000000007E-2</v>
      </c>
      <c r="G31" s="1848"/>
      <c r="H31" s="742"/>
      <c r="I31" s="743"/>
      <c r="J31" s="744"/>
      <c r="K31" s="745"/>
      <c r="L31" s="746"/>
      <c r="M31" s="747"/>
    </row>
    <row r="32" spans="1:37" ht="18" customHeight="1">
      <c r="A32" s="1198" t="s">
        <v>1030</v>
      </c>
      <c r="B32" s="346" t="s">
        <v>1427</v>
      </c>
      <c r="C32" s="24">
        <f ca="1">IF(项目基本情况!B11="自然人","——",ROUND(C6*F32/(1+'数据-取费表'!C42),0))</f>
        <v>8745</v>
      </c>
      <c r="D32" s="3010"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IF(项目基本情况!B11="自然人","——",IF(D33="按租金收入计税",ROUND(C6*F33/(1+'数据-取费表'!C42),0),IF(D33="按房产原值计税",ROUND(C29*F33*0.7,0),INDIRECT("'数据-取费表'!Aj"&amp;$G$1))))</f>
        <v>18739</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f>
        <v>24242</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1616.12</v>
      </c>
      <c r="G35" s="1848"/>
      <c r="H35" s="742"/>
      <c r="I35" s="1857"/>
      <c r="J35" s="1858"/>
      <c r="K35" s="1859"/>
      <c r="L35" s="1856"/>
      <c r="M35" s="1856"/>
    </row>
    <row r="36" spans="1:18" ht="18" customHeight="1">
      <c r="A36" s="1349" t="s">
        <v>1035</v>
      </c>
      <c r="B36" s="346" t="s">
        <v>1443</v>
      </c>
      <c r="C36" s="24">
        <f ca="1">ROUND(C29*F36,0)</f>
        <v>9022</v>
      </c>
      <c r="D36" s="3010" t="s">
        <v>1476</v>
      </c>
      <c r="E36" s="346" t="s">
        <v>1416</v>
      </c>
      <c r="F36" s="373">
        <f ca="1">INDIRECT("'数据-取费表'!Ak"&amp;$G$1)</f>
        <v>0.02</v>
      </c>
      <c r="G36" s="1848"/>
      <c r="H36" s="1856"/>
      <c r="I36" s="1857"/>
      <c r="J36" s="1858"/>
      <c r="K36" s="748"/>
      <c r="L36" s="1856"/>
      <c r="M36" s="1856"/>
    </row>
    <row r="37" spans="1:18" ht="18" customHeight="1">
      <c r="A37" s="1198" t="s">
        <v>1071</v>
      </c>
      <c r="B37" s="346" t="s">
        <v>1447</v>
      </c>
      <c r="C37" s="24">
        <f ca="1">ROUND(C13*F37,0)</f>
        <v>722</v>
      </c>
      <c r="D37" s="3010" t="s">
        <v>1448</v>
      </c>
      <c r="E37" s="346" t="s">
        <v>1416</v>
      </c>
      <c r="F37" s="375">
        <f ca="1">INDIRECT("'数据-取费表'!Al"&amp;$G$1)</f>
        <v>2E-3</v>
      </c>
      <c r="G37" s="1848"/>
      <c r="H37" s="1856"/>
      <c r="I37" s="1857"/>
      <c r="J37" s="1858"/>
      <c r="K37" s="748"/>
      <c r="L37" s="1856"/>
      <c r="M37" s="1856"/>
    </row>
    <row r="38" spans="1:18" ht="18" customHeight="1" thickBot="1">
      <c r="A38" s="1336" t="s">
        <v>1386</v>
      </c>
      <c r="B38" s="1337" t="s">
        <v>1433</v>
      </c>
      <c r="C38" s="1338">
        <f ca="1">ROUND(C5*F38,1)</f>
        <v>3283.4</v>
      </c>
      <c r="D38" s="1339" t="s">
        <v>1453</v>
      </c>
      <c r="E38" s="1337" t="s">
        <v>1416</v>
      </c>
      <c r="F38" s="1333">
        <f ca="1">INDIRECT("'数据-取费表'!Am"&amp;$G$1)</f>
        <v>0.02</v>
      </c>
      <c r="G38" s="1848"/>
      <c r="H38" s="1856"/>
      <c r="I38" s="1857"/>
      <c r="J38" s="1858"/>
      <c r="K38" s="1862"/>
      <c r="L38" s="1856"/>
      <c r="M38" s="1856"/>
    </row>
    <row r="39" spans="1:18" ht="24.6" customHeight="1" thickTop="1">
      <c r="A39" s="1326" t="s">
        <v>1027</v>
      </c>
      <c r="B39" s="1341" t="s">
        <v>1457</v>
      </c>
      <c r="C39" s="354">
        <f ca="1">C5-C30</f>
        <v>99419</v>
      </c>
      <c r="D39" s="1342" t="s">
        <v>1458</v>
      </c>
      <c r="E39" s="1343"/>
      <c r="F39" s="1344"/>
      <c r="G39" s="1848"/>
      <c r="H39" s="1856"/>
      <c r="I39" s="1857"/>
      <c r="J39" s="1858"/>
      <c r="K39" s="1862"/>
      <c r="L39" s="1856"/>
      <c r="M39" s="1856"/>
    </row>
    <row r="40" spans="1:18" ht="18" customHeight="1">
      <c r="A40" s="343" t="s">
        <v>1028</v>
      </c>
      <c r="B40" s="344" t="s">
        <v>1479</v>
      </c>
      <c r="C40" s="345">
        <f ca="1">ROUND(C39*(1-((1+F42)/(1+F40))^F41)/(F40-F42),0)</f>
        <v>2748804</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49</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ROUND(C40/F43,0)</f>
        <v>49564</v>
      </c>
      <c r="D43" s="382" t="s">
        <v>1482</v>
      </c>
      <c r="E43" s="383" t="s">
        <v>1483</v>
      </c>
      <c r="F43" s="384">
        <f ca="1">INDIRECT("'数据-取费表'!k"&amp;$G$1)</f>
        <v>55.46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-3688472</v>
      </c>
      <c r="D45" s="1936" t="s">
        <v>1598</v>
      </c>
      <c r="E45" s="1863"/>
      <c r="F45" s="1863"/>
      <c r="O45" s="1866" t="s">
        <v>1513</v>
      </c>
      <c r="P45" s="1836"/>
      <c r="Q45" s="1836"/>
      <c r="R45" s="1836"/>
    </row>
    <row r="46" spans="1:18" s="1839" customFormat="1" ht="13.8" thickBot="1">
      <c r="A46" s="1867" t="s">
        <v>1514</v>
      </c>
      <c r="C46" s="1868">
        <f ca="1">ROUND(C45/10000,0)</f>
        <v>-369</v>
      </c>
      <c r="D46" s="1869" t="str">
        <f>C2</f>
        <v>万元</v>
      </c>
      <c r="I46" s="1870" t="s">
        <v>1515</v>
      </c>
      <c r="J46" s="1871"/>
      <c r="K46" s="1872"/>
      <c r="L46" s="1873">
        <f ca="1">IF(M47="住宅",0,IF(L48&gt;J51,L60,J60))</f>
        <v>0</v>
      </c>
      <c r="O46" s="1874" t="s">
        <v>1516</v>
      </c>
      <c r="P46" s="1875" t="s">
        <v>1517</v>
      </c>
      <c r="Q46" s="1876" t="s">
        <v>1518</v>
      </c>
      <c r="R46" s="1876" t="s">
        <v>1519</v>
      </c>
    </row>
    <row r="47" spans="1:18" s="1839" customFormat="1" ht="13.8" thickBot="1">
      <c r="A47" s="1162" t="s">
        <v>1390</v>
      </c>
      <c r="B47" s="1194" t="s">
        <v>1391</v>
      </c>
      <c r="C47" s="1194" t="s">
        <v>1392</v>
      </c>
      <c r="D47" s="1194" t="s">
        <v>1393</v>
      </c>
      <c r="E47" s="1276" t="s">
        <v>1394</v>
      </c>
      <c r="F47" s="1277"/>
      <c r="G47" s="789"/>
      <c r="I47" s="1877" t="s">
        <v>1520</v>
      </c>
      <c r="J47" s="1878" t="s">
        <v>3099</v>
      </c>
      <c r="K47" s="1879" t="s">
        <v>1521</v>
      </c>
      <c r="L47" s="1880">
        <f ca="1">INDIRECT("'数据-取费表'!d"&amp;$G$1)</f>
        <v>50</v>
      </c>
      <c r="M47" s="1835" t="str">
        <f>IF(ISNUMBER(FIND("住宅",C1)),"住宅","非住宅")</f>
        <v>非住宅</v>
      </c>
      <c r="O47" s="1881" t="s">
        <v>1036</v>
      </c>
      <c r="P47" s="1882" t="s">
        <v>1522</v>
      </c>
      <c r="Q47" s="1883">
        <f ca="1">C40+J29</f>
        <v>2748804</v>
      </c>
      <c r="R47" s="1883" t="s">
        <v>1523</v>
      </c>
    </row>
    <row r="48" spans="1:18" s="1839" customFormat="1" ht="40.200000000000003" thickBot="1">
      <c r="A48" s="1357" t="s">
        <v>1131</v>
      </c>
      <c r="B48" s="344" t="s">
        <v>1395</v>
      </c>
      <c r="C48" s="3014">
        <f ca="1">C49+C53+C55</f>
        <v>0</v>
      </c>
      <c r="D48" s="1359"/>
      <c r="E48" s="1360"/>
      <c r="F48" s="1178"/>
      <c r="G48" s="789"/>
      <c r="H48" s="790"/>
      <c r="I48" s="1884" t="s">
        <v>1524</v>
      </c>
      <c r="J48" s="1885" t="s">
        <v>3100</v>
      </c>
      <c r="K48" s="1886" t="s">
        <v>1525</v>
      </c>
      <c r="L48" s="1887">
        <f ca="1">INDIRECT("'数据-取费表'!f"&amp;$G$1)</f>
        <v>50</v>
      </c>
      <c r="O48" s="1881" t="s">
        <v>1037</v>
      </c>
      <c r="P48" s="1882" t="s">
        <v>1526</v>
      </c>
      <c r="Q48" s="1883" t="str">
        <f ca="1">J60</f>
        <v>0</v>
      </c>
      <c r="R48" s="1883" t="s">
        <v>1527</v>
      </c>
    </row>
    <row r="49" spans="1:18" s="1839" customFormat="1" ht="13.8" thickBot="1">
      <c r="A49" s="1191" t="s">
        <v>1132</v>
      </c>
      <c r="B49" s="1826" t="s">
        <v>1484</v>
      </c>
      <c r="C49" s="1361">
        <f ca="1">ROUND(F49*F51*F50*(1-F52),0)</f>
        <v>0</v>
      </c>
      <c r="D49" s="1273" t="s">
        <v>1398</v>
      </c>
      <c r="E49" s="1827" t="s">
        <v>1485</v>
      </c>
      <c r="F49" s="1278"/>
      <c r="G49" s="1888"/>
      <c r="H49" s="790"/>
      <c r="I49" s="1884" t="s">
        <v>1528</v>
      </c>
      <c r="J49" s="1889">
        <v>2009</v>
      </c>
      <c r="K49" s="1886" t="s">
        <v>1529</v>
      </c>
      <c r="L49" s="1890">
        <v>0</v>
      </c>
      <c r="O49" s="1891" t="s">
        <v>1038</v>
      </c>
      <c r="P49" s="1882" t="s">
        <v>1530</v>
      </c>
      <c r="Q49" s="1883">
        <f ca="1">C29</f>
        <v>451096</v>
      </c>
      <c r="R49" s="1883" t="s">
        <v>1523</v>
      </c>
    </row>
    <row r="50" spans="1:18" s="1839" customFormat="1" ht="13.8" thickBot="1">
      <c r="A50" s="1192"/>
      <c r="B50" s="1195"/>
      <c r="C50" s="1196"/>
      <c r="D50" s="1169"/>
      <c r="E50" s="1274" t="s">
        <v>1400</v>
      </c>
      <c r="F50" s="1275">
        <f ca="1">F7</f>
        <v>55.46</v>
      </c>
      <c r="H50" s="790"/>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7">
        <f ca="1">F8</f>
        <v>365</v>
      </c>
      <c r="I51" s="1895" t="s">
        <v>1534</v>
      </c>
      <c r="J51" s="1896">
        <f>IF(J49="",J50,J49+J50-YEAR('数据-取费表'!B2))</f>
        <v>49</v>
      </c>
      <c r="K51" s="1897" t="s">
        <v>1535</v>
      </c>
      <c r="L51" s="1898">
        <f ca="1">ROUND(-PV(INDIRECT("'数据-取费表'!h"&amp;$G$1),L48,(C39-C13*C76),0),0)</f>
        <v>1254994</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f>'数据-取费表'!H6</f>
        <v>0.05</v>
      </c>
      <c r="O52" s="1891" t="s">
        <v>1041</v>
      </c>
      <c r="P52" s="1882" t="s">
        <v>1539</v>
      </c>
      <c r="Q52" s="1883">
        <f ca="1">J53</f>
        <v>49</v>
      </c>
      <c r="R52" s="1883" t="s">
        <v>1540</v>
      </c>
    </row>
    <row r="53" spans="1:18" s="1839" customFormat="1" ht="30.75" customHeight="1" thickBot="1">
      <c r="A53" s="1358" t="s">
        <v>1133</v>
      </c>
      <c r="B53" s="368" t="s">
        <v>1403</v>
      </c>
      <c r="C53" s="360">
        <f ca="1">ROUND(IF(F53="押一",C49/12*F11,IF(F53="押二",C49/12*2*F11,IF(F53="押三",C49/12*3*F11,C54*F11))),0)</f>
        <v>0</v>
      </c>
      <c r="D53" s="1821" t="s">
        <v>3040</v>
      </c>
      <c r="E53" s="357" t="s">
        <v>1404</v>
      </c>
      <c r="F53" s="1363" t="s">
        <v>3112</v>
      </c>
      <c r="I53" s="1902" t="s">
        <v>1541</v>
      </c>
      <c r="J53" s="2949">
        <f ca="1">IF(M47="住宅",IF(D1="——",MAX(J51,L48),MAX(J51,L48-'数据-取费表'!B24)),IF(D1="——",MIN(J51,L48),MIN(J51,L48-'数据-取费表'!B24)))</f>
        <v>49</v>
      </c>
      <c r="K53" s="3300" t="s">
        <v>1542</v>
      </c>
      <c r="L53" s="3301"/>
      <c r="O53" s="1881" t="s">
        <v>1042</v>
      </c>
      <c r="P53" s="1882" t="s">
        <v>1543</v>
      </c>
      <c r="Q53" s="1883">
        <f ca="1">Q47+Q48</f>
        <v>2748804</v>
      </c>
      <c r="R53" s="1883" t="s">
        <v>1043</v>
      </c>
    </row>
    <row r="54" spans="1:18" s="1839" customFormat="1" ht="13.8" thickBot="1">
      <c r="A54" s="1191"/>
      <c r="B54" s="1937" t="s">
        <v>1597</v>
      </c>
      <c r="C54" s="1175"/>
      <c r="D54" s="1821"/>
      <c r="E54" s="301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8" thickBot="1">
      <c r="A55" s="1330" t="s">
        <v>1071</v>
      </c>
      <c r="B55" s="1824" t="s">
        <v>1407</v>
      </c>
      <c r="C55" s="1331"/>
      <c r="D55" s="1821"/>
      <c r="E55" s="3013"/>
      <c r="F55" s="1903"/>
      <c r="I55" s="1906" t="s">
        <v>1545</v>
      </c>
      <c r="J55" s="1907" t="e">
        <f ca="1">ROUND(IF(J47="钢混",J57/J50,1-(1-2%)*(J50-J57)/J50),3)</f>
        <v>#VALUE!</v>
      </c>
      <c r="K55" s="1908" t="s">
        <v>1546</v>
      </c>
      <c r="L55" s="1909" t="s">
        <v>3166</v>
      </c>
      <c r="O55" s="1874" t="s">
        <v>1516</v>
      </c>
      <c r="P55" s="1875" t="s">
        <v>1517</v>
      </c>
      <c r="Q55" s="1876" t="s">
        <v>1518</v>
      </c>
      <c r="R55" s="1876" t="s">
        <v>1519</v>
      </c>
    </row>
    <row r="56" spans="1:18" s="1839" customFormat="1" ht="36" customHeight="1" thickTop="1" thickBot="1">
      <c r="A56" s="1173">
        <v>2</v>
      </c>
      <c r="B56" s="1174" t="s">
        <v>1408</v>
      </c>
      <c r="C56" s="275">
        <f ca="1">C13</f>
        <v>360877</v>
      </c>
      <c r="D56" s="1910"/>
      <c r="E56" s="1911"/>
      <c r="F56" s="1903"/>
      <c r="I56" s="1912" t="s">
        <v>1548</v>
      </c>
      <c r="J56" s="1913" t="s">
        <v>3085</v>
      </c>
      <c r="K56" s="1884" t="s">
        <v>1549</v>
      </c>
      <c r="L56" s="1887">
        <f ca="1">IF(L48&lt;J51,"——",L48-J51)</f>
        <v>1</v>
      </c>
      <c r="O56" s="1881" t="s">
        <v>1036</v>
      </c>
      <c r="P56" s="1882" t="s">
        <v>1522</v>
      </c>
      <c r="Q56" s="1883">
        <f ca="1">C40+J29</f>
        <v>2748804</v>
      </c>
      <c r="R56" s="1883" t="s">
        <v>1523</v>
      </c>
    </row>
    <row r="57" spans="1:18" s="1839" customFormat="1" ht="24.6" thickBot="1">
      <c r="A57" s="1914"/>
      <c r="B57" s="1166" t="s">
        <v>1472</v>
      </c>
      <c r="C57" s="281">
        <f ca="1">C29</f>
        <v>451096</v>
      </c>
      <c r="D57" s="1915"/>
      <c r="E57" s="1916"/>
      <c r="F57" s="1917"/>
      <c r="I57" s="1918" t="s">
        <v>1550</v>
      </c>
      <c r="J57" s="1919" t="str">
        <f ca="1">IF(OR(M47="住宅",J51&lt;L48,J56="是"),"——",J51-L48)</f>
        <v>——</v>
      </c>
      <c r="K57" s="1884" t="s">
        <v>1599</v>
      </c>
      <c r="L57" s="1887">
        <f ca="1">IF(L48&lt;J51,"——",IF(L55="比较法",L49,IF(L55="基准地价",L50,L51)))</f>
        <v>0</v>
      </c>
      <c r="O57" s="1881" t="s">
        <v>1037</v>
      </c>
      <c r="P57" s="1882" t="s">
        <v>1552</v>
      </c>
      <c r="Q57" s="1883">
        <f ca="1">L60</f>
        <v>0</v>
      </c>
      <c r="R57" s="1883" t="s">
        <v>1553</v>
      </c>
    </row>
    <row r="58" spans="1:18" s="1839" customFormat="1" ht="24.6" thickBot="1">
      <c r="A58" s="359" t="s">
        <v>1026</v>
      </c>
      <c r="B58" s="1174" t="s">
        <v>1418</v>
      </c>
      <c r="C58" s="360">
        <f ca="1">ROUND(C59+C64+C65+C66,0)</f>
        <v>33986</v>
      </c>
      <c r="D58" s="1176" t="s">
        <v>1419</v>
      </c>
      <c r="E58" s="1177"/>
      <c r="F58" s="1178"/>
      <c r="I58" s="1918" t="s">
        <v>1554</v>
      </c>
      <c r="J58" s="1920" t="e">
        <f ca="1">IF(J55&lt;0.4,0.4,J55)</f>
        <v>#VALUE!</v>
      </c>
      <c r="K58" s="1897" t="s">
        <v>1602</v>
      </c>
      <c r="L58" s="1887">
        <f ca="1">ROUND(POWER(1+L52,L47-L48)*(POWER(1+L52,L48)-1)/(POWER(1+L52,L47)-1),4)</f>
        <v>1</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ROUND(IF(项目基本情况!B11="自然人",C48*F59,C60+C61+C62),0)</f>
        <v>24242</v>
      </c>
      <c r="D59" s="1179" t="s">
        <v>1424</v>
      </c>
      <c r="E59" s="1180" t="s">
        <v>1425</v>
      </c>
      <c r="F59" s="367">
        <f ca="1">IF(项目基本情况!B11="企业","",IF(INDIRECT("'数据-取费表'!c"&amp;$G$1)="住宅",5%,IF(F49*F50*F51/12/(1+'数据-取费表'!C42)&gt;20000,12%,7%)))</f>
        <v>7.0000000000000007E-2</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0.99519999999999997</v>
      </c>
      <c r="M59" s="1836">
        <f ca="1">ROUND(POWER(1+L52,L47-(J51+'数据-取费表'!B24))*(POWER(1+L52,(J51+'数据-取费表'!B24))-1)/(POWER(1+L52,L47)-1),4)</f>
        <v>0.99519999999999997</v>
      </c>
      <c r="N59" s="1836">
        <f ca="1">ROUND(POWER(1+L52,L47-(J51+'数据-取费表'!B20))*(POWER(1+L52,(J51+'数据-取费表'!B20))-1)/(POWER(1+L52,L47)-1),4)</f>
        <v>1.0044999999999999</v>
      </c>
      <c r="O59" s="1891" t="s">
        <v>1039</v>
      </c>
      <c r="P59" s="1882" t="s">
        <v>1558</v>
      </c>
      <c r="Q59" s="1894">
        <f>L52</f>
        <v>0.05</v>
      </c>
      <c r="R59" s="1883"/>
    </row>
    <row r="60" spans="1:18" s="1839" customFormat="1" ht="16.2" thickBot="1">
      <c r="A60" s="1198" t="s">
        <v>1030</v>
      </c>
      <c r="B60" s="1166" t="s">
        <v>1427</v>
      </c>
      <c r="C60" s="24">
        <f ca="1">IF(项目基本情况!B11="自然人","——",ROUND(C48*F60/(1+'数据-取费表'!C42),0))</f>
        <v>0</v>
      </c>
      <c r="D60" s="1180" t="s">
        <v>1428</v>
      </c>
      <c r="E60" s="1166"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f ca="1">L58</f>
        <v>1</v>
      </c>
      <c r="R60" s="1883" t="s">
        <v>1562</v>
      </c>
    </row>
    <row r="61" spans="1:18" s="1839" customFormat="1" ht="13.8" thickBot="1">
      <c r="A61" s="1198" t="s">
        <v>1486</v>
      </c>
      <c r="B61" s="1166" t="s">
        <v>1431</v>
      </c>
      <c r="C61" s="24">
        <f ca="1">IF(项目基本情况!B11="自然人","——",IF(D61="按租金收入计税",ROUND(C48*F61,0),IF(D61="按房产原值计税",ROUND(C57*F61*0.7,0),INDIRECT("'数据-取费表'!Aj"&amp;$G$1))))</f>
        <v>0</v>
      </c>
      <c r="D61" s="1825" t="s">
        <v>3111</v>
      </c>
      <c r="E61" s="1166" t="s">
        <v>1416</v>
      </c>
      <c r="F61" s="366">
        <f t="shared" si="0"/>
        <v>0.12</v>
      </c>
      <c r="I61" s="1924"/>
      <c r="J61" s="1924"/>
      <c r="K61" s="1924"/>
      <c r="L61" s="1924"/>
      <c r="O61" s="1891" t="s">
        <v>1041</v>
      </c>
      <c r="P61" s="1882" t="str">
        <f>K59</f>
        <v>建筑物剩余耐用年限下的土地年期修正系数Kn</v>
      </c>
      <c r="Q61" s="1883">
        <f ca="1">L59</f>
        <v>0.99519999999999997</v>
      </c>
      <c r="R61" s="1883" t="s">
        <v>1563</v>
      </c>
    </row>
    <row r="62" spans="1:18" s="1839" customFormat="1" ht="13.8" thickBot="1">
      <c r="A62" s="1198" t="s">
        <v>1489</v>
      </c>
      <c r="B62" s="1165" t="s">
        <v>1435</v>
      </c>
      <c r="C62" s="25">
        <f ca="1">IF(项目基本情况!B11="自然人","——",ROUND(F62*F63,0))</f>
        <v>24242</v>
      </c>
      <c r="D62" s="1181" t="s">
        <v>1436</v>
      </c>
      <c r="E62" s="1166" t="s">
        <v>1437</v>
      </c>
      <c r="F62" s="370">
        <f t="shared" si="0"/>
        <v>15</v>
      </c>
      <c r="I62" s="1925" t="s">
        <v>1564</v>
      </c>
      <c r="J62" s="1926" t="s">
        <v>1565</v>
      </c>
      <c r="K62" s="1926" t="s">
        <v>1566</v>
      </c>
      <c r="L62" s="1926" t="s">
        <v>1567</v>
      </c>
      <c r="M62" s="1927" t="s">
        <v>1568</v>
      </c>
      <c r="O62" s="1881" t="s">
        <v>1042</v>
      </c>
      <c r="P62" s="1882" t="s">
        <v>1543</v>
      </c>
      <c r="Q62" s="1883">
        <f ca="1">Q56+Q57</f>
        <v>2748804</v>
      </c>
      <c r="R62" s="1883" t="s">
        <v>1043</v>
      </c>
    </row>
    <row r="63" spans="1:18" s="1839" customFormat="1" ht="13.8" thickBot="1">
      <c r="A63" s="371"/>
      <c r="B63" s="1172"/>
      <c r="C63" s="29"/>
      <c r="D63" s="1182"/>
      <c r="E63" s="1166" t="s">
        <v>1441</v>
      </c>
      <c r="F63" s="347">
        <f t="shared" ca="1" si="0"/>
        <v>1616.12</v>
      </c>
      <c r="I63" s="1925" t="s">
        <v>1570</v>
      </c>
      <c r="J63" s="1926">
        <v>70</v>
      </c>
      <c r="K63" s="1926">
        <v>50</v>
      </c>
      <c r="L63" s="1926">
        <v>80</v>
      </c>
      <c r="M63" s="1928">
        <v>0.02</v>
      </c>
      <c r="O63" s="1866" t="s">
        <v>1571</v>
      </c>
      <c r="P63" s="1836"/>
      <c r="Q63" s="1836"/>
      <c r="R63" s="1836"/>
    </row>
    <row r="64" spans="1:18" s="1839" customFormat="1" ht="13.8" thickBot="1">
      <c r="A64" s="1198" t="s">
        <v>1035</v>
      </c>
      <c r="B64" s="1166" t="s">
        <v>1443</v>
      </c>
      <c r="C64" s="24">
        <f ca="1">ROUND(C57*F64,0)</f>
        <v>9022</v>
      </c>
      <c r="D64" s="1180" t="s">
        <v>1476</v>
      </c>
      <c r="E64" s="1166" t="s">
        <v>1416</v>
      </c>
      <c r="F64" s="373">
        <f t="shared" ca="1" si="0"/>
        <v>0.02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ROUND(C56*F65,0)</f>
        <v>722</v>
      </c>
      <c r="D65" s="1180" t="s">
        <v>1448</v>
      </c>
      <c r="E65" s="1166" t="s">
        <v>1416</v>
      </c>
      <c r="F65" s="375">
        <f t="shared" ca="1" si="0"/>
        <v>2E-3</v>
      </c>
      <c r="I65" s="1925" t="s">
        <v>1573</v>
      </c>
      <c r="J65" s="1926">
        <v>40</v>
      </c>
      <c r="K65" s="1926">
        <v>30</v>
      </c>
      <c r="L65" s="1926">
        <v>50</v>
      </c>
      <c r="M65" s="1928">
        <v>0.02</v>
      </c>
      <c r="O65" s="1881" t="s">
        <v>1036</v>
      </c>
      <c r="P65" s="1882" t="s">
        <v>1522</v>
      </c>
      <c r="Q65" s="1883">
        <f ca="1">C40+J29</f>
        <v>2748804</v>
      </c>
      <c r="R65" s="1883" t="s">
        <v>1523</v>
      </c>
    </row>
    <row r="66" spans="1:18" s="1839" customFormat="1" ht="16.2" thickBot="1">
      <c r="A66" s="1198" t="s">
        <v>1498</v>
      </c>
      <c r="B66" s="1166" t="s">
        <v>1433</v>
      </c>
      <c r="C66" s="24">
        <f ca="1">ROUND(C48*F66,0)</f>
        <v>0</v>
      </c>
      <c r="D66" s="1180" t="s">
        <v>1453</v>
      </c>
      <c r="E66" s="1166" t="s">
        <v>1416</v>
      </c>
      <c r="F66" s="356">
        <f t="shared" ca="1" si="0"/>
        <v>0.02</v>
      </c>
      <c r="O66" s="1881" t="s">
        <v>1037</v>
      </c>
      <c r="P66" s="1882" t="s">
        <v>1552</v>
      </c>
      <c r="Q66" s="1883">
        <f ca="1">L60</f>
        <v>0</v>
      </c>
      <c r="R66" s="1883" t="s">
        <v>1575</v>
      </c>
    </row>
    <row r="67" spans="1:18" s="1839" customFormat="1" ht="24.6" thickBot="1">
      <c r="A67" s="1173" t="s">
        <v>1027</v>
      </c>
      <c r="B67" s="1183" t="s">
        <v>1457</v>
      </c>
      <c r="C67" s="360">
        <f ca="1">C48-C58</f>
        <v>-33986</v>
      </c>
      <c r="D67" s="1179" t="s">
        <v>1458</v>
      </c>
      <c r="E67" s="1184"/>
      <c r="F67" s="1185"/>
      <c r="O67" s="1891" t="s">
        <v>1038</v>
      </c>
      <c r="P67" s="1882" t="s">
        <v>1556</v>
      </c>
      <c r="Q67" s="1929">
        <f ca="1">L51</f>
        <v>1254994</v>
      </c>
      <c r="R67" s="1883" t="s">
        <v>1576</v>
      </c>
    </row>
    <row r="68" spans="1:18" s="1839" customFormat="1" ht="16.2" thickBot="1">
      <c r="A68" s="1163" t="s">
        <v>1028</v>
      </c>
      <c r="B68" s="1164" t="s">
        <v>1479</v>
      </c>
      <c r="C68" s="345">
        <f ca="1">ROUND(C67*(1-((1+F70)/(1+F68))^F69)/(F68-F70),0)</f>
        <v>-939668</v>
      </c>
      <c r="D68" s="1181" t="s">
        <v>1463</v>
      </c>
      <c r="E68" s="1166" t="s">
        <v>1464</v>
      </c>
      <c r="F68" s="356">
        <f ca="1">F40</f>
        <v>5.5E-2</v>
      </c>
      <c r="O68" s="1891" t="s">
        <v>1039</v>
      </c>
      <c r="P68" s="1930" t="s">
        <v>1577</v>
      </c>
      <c r="Q68" s="1883">
        <f ca="1">ROUND(Q69-Q70*Q71,0)</f>
        <v>68744</v>
      </c>
      <c r="R68" s="1883" t="s">
        <v>1047</v>
      </c>
    </row>
    <row r="69" spans="1:18" s="1839" customFormat="1" ht="13.8" thickBot="1">
      <c r="A69" s="1167"/>
      <c r="B69" s="1168"/>
      <c r="C69" s="350"/>
      <c r="D69" s="1186" t="s">
        <v>1467</v>
      </c>
      <c r="E69" s="1166" t="s">
        <v>1468</v>
      </c>
      <c r="F69" s="378">
        <f ca="1">F41</f>
        <v>49</v>
      </c>
      <c r="O69" s="1891" t="s">
        <v>1044</v>
      </c>
      <c r="P69" s="1930" t="s">
        <v>1578</v>
      </c>
      <c r="Q69" s="1883">
        <f ca="1">C39</f>
        <v>99419</v>
      </c>
      <c r="R69" s="1883" t="s">
        <v>1523</v>
      </c>
    </row>
    <row r="70" spans="1:18" s="1839" customFormat="1" ht="13.8" thickBot="1">
      <c r="A70" s="1170"/>
      <c r="B70" s="1171"/>
      <c r="C70" s="354"/>
      <c r="D70" s="1182"/>
      <c r="E70" s="1166" t="s">
        <v>1471</v>
      </c>
      <c r="F70" s="1272">
        <f ca="1">F42</f>
        <v>0.03</v>
      </c>
      <c r="O70" s="1891" t="s">
        <v>1045</v>
      </c>
      <c r="P70" s="1930" t="s">
        <v>1579</v>
      </c>
      <c r="Q70" s="1883">
        <f ca="1">C13</f>
        <v>360877</v>
      </c>
      <c r="R70" s="1883" t="s">
        <v>1523</v>
      </c>
    </row>
    <row r="71" spans="1:18" s="1839" customFormat="1" ht="13.8" thickBot="1">
      <c r="A71" s="1187" t="s">
        <v>1029</v>
      </c>
      <c r="B71" s="1188" t="s">
        <v>1481</v>
      </c>
      <c r="C71" s="381">
        <f ca="1">ROUND(C68/F71,0)</f>
        <v>-16943</v>
      </c>
      <c r="D71" s="1189" t="s">
        <v>1482</v>
      </c>
      <c r="E71" s="1190" t="s">
        <v>1483</v>
      </c>
      <c r="F71" s="384">
        <f ca="1">F43</f>
        <v>55.46</v>
      </c>
      <c r="O71" s="1891" t="s">
        <v>1046</v>
      </c>
      <c r="P71" s="1930" t="s">
        <v>1580</v>
      </c>
      <c r="Q71" s="1894">
        <f ca="1">C76</f>
        <v>8.5000000000000006E-2</v>
      </c>
      <c r="R71" s="1883"/>
    </row>
    <row r="72" spans="1:18" s="1839" customFormat="1" ht="13.8" thickBot="1">
      <c r="B72" s="793"/>
      <c r="C72" s="793"/>
      <c r="O72" s="1891" t="s">
        <v>1040</v>
      </c>
      <c r="P72" s="1882" t="s">
        <v>1558</v>
      </c>
      <c r="Q72" s="1894">
        <f>L52</f>
        <v>0.05</v>
      </c>
      <c r="R72" s="1883"/>
    </row>
    <row r="73" spans="1:18" ht="16.2" thickBot="1">
      <c r="A73" s="1839"/>
      <c r="B73" s="793"/>
      <c r="C73" s="793"/>
      <c r="D73" s="1839"/>
      <c r="E73" s="1839"/>
      <c r="F73" s="1839"/>
      <c r="O73" s="1891" t="s">
        <v>1041</v>
      </c>
      <c r="P73" s="1882" t="s">
        <v>1561</v>
      </c>
      <c r="Q73" s="1883">
        <f ca="1">L58</f>
        <v>1</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f ca="1">L59</f>
        <v>0.99519999999999997</v>
      </c>
      <c r="R74" s="1883" t="s">
        <v>1563</v>
      </c>
    </row>
    <row r="75" spans="1:18" ht="13.8" thickBot="1">
      <c r="A75" s="1839"/>
      <c r="B75" s="385" t="s">
        <v>1500</v>
      </c>
      <c r="C75" s="386">
        <f ca="1">ROUND(C13*C76,0)</f>
        <v>30675</v>
      </c>
      <c r="D75" s="1839"/>
      <c r="E75" s="1839"/>
      <c r="F75" s="1839"/>
      <c r="K75" s="1865"/>
      <c r="L75" s="1839"/>
      <c r="O75" s="1881" t="s">
        <v>1042</v>
      </c>
      <c r="P75" s="1882" t="s">
        <v>1543</v>
      </c>
      <c r="Q75" s="1883">
        <f ca="1">Q65+Q66</f>
        <v>2748804</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0.69100000000000006</v>
      </c>
    </row>
    <row r="80" spans="1:18">
      <c r="B80" s="385" t="s">
        <v>1505</v>
      </c>
      <c r="C80" s="317">
        <f ca="1">ROUND(C75/C39,3)</f>
        <v>0.309</v>
      </c>
    </row>
    <row r="81" spans="2:3">
      <c r="B81" s="313" t="s">
        <v>1506</v>
      </c>
      <c r="C81" s="281"/>
    </row>
    <row r="82" spans="2:3">
      <c r="B82" s="316" t="s">
        <v>1507</v>
      </c>
      <c r="C82" s="318">
        <f ca="1">1-C83</f>
        <v>0.86899999999999999</v>
      </c>
    </row>
    <row r="83" spans="2:3">
      <c r="B83" s="316" t="s">
        <v>1508</v>
      </c>
      <c r="C83" s="317">
        <f ca="1">ROUND(C13/C40,3)</f>
        <v>0.13100000000000001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zoomScale="70" zoomScaleNormal="70" zoomScaleSheetLayoutView="90" workbookViewId="0">
      <selection activeCell="I41" sqref="I41"/>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27</v>
      </c>
      <c r="D1" s="1817" t="s">
        <v>70</v>
      </c>
      <c r="E1" s="1818" t="s">
        <v>1381</v>
      </c>
      <c r="F1" s="1280">
        <f ca="1">J53</f>
        <v>50</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C40+J29+L46</f>
        <v>276</v>
      </c>
      <c r="C2" s="1842" t="s">
        <v>1510</v>
      </c>
      <c r="D2" s="1842"/>
      <c r="E2" s="1843"/>
      <c r="F2" s="1844"/>
      <c r="G2" s="1845"/>
      <c r="H2" s="1837"/>
      <c r="I2" s="1837"/>
      <c r="J2" s="1837"/>
      <c r="K2" s="1838"/>
      <c r="L2" s="1837"/>
      <c r="M2" s="1837"/>
    </row>
    <row r="3" spans="1:37" ht="18" customHeight="1" thickBot="1">
      <c r="A3" s="1846" t="s">
        <v>1511</v>
      </c>
      <c r="B3" s="1847">
        <f ca="1">IF(ISERROR(B2*10000/F43),0,ROUND(B2*10000/F43,0))</f>
        <v>49766</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16</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ROUND(F6*F8*F7*(1-F9)/10000,0)</f>
        <v>16</v>
      </c>
      <c r="D6" s="163" t="s">
        <v>3029</v>
      </c>
      <c r="E6" s="346" t="s">
        <v>1399</v>
      </c>
      <c r="F6" s="347">
        <f ca="1">INDIRECT("'数据-取费表'!u"&amp;$G$1)</f>
        <v>9</v>
      </c>
      <c r="G6" s="1848"/>
      <c r="H6" s="1288" t="s">
        <v>1031</v>
      </c>
      <c r="I6" s="3297" t="s">
        <v>1397</v>
      </c>
      <c r="J6" s="345">
        <f ca="1">ROUND(M6*M8*M7*(1-M9)/10000,0)</f>
        <v>0</v>
      </c>
      <c r="K6" s="163" t="s">
        <v>3028</v>
      </c>
      <c r="L6" s="346" t="s">
        <v>1399</v>
      </c>
      <c r="M6" s="347">
        <f ca="1">INDIRECT("'数据-取费表'!z"&amp;$G$1)</f>
        <v>0</v>
      </c>
    </row>
    <row r="7" spans="1:37" ht="18" customHeight="1">
      <c r="A7" s="1292"/>
      <c r="B7" s="3298"/>
      <c r="C7" s="1294"/>
      <c r="D7" s="351"/>
      <c r="E7" s="2959" t="s">
        <v>1400</v>
      </c>
      <c r="F7" s="347">
        <f ca="1">IF(INDIRECT("'数据-取费表'!ah"&amp;$G$1)="",INDIRECT("'数据-取费表'!k"&amp;$G$1),INDIRECT("'数据-取费表'!ah"&amp;$G$1))</f>
        <v>55.46</v>
      </c>
      <c r="G7" s="1848"/>
      <c r="H7" s="348"/>
      <c r="I7" s="3298"/>
      <c r="J7" s="350"/>
      <c r="K7" s="351"/>
      <c r="L7" s="346" t="s">
        <v>1400</v>
      </c>
      <c r="M7" s="347">
        <f ca="1">F7</f>
        <v>55.46</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0</v>
      </c>
      <c r="D10" s="1821" t="s">
        <v>3037</v>
      </c>
      <c r="E10" s="357" t="s">
        <v>1404</v>
      </c>
      <c r="F10" s="1363" t="s">
        <v>3112</v>
      </c>
      <c r="G10" s="1848"/>
      <c r="H10" s="1288" t="s">
        <v>1035</v>
      </c>
      <c r="I10" s="1820" t="s">
        <v>1403</v>
      </c>
      <c r="J10" s="345">
        <f ca="1">ROUND(IF(M10="押一",J6/12*M11,IF(M10="押二",J6/12*2*M11,IF(M10="押三",J6/12*3*M11,J11*M11))),0)</f>
        <v>0</v>
      </c>
      <c r="K10" s="1821" t="s">
        <v>3037</v>
      </c>
      <c r="L10" s="357" t="s">
        <v>1404</v>
      </c>
      <c r="M10" s="1363" t="s">
        <v>1405</v>
      </c>
    </row>
    <row r="11" spans="1:37" ht="18" customHeight="1">
      <c r="A11" s="352"/>
      <c r="B11" s="1822" t="s">
        <v>1382</v>
      </c>
      <c r="C11" s="1175"/>
      <c r="D11" s="1823"/>
      <c r="E11" s="357" t="s">
        <v>1406</v>
      </c>
      <c r="F11" s="358">
        <f ca="1">'数据-取费表'!B39</f>
        <v>1.4999999999999999E-2</v>
      </c>
      <c r="G11" s="1848"/>
      <c r="H11" s="1296"/>
      <c r="I11" s="1822" t="s">
        <v>1382</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35</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INDIRECT("'数据-取费表'!m"&amp;$G$1)+INDIRECT("'数据-取费表'!t"&amp;$G$1)</f>
        <v>28</v>
      </c>
      <c r="D14" s="2968" t="s">
        <v>1412</v>
      </c>
      <c r="E14" s="2967"/>
      <c r="F14" s="363"/>
      <c r="G14" s="1848"/>
      <c r="H14" s="1198" t="s">
        <v>1031</v>
      </c>
      <c r="I14" s="346" t="s">
        <v>1413</v>
      </c>
      <c r="J14" s="24">
        <f ca="1">C29</f>
        <v>44</v>
      </c>
      <c r="K14" s="2958"/>
      <c r="L14" s="976"/>
      <c r="M14" s="977"/>
    </row>
    <row r="15" spans="1:37" s="1855" customFormat="1" ht="18" customHeight="1" thickBot="1">
      <c r="A15" s="1198" t="s">
        <v>1032</v>
      </c>
      <c r="B15" s="346" t="s">
        <v>1414</v>
      </c>
      <c r="C15" s="24">
        <f ca="1">ROUND(C14*F15,0)</f>
        <v>1</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ROUND(INDIRECT("'数据-取费表'!m"&amp;$G$1)*F16,0)</f>
        <v>0</v>
      </c>
      <c r="D16" s="346" t="s">
        <v>1415</v>
      </c>
      <c r="E16" s="346" t="s">
        <v>1416</v>
      </c>
      <c r="F16" s="366">
        <f ca="1">IF(INDIRECT("'数据-取费表'!c"&amp;$G$1)="住宅",'数据-取费表'!B34,0)</f>
        <v>0</v>
      </c>
      <c r="G16" s="1848"/>
      <c r="H16" s="1326" t="s">
        <v>1026</v>
      </c>
      <c r="I16" s="1327" t="s">
        <v>1418</v>
      </c>
      <c r="J16" s="354">
        <f ca="1">ROUND(J17+J22+J23+J24,0)</f>
        <v>4</v>
      </c>
      <c r="K16" s="1334" t="s">
        <v>1419</v>
      </c>
      <c r="L16" s="2971"/>
      <c r="M16" s="1291"/>
    </row>
    <row r="17" spans="1:37" s="1855" customFormat="1" ht="18" customHeight="1">
      <c r="A17" s="1198" t="s">
        <v>1384</v>
      </c>
      <c r="B17" s="346" t="s">
        <v>1420</v>
      </c>
      <c r="C17" s="24">
        <f ca="1">ROUND(F17*(F43+INDIRECT("'数据-取费表'!S"&amp;$G$1))/10000,0)</f>
        <v>1</v>
      </c>
      <c r="D17" s="346" t="s">
        <v>1421</v>
      </c>
      <c r="E17" s="346" t="s">
        <v>1422</v>
      </c>
      <c r="F17" s="26">
        <f>'数据-取费表'!B35</f>
        <v>200</v>
      </c>
      <c r="G17" s="1851"/>
      <c r="H17" s="1198" t="s">
        <v>1031</v>
      </c>
      <c r="I17" s="346" t="s">
        <v>1423</v>
      </c>
      <c r="J17" s="24">
        <f ca="1">ROUND(IF(项目基本情况!B11="自然人",J6*M17/(1+'数据-取费表'!C42),J18+J19+J20),1)</f>
        <v>2.8</v>
      </c>
      <c r="K17" s="2968" t="s">
        <v>1424</v>
      </c>
      <c r="L17" s="2970"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0</v>
      </c>
      <c r="D18" s="346" t="s">
        <v>1415</v>
      </c>
      <c r="E18" s="346" t="s">
        <v>1416</v>
      </c>
      <c r="F18" s="366">
        <f>'数据-取费表'!B36</f>
        <v>1.4999999999999999E-2</v>
      </c>
      <c r="G18" s="1851"/>
      <c r="H18" s="1198" t="s">
        <v>1030</v>
      </c>
      <c r="I18" s="346" t="s">
        <v>1427</v>
      </c>
      <c r="J18" s="24">
        <f ca="1">ROUND(J6*M18/(1+'数据-取费表'!C42),2)</f>
        <v>0</v>
      </c>
      <c r="K18" s="2970"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30</v>
      </c>
      <c r="D19" s="139" t="s">
        <v>1430</v>
      </c>
      <c r="E19" s="2956"/>
      <c r="F19" s="26"/>
      <c r="G19" s="1848"/>
      <c r="H19" s="1198" t="s">
        <v>1032</v>
      </c>
      <c r="I19" s="346" t="s">
        <v>1431</v>
      </c>
      <c r="J19" s="24">
        <f ca="1">IF(K19="按租金收入计税",ROUND(J6*M19/(1+'数据-取费表'!C42),2),ROUND(C29*M19*0.7,2))</f>
        <v>0.37</v>
      </c>
      <c r="K19" s="1825" t="s">
        <v>1432</v>
      </c>
      <c r="L19" s="346" t="s">
        <v>1416</v>
      </c>
      <c r="M19" s="366">
        <f>IF(K19="按租金收入计税",'数据-取费表'!B51,'数据-取费表'!B50)</f>
        <v>1.2E-2</v>
      </c>
    </row>
    <row r="20" spans="1:37" s="1855" customFormat="1" ht="18" customHeight="1">
      <c r="A20" s="1198" t="s">
        <v>1035</v>
      </c>
      <c r="B20" s="346" t="s">
        <v>1433</v>
      </c>
      <c r="C20" s="24">
        <f ca="1">ROUND(C19*F20,0)</f>
        <v>1</v>
      </c>
      <c r="D20" s="368" t="s">
        <v>1434</v>
      </c>
      <c r="E20" s="346" t="s">
        <v>1416</v>
      </c>
      <c r="F20" s="366">
        <f>'数据-取费表'!B37</f>
        <v>0.03</v>
      </c>
      <c r="G20" s="1851"/>
      <c r="H20" s="1198" t="s">
        <v>1383</v>
      </c>
      <c r="I20" s="163" t="s">
        <v>1435</v>
      </c>
      <c r="J20" s="25">
        <f ca="1">ROUND(M20*M21/10000,2)</f>
        <v>2.42</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18</v>
      </c>
      <c r="D21" s="368" t="s">
        <v>1439</v>
      </c>
      <c r="E21" s="346" t="s">
        <v>1440</v>
      </c>
      <c r="F21" s="366">
        <f>'数据-取费表'!B38</f>
        <v>0.03</v>
      </c>
      <c r="G21" s="1851"/>
      <c r="H21" s="371"/>
      <c r="I21" s="355"/>
      <c r="J21" s="29"/>
      <c r="K21" s="372"/>
      <c r="L21" s="346" t="s">
        <v>1441</v>
      </c>
      <c r="M21" s="347">
        <f ca="1">INDIRECT("'数据-取费表'!r"&amp;$G$1)</f>
        <v>1616.12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2956"/>
      <c r="F22" s="26"/>
      <c r="G22" s="1848"/>
      <c r="H22" s="1198" t="s">
        <v>1035</v>
      </c>
      <c r="I22" s="346" t="s">
        <v>1443</v>
      </c>
      <c r="J22" s="24">
        <f ca="1">ROUND(J14*M22,1)</f>
        <v>0.9</v>
      </c>
      <c r="K22" s="2970" t="s">
        <v>1444</v>
      </c>
      <c r="L22" s="346" t="s">
        <v>1416</v>
      </c>
      <c r="M22" s="373">
        <f ca="1">INDIRECT("'数据-取费表'!Ak"&amp;$G$1)</f>
        <v>0.02</v>
      </c>
    </row>
    <row r="23" spans="1:37" s="1855" customFormat="1" ht="18" customHeight="1">
      <c r="A23" s="1198" t="s">
        <v>1030</v>
      </c>
      <c r="B23" s="346" t="s">
        <v>1445</v>
      </c>
      <c r="C23" s="24">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ROUND(J13*M23,1)</f>
        <v>0</v>
      </c>
      <c r="K23" s="2970" t="s">
        <v>1448</v>
      </c>
      <c r="L23" s="346" t="s">
        <v>1416</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1386</v>
      </c>
      <c r="I24" s="1337" t="s">
        <v>1433</v>
      </c>
      <c r="J24" s="1338">
        <f ca="1">ROUND(J5*M24,1)</f>
        <v>0</v>
      </c>
      <c r="K24" s="1339" t="s">
        <v>1453</v>
      </c>
      <c r="L24" s="1337" t="s">
        <v>1416</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6" t="s">
        <v>1455</v>
      </c>
      <c r="C25" s="24"/>
      <c r="D25" s="139" t="s">
        <v>1456</v>
      </c>
      <c r="E25" s="2956"/>
      <c r="F25" s="26"/>
      <c r="G25" s="1848"/>
      <c r="H25" s="1326" t="s">
        <v>1027</v>
      </c>
      <c r="I25" s="1341" t="s">
        <v>1457</v>
      </c>
      <c r="J25" s="354">
        <f ca="1">J5-J16</f>
        <v>-4</v>
      </c>
      <c r="K25" s="1342" t="s">
        <v>1458</v>
      </c>
      <c r="L25" s="1343"/>
      <c r="M25" s="1344"/>
    </row>
    <row r="26" spans="1:37">
      <c r="A26" s="1198" t="s">
        <v>1030</v>
      </c>
      <c r="B26" s="346" t="s">
        <v>1459</v>
      </c>
      <c r="C26" s="24">
        <f ca="1">ROUND((C19+C20)*F26,0)</f>
        <v>8</v>
      </c>
      <c r="D26" s="368" t="s">
        <v>1460</v>
      </c>
      <c r="E26" s="357" t="s">
        <v>1461</v>
      </c>
      <c r="F26" s="356">
        <f ca="1">INDIRECT("'数据-取费表'!q"&amp;$G$1)</f>
        <v>0.25</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7.4999999999999997E-3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44</v>
      </c>
      <c r="D29" s="1339"/>
      <c r="E29" s="1337"/>
      <c r="F29" s="1340"/>
      <c r="G29" s="1851"/>
      <c r="H29" s="379" t="s">
        <v>1029</v>
      </c>
      <c r="I29" s="380" t="s">
        <v>1473</v>
      </c>
      <c r="J29" s="381">
        <f ca="1">ROUND(J26/(1+F40)^F41,0)</f>
        <v>0</v>
      </c>
      <c r="K29" s="382" t="s">
        <v>1474</v>
      </c>
      <c r="L29" s="383"/>
      <c r="M29" s="384">
        <f ca="1">INDIRECT("'数据-取费表'!k"&amp;$G$1)</f>
        <v>55.46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6</v>
      </c>
      <c r="D30" s="1334" t="s">
        <v>1419</v>
      </c>
      <c r="E30" s="2971"/>
      <c r="F30" s="1291"/>
      <c r="G30" s="1848"/>
      <c r="H30" s="742"/>
      <c r="I30" s="743"/>
      <c r="J30" s="744"/>
      <c r="K30" s="745"/>
      <c r="L30" s="746"/>
      <c r="M30" s="747"/>
    </row>
    <row r="31" spans="1:37" ht="18" customHeight="1">
      <c r="A31" s="1198" t="s">
        <v>1031</v>
      </c>
      <c r="B31" s="346" t="s">
        <v>1423</v>
      </c>
      <c r="C31" s="24">
        <f ca="1">ROUND(IF(项目基本情况!B11="自然人",C6*F31/(1+'数据-取费表'!C42),C32+C33+C34),1)</f>
        <v>5.0999999999999996</v>
      </c>
      <c r="D31" s="2968" t="s">
        <v>1424</v>
      </c>
      <c r="E31" s="2970" t="s">
        <v>1475</v>
      </c>
      <c r="F31" s="367">
        <f ca="1">IF(项目基本情况!B11="企业","",IF(INDIRECT("'数据-取费表'!c"&amp;$G$1)="住宅",5%,IF(F6*F7*F8/12/(1+'数据-取费表'!C42)&gt;20000,12%,7%)))</f>
        <v>7.0000000000000007E-2</v>
      </c>
      <c r="G31" s="1848"/>
      <c r="H31" s="742"/>
      <c r="I31" s="743"/>
      <c r="J31" s="744"/>
      <c r="K31" s="745"/>
      <c r="L31" s="746"/>
      <c r="M31" s="747"/>
    </row>
    <row r="32" spans="1:37" ht="18" customHeight="1">
      <c r="A32" s="1198" t="s">
        <v>1030</v>
      </c>
      <c r="B32" s="346" t="s">
        <v>1427</v>
      </c>
      <c r="C32" s="24">
        <f ca="1">IF(项目基本情况!B11="自然人","——",ROUND(C6*F32/(1+'数据-取费表'!C42),2))</f>
        <v>0.85</v>
      </c>
      <c r="D32" s="2970"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IF(项目基本情况!B11="自然人","——",IF(D33="按租金收入计税",ROUND(C6*F33/(1+'数据-取费表'!C42),2),IF(D33="按房产原值计税",ROUND(C29*F33*0.7,2),INDIRECT("'数据-取费表'!Aj"&amp;$G$1))))</f>
        <v>1.83</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IF(项目基本情况!B11="自然人","——",ROUND(F34*F35/10000,2))</f>
        <v>2.42</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1616.12</v>
      </c>
      <c r="G35" s="1848"/>
      <c r="H35" s="742"/>
      <c r="I35" s="1857"/>
      <c r="J35" s="1858"/>
      <c r="K35" s="1859"/>
      <c r="L35" s="1856"/>
      <c r="M35" s="1856"/>
    </row>
    <row r="36" spans="1:18" ht="18" customHeight="1">
      <c r="A36" s="1349" t="s">
        <v>1035</v>
      </c>
      <c r="B36" s="346" t="s">
        <v>1443</v>
      </c>
      <c r="C36" s="24">
        <f ca="1">ROUND(C29*F36,1)</f>
        <v>0.9</v>
      </c>
      <c r="D36" s="2970" t="s">
        <v>1476</v>
      </c>
      <c r="E36" s="346" t="s">
        <v>1416</v>
      </c>
      <c r="F36" s="373">
        <f ca="1">INDIRECT("'数据-取费表'!Ak"&amp;$G$1)</f>
        <v>0.02</v>
      </c>
      <c r="G36" s="1848"/>
      <c r="H36" s="1856"/>
      <c r="I36" s="1857"/>
      <c r="J36" s="1858"/>
      <c r="K36" s="748"/>
      <c r="L36" s="1856"/>
      <c r="M36" s="1856"/>
    </row>
    <row r="37" spans="1:18" ht="18" customHeight="1">
      <c r="A37" s="1198" t="s">
        <v>1071</v>
      </c>
      <c r="B37" s="346" t="s">
        <v>1447</v>
      </c>
      <c r="C37" s="24">
        <f ca="1">ROUND(C13*F37,1)</f>
        <v>0.1</v>
      </c>
      <c r="D37" s="2970" t="s">
        <v>1448</v>
      </c>
      <c r="E37" s="346" t="s">
        <v>1416</v>
      </c>
      <c r="F37" s="375">
        <f ca="1">INDIRECT("'数据-取费表'!Al"&amp;$G$1)</f>
        <v>2E-3</v>
      </c>
      <c r="G37" s="1848"/>
      <c r="H37" s="1856"/>
      <c r="I37" s="1857"/>
      <c r="J37" s="1858"/>
      <c r="K37" s="748"/>
      <c r="L37" s="1856"/>
      <c r="M37" s="1856"/>
    </row>
    <row r="38" spans="1:18" ht="18" customHeight="1" thickBot="1">
      <c r="A38" s="1336" t="s">
        <v>1386</v>
      </c>
      <c r="B38" s="1337" t="s">
        <v>1433</v>
      </c>
      <c r="C38" s="1338">
        <f ca="1">ROUND(C5*F38,1)</f>
        <v>0.3</v>
      </c>
      <c r="D38" s="1339" t="s">
        <v>1453</v>
      </c>
      <c r="E38" s="1337" t="s">
        <v>1416</v>
      </c>
      <c r="F38" s="1333">
        <f ca="1">INDIRECT("'数据-取费表'!Am"&amp;$G$1)</f>
        <v>0.02</v>
      </c>
      <c r="G38" s="1848"/>
      <c r="H38" s="1856"/>
      <c r="I38" s="1857"/>
      <c r="J38" s="1858"/>
      <c r="K38" s="1862"/>
      <c r="L38" s="1856"/>
      <c r="M38" s="1856"/>
    </row>
    <row r="39" spans="1:18" ht="24.6" customHeight="1" thickTop="1">
      <c r="A39" s="1326" t="s">
        <v>1027</v>
      </c>
      <c r="B39" s="1341" t="s">
        <v>1457</v>
      </c>
      <c r="C39" s="354">
        <f ca="1">C5-C30</f>
        <v>10</v>
      </c>
      <c r="D39" s="1342" t="s">
        <v>1458</v>
      </c>
      <c r="E39" s="1343"/>
      <c r="F39" s="1344"/>
      <c r="G39" s="1848"/>
      <c r="H39" s="1856"/>
      <c r="I39" s="1857"/>
      <c r="J39" s="1858"/>
      <c r="K39" s="1862"/>
      <c r="L39" s="1856"/>
      <c r="M39" s="1856"/>
    </row>
    <row r="40" spans="1:18" ht="18" customHeight="1">
      <c r="A40" s="343" t="s">
        <v>1028</v>
      </c>
      <c r="B40" s="344" t="s">
        <v>1479</v>
      </c>
      <c r="C40" s="345">
        <f ca="1">ROUND(C39*(1-((1+F42)/(1+F40))^F41)/(F40-F42),0)</f>
        <v>276</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49</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ROUND(C40*10000/F43,0)</f>
        <v>49766</v>
      </c>
      <c r="D43" s="382" t="s">
        <v>1482</v>
      </c>
      <c r="E43" s="383" t="s">
        <v>1483</v>
      </c>
      <c r="F43" s="384">
        <f ca="1">INDIRECT("'数据-取费表'!k"&amp;$G$1)</f>
        <v>55.46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1513</v>
      </c>
      <c r="P45" s="1836"/>
      <c r="Q45" s="1836"/>
      <c r="R45" s="1836"/>
    </row>
    <row r="46" spans="1:18" s="1839" customFormat="1" ht="13.8" thickBot="1">
      <c r="A46" s="1867" t="s">
        <v>1514</v>
      </c>
      <c r="C46" s="1868">
        <f ca="1">C68-C40</f>
        <v>-394</v>
      </c>
      <c r="D46" s="1869" t="str">
        <f>C2</f>
        <v>万元</v>
      </c>
      <c r="E46" s="1863"/>
      <c r="F46" s="1863"/>
      <c r="I46" s="1870" t="s">
        <v>1515</v>
      </c>
      <c r="J46" s="1871"/>
      <c r="K46" s="1872"/>
      <c r="L46" s="1873">
        <f ca="1">IF(M47="住宅",0,IF(L48&gt;J51,L60,J60))</f>
        <v>0</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89"/>
      <c r="I47" s="1877" t="s">
        <v>1520</v>
      </c>
      <c r="J47" s="1878" t="s">
        <v>3099</v>
      </c>
      <c r="K47" s="1879" t="s">
        <v>1521</v>
      </c>
      <c r="L47" s="1880">
        <f ca="1">INDIRECT("'数据-取费表'!d"&amp;$G$1)</f>
        <v>50</v>
      </c>
      <c r="M47" s="1835" t="str">
        <f>IF(ISNUMBER(FIND("住宅",C1)),"住宅","非住宅")</f>
        <v>非住宅</v>
      </c>
      <c r="O47" s="1881" t="s">
        <v>1036</v>
      </c>
      <c r="P47" s="1882" t="s">
        <v>1522</v>
      </c>
      <c r="Q47" s="1883">
        <f ca="1">C40+J29</f>
        <v>276</v>
      </c>
      <c r="R47" s="1883" t="s">
        <v>1523</v>
      </c>
    </row>
    <row r="48" spans="1:18" s="1839" customFormat="1" ht="40.200000000000003" thickBot="1">
      <c r="A48" s="1357" t="s">
        <v>1131</v>
      </c>
      <c r="B48" s="344" t="s">
        <v>1395</v>
      </c>
      <c r="C48" s="2955">
        <f ca="1">C49+C53+C55</f>
        <v>0</v>
      </c>
      <c r="D48" s="1359"/>
      <c r="E48" s="1360"/>
      <c r="F48" s="1178"/>
      <c r="G48" s="789"/>
      <c r="H48" s="790"/>
      <c r="I48" s="1884" t="s">
        <v>1524</v>
      </c>
      <c r="J48" s="1885" t="s">
        <v>3100</v>
      </c>
      <c r="K48" s="1886" t="s">
        <v>1525</v>
      </c>
      <c r="L48" s="1887">
        <f ca="1">INDIRECT("'数据-取费表'!f"&amp;$G$1)</f>
        <v>50</v>
      </c>
      <c r="O48" s="1881" t="s">
        <v>1037</v>
      </c>
      <c r="P48" s="1882" t="s">
        <v>1526</v>
      </c>
      <c r="Q48" s="1883">
        <f ca="1">J60</f>
        <v>0</v>
      </c>
      <c r="R48" s="1883" t="s">
        <v>1527</v>
      </c>
    </row>
    <row r="49" spans="1:18" s="1839" customFormat="1" ht="13.8" thickBot="1">
      <c r="A49" s="1191" t="s">
        <v>1132</v>
      </c>
      <c r="B49" s="1826" t="s">
        <v>1484</v>
      </c>
      <c r="C49" s="1361">
        <f ca="1">ROUND(F49*F51*F50*(1-F52)/10000,0)</f>
        <v>0</v>
      </c>
      <c r="D49" s="1273" t="s">
        <v>3028</v>
      </c>
      <c r="E49" s="1827" t="s">
        <v>1485</v>
      </c>
      <c r="F49" s="1278"/>
      <c r="G49" s="1888"/>
      <c r="H49" s="790"/>
      <c r="I49" s="1884" t="s">
        <v>1528</v>
      </c>
      <c r="J49" s="1889"/>
      <c r="K49" s="1886" t="s">
        <v>1529</v>
      </c>
      <c r="L49" s="1890"/>
      <c r="O49" s="1891" t="s">
        <v>1038</v>
      </c>
      <c r="P49" s="1882" t="s">
        <v>1530</v>
      </c>
      <c r="Q49" s="1883">
        <f ca="1">C29</f>
        <v>44</v>
      </c>
      <c r="R49" s="1883" t="s">
        <v>1523</v>
      </c>
    </row>
    <row r="50" spans="1:18" s="1839" customFormat="1" ht="13.8" thickBot="1">
      <c r="A50" s="1192"/>
      <c r="B50" s="1195"/>
      <c r="C50" s="1365"/>
      <c r="D50" s="1169"/>
      <c r="E50" s="1274" t="s">
        <v>1400</v>
      </c>
      <c r="F50" s="1275">
        <f ca="1">F7</f>
        <v>55.46</v>
      </c>
      <c r="H50" s="790"/>
      <c r="I50" s="1884" t="s">
        <v>1531</v>
      </c>
      <c r="J50" s="1892">
        <f>SUMPRODUCT((I63:I65=J47)*(J62:L62=J48)*(J63:L65))</f>
        <v>60</v>
      </c>
      <c r="K50" s="1886" t="s">
        <v>1532</v>
      </c>
      <c r="L50" s="1890"/>
      <c r="M50" s="1893"/>
      <c r="O50" s="1891" t="s">
        <v>1039</v>
      </c>
      <c r="P50" s="1882" t="s">
        <v>1533</v>
      </c>
      <c r="Q50" s="1894">
        <f ca="1">J58</f>
        <v>0.4</v>
      </c>
      <c r="R50" s="1883"/>
    </row>
    <row r="51" spans="1:18" s="1839" customFormat="1" ht="13.8" thickBot="1">
      <c r="A51" s="1193"/>
      <c r="B51" s="1195"/>
      <c r="C51" s="1196"/>
      <c r="D51" s="1169"/>
      <c r="E51" s="1197" t="s">
        <v>1401</v>
      </c>
      <c r="F51" s="347">
        <f ca="1">F8</f>
        <v>365</v>
      </c>
      <c r="I51" s="1895" t="s">
        <v>1534</v>
      </c>
      <c r="J51" s="1896">
        <f>IF(J49="",J50,J49+J50-YEAR('数据-取费表'!B2))</f>
        <v>60</v>
      </c>
      <c r="K51" s="1897" t="s">
        <v>1535</v>
      </c>
      <c r="L51" s="1898">
        <f ca="1">ROUND(-PV(INDIRECT("'数据-取费表'!h"&amp;$G$1),L48,(C39-C13*C76),0),0)</f>
        <v>128</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50</v>
      </c>
      <c r="R52" s="1883" t="s">
        <v>1540</v>
      </c>
    </row>
    <row r="53" spans="1:18" s="1839" customFormat="1" ht="36.6" thickBot="1">
      <c r="A53" s="1402" t="s">
        <v>1133</v>
      </c>
      <c r="B53" s="1828" t="s">
        <v>1403</v>
      </c>
      <c r="C53" s="360">
        <f ca="1">ROUND(IF(F53="押一",C49/12*F11,IF(F53="押二",C49/12*2*F11,IF(F53="押三",C49/12*3*F11,C54*F11))),0)</f>
        <v>0</v>
      </c>
      <c r="D53" s="1821" t="s">
        <v>3037</v>
      </c>
      <c r="E53" s="357" t="s">
        <v>1404</v>
      </c>
      <c r="F53" s="1363"/>
      <c r="I53" s="1902" t="s">
        <v>1541</v>
      </c>
      <c r="J53" s="2949">
        <f ca="1">IF(M47="住宅",IF(D1="——",MAX(J51,L48),MAX(J51,L48-'数据-取费表'!B24)),IF(D1="——",MIN(J51,L48),MIN(J51,L48-'数据-取费表'!B24)))</f>
        <v>50</v>
      </c>
      <c r="K53" s="3300" t="s">
        <v>1542</v>
      </c>
      <c r="L53" s="3301"/>
      <c r="O53" s="1881" t="s">
        <v>1042</v>
      </c>
      <c r="P53" s="1882" t="s">
        <v>1543</v>
      </c>
      <c r="Q53" s="1883">
        <f ca="1">Q47+Q48</f>
        <v>276</v>
      </c>
      <c r="R53" s="1883" t="s">
        <v>1043</v>
      </c>
    </row>
    <row r="54" spans="1:18" s="1839" customFormat="1" ht="24.6" thickBot="1">
      <c r="A54" s="1403"/>
      <c r="B54" s="1822" t="s">
        <v>1382</v>
      </c>
      <c r="C54" s="1175"/>
      <c r="D54" s="1821"/>
      <c r="E54" s="296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2960"/>
      <c r="F55" s="1903"/>
      <c r="I55" s="1906" t="s">
        <v>1545</v>
      </c>
      <c r="J55" s="1907">
        <f ca="1">ROUND(IF(J47="钢混",J57/J50,1-(1-2%)*(J50-J57)/J50),3)</f>
        <v>0.16700000000000001</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5">
        <f ca="1">C13</f>
        <v>35</v>
      </c>
      <c r="D56" s="1910"/>
      <c r="E56" s="1911"/>
      <c r="F56" s="1903"/>
      <c r="I56" s="1912" t="s">
        <v>1548</v>
      </c>
      <c r="J56" s="1913" t="s">
        <v>3101</v>
      </c>
      <c r="K56" s="1884" t="s">
        <v>1549</v>
      </c>
      <c r="L56" s="1887" t="str">
        <f ca="1">IF(L48&lt;J51,"——",L48-J53)</f>
        <v>——</v>
      </c>
      <c r="O56" s="1881" t="s">
        <v>1036</v>
      </c>
      <c r="P56" s="1882" t="s">
        <v>1522</v>
      </c>
      <c r="Q56" s="1883">
        <f ca="1">C40+J29</f>
        <v>276</v>
      </c>
      <c r="R56" s="1883" t="s">
        <v>1523</v>
      </c>
    </row>
    <row r="57" spans="1:18" s="1839" customFormat="1" ht="24.6" thickBot="1">
      <c r="A57" s="1914"/>
      <c r="B57" s="1166" t="s">
        <v>1472</v>
      </c>
      <c r="C57" s="281">
        <f ca="1">C29</f>
        <v>44</v>
      </c>
      <c r="D57" s="1915"/>
      <c r="E57" s="1916"/>
      <c r="F57" s="1917"/>
      <c r="I57" s="1918" t="s">
        <v>1550</v>
      </c>
      <c r="J57" s="1919">
        <f ca="1">IF(OR(M47="住宅",J51&lt;L48,J56="是"),"——",J51-L48)</f>
        <v>10</v>
      </c>
      <c r="K57" s="1884" t="s">
        <v>1551</v>
      </c>
      <c r="L57" s="1887" t="str">
        <f ca="1">IF(L48&lt;J51,"——",IF(L55="比较法",L49,IF(L55="基准地价",L50,L51)))</f>
        <v>——</v>
      </c>
      <c r="O57" s="1881" t="s">
        <v>1037</v>
      </c>
      <c r="P57" s="1882" t="s">
        <v>1552</v>
      </c>
      <c r="Q57" s="1883">
        <f ca="1">L60</f>
        <v>0</v>
      </c>
      <c r="R57" s="1883" t="s">
        <v>1553</v>
      </c>
    </row>
    <row r="58" spans="1:18" s="1839" customFormat="1" ht="24.6" thickBot="1">
      <c r="A58" s="359" t="s">
        <v>1026</v>
      </c>
      <c r="B58" s="1174" t="s">
        <v>1418</v>
      </c>
      <c r="C58" s="360">
        <f ca="1">ROUND(C59+C64+C65+C66,0)</f>
        <v>7</v>
      </c>
      <c r="D58" s="1176" t="s">
        <v>1419</v>
      </c>
      <c r="E58" s="1177"/>
      <c r="F58" s="1178"/>
      <c r="I58" s="1918" t="s">
        <v>1554</v>
      </c>
      <c r="J58" s="1920">
        <f ca="1">IF(J55&lt;0.4,0.4,J55)</f>
        <v>0.4</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6.1</v>
      </c>
      <c r="D59" s="1179" t="s">
        <v>1424</v>
      </c>
      <c r="E59" s="1180" t="s">
        <v>1425</v>
      </c>
      <c r="F59" s="367">
        <f ca="1">IF(项目基本情况!B11="企业","",IF(INDIRECT("'数据-取费表'!c"&amp;$G$1)="住宅",5%,IF(F49*F50*F51/12/(1+'数据-取费表'!C42)&gt;20000,12%,7%)))</f>
        <v>7.0000000000000007E-2</v>
      </c>
      <c r="I59" s="1918" t="s">
        <v>1557</v>
      </c>
      <c r="J59" s="1919">
        <f ca="1">IF(OR(M47="住宅",J51&lt;L48,J56="是"),"——",ROUND(C29*J58,0))</f>
        <v>18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6">
        <f t="shared" ref="F60:F66" si="0">F32</f>
        <v>5.6000000000000001E-2</v>
      </c>
      <c r="I60" s="1921" t="s">
        <v>1559</v>
      </c>
      <c r="J60" s="1922">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1431</v>
      </c>
      <c r="C61" s="24">
        <f ca="1">IF(项目基本情况!B11="自然人","——",IF(D61="按租金收入计税",ROUND(C48*F61,2),IF(D61="按房产原值计税",ROUND(C57*F61*0.7,2),INDIRECT("'数据-取费表'!Aj"&amp;$G$1))))</f>
        <v>3.7</v>
      </c>
      <c r="D61" s="1825" t="s">
        <v>1432</v>
      </c>
      <c r="E61" s="1166" t="s">
        <v>1416</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1435</v>
      </c>
      <c r="C62" s="25">
        <f ca="1">IF(项目基本情况!B11="自然人","——",ROUND(F62*F63/10000,2))</f>
        <v>2.42</v>
      </c>
      <c r="D62" s="1181" t="s">
        <v>1436</v>
      </c>
      <c r="E62" s="1166" t="s">
        <v>1437</v>
      </c>
      <c r="F62" s="370">
        <f t="shared" si="0"/>
        <v>15</v>
      </c>
      <c r="I62" s="1925" t="s">
        <v>1564</v>
      </c>
      <c r="J62" s="1926" t="s">
        <v>1565</v>
      </c>
      <c r="K62" s="1926" t="s">
        <v>1566</v>
      </c>
      <c r="L62" s="1926" t="s">
        <v>1567</v>
      </c>
      <c r="M62" s="1927" t="s">
        <v>1568</v>
      </c>
      <c r="O62" s="1881" t="s">
        <v>1042</v>
      </c>
      <c r="P62" s="1882" t="s">
        <v>1543</v>
      </c>
      <c r="Q62" s="1883">
        <f ca="1">Q56+Q57</f>
        <v>276</v>
      </c>
      <c r="R62" s="1883" t="s">
        <v>1043</v>
      </c>
    </row>
    <row r="63" spans="1:18" s="1839" customFormat="1" ht="13.8" thickBot="1">
      <c r="A63" s="371"/>
      <c r="B63" s="1172"/>
      <c r="C63" s="29"/>
      <c r="D63" s="1182"/>
      <c r="E63" s="1166" t="s">
        <v>1441</v>
      </c>
      <c r="F63" s="347">
        <f t="shared" ca="1" si="0"/>
        <v>1616.12</v>
      </c>
      <c r="I63" s="1925" t="s">
        <v>1570</v>
      </c>
      <c r="J63" s="1926">
        <v>70</v>
      </c>
      <c r="K63" s="1926">
        <v>50</v>
      </c>
      <c r="L63" s="1926">
        <v>80</v>
      </c>
      <c r="M63" s="1928">
        <v>0.02</v>
      </c>
      <c r="O63" s="1866" t="s">
        <v>1571</v>
      </c>
      <c r="P63" s="1836"/>
      <c r="Q63" s="1836"/>
      <c r="R63" s="1836"/>
    </row>
    <row r="64" spans="1:18" s="1839" customFormat="1" ht="13.8" thickBot="1">
      <c r="A64" s="1198" t="s">
        <v>1035</v>
      </c>
      <c r="B64" s="1166" t="s">
        <v>1443</v>
      </c>
      <c r="C64" s="24">
        <f ca="1">ROUND(C57*F64,1)</f>
        <v>0.9</v>
      </c>
      <c r="D64" s="1180" t="s">
        <v>1476</v>
      </c>
      <c r="E64" s="1166" t="s">
        <v>1416</v>
      </c>
      <c r="F64" s="373">
        <f t="shared" ca="1" si="0"/>
        <v>0.02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0.1</v>
      </c>
      <c r="D65" s="1180" t="s">
        <v>1448</v>
      </c>
      <c r="E65" s="1166" t="s">
        <v>1416</v>
      </c>
      <c r="F65" s="375">
        <f t="shared" ca="1" si="0"/>
        <v>2E-3</v>
      </c>
      <c r="I65" s="1925" t="s">
        <v>1573</v>
      </c>
      <c r="J65" s="1926">
        <v>40</v>
      </c>
      <c r="K65" s="1926">
        <v>30</v>
      </c>
      <c r="L65" s="1926">
        <v>50</v>
      </c>
      <c r="M65" s="1928">
        <v>0.02</v>
      </c>
      <c r="O65" s="1881" t="s">
        <v>1036</v>
      </c>
      <c r="P65" s="1882" t="s">
        <v>1522</v>
      </c>
      <c r="Q65" s="1883">
        <f ca="1">C40+J29</f>
        <v>276</v>
      </c>
      <c r="R65" s="1883" t="s">
        <v>1523</v>
      </c>
    </row>
    <row r="66" spans="1:18" s="1839" customFormat="1" ht="16.2" thickBot="1">
      <c r="A66" s="1198" t="s">
        <v>1498</v>
      </c>
      <c r="B66" s="1166" t="s">
        <v>1433</v>
      </c>
      <c r="C66" s="24">
        <f ca="1">ROUND(C48*F66,1)</f>
        <v>0</v>
      </c>
      <c r="D66" s="1180" t="s">
        <v>1453</v>
      </c>
      <c r="E66" s="1166" t="s">
        <v>1416</v>
      </c>
      <c r="F66" s="356">
        <f t="shared" ca="1" si="0"/>
        <v>0.02</v>
      </c>
      <c r="O66" s="1881" t="s">
        <v>1037</v>
      </c>
      <c r="P66" s="1882" t="s">
        <v>1552</v>
      </c>
      <c r="Q66" s="1883">
        <f ca="1">L60</f>
        <v>0</v>
      </c>
      <c r="R66" s="1883" t="s">
        <v>1575</v>
      </c>
    </row>
    <row r="67" spans="1:18" s="1839" customFormat="1" ht="24.6" thickBot="1">
      <c r="A67" s="1173" t="s">
        <v>1027</v>
      </c>
      <c r="B67" s="1183" t="s">
        <v>1457</v>
      </c>
      <c r="C67" s="360">
        <f ca="1">C48-C58</f>
        <v>-7</v>
      </c>
      <c r="D67" s="1179" t="s">
        <v>1458</v>
      </c>
      <c r="E67" s="1184"/>
      <c r="F67" s="1185"/>
      <c r="O67" s="1891" t="s">
        <v>1038</v>
      </c>
      <c r="P67" s="1882" t="s">
        <v>1556</v>
      </c>
      <c r="Q67" s="1929">
        <f ca="1">L51</f>
        <v>128</v>
      </c>
      <c r="R67" s="1883" t="s">
        <v>1576</v>
      </c>
    </row>
    <row r="68" spans="1:18" s="1839" customFormat="1" ht="16.2" thickBot="1">
      <c r="A68" s="1163" t="s">
        <v>1028</v>
      </c>
      <c r="B68" s="1164" t="s">
        <v>1479</v>
      </c>
      <c r="C68" s="345">
        <f ca="1">ROUND(C67*(1-((1+F70)/(1+F68))^F69)/(F68-F70),0)</f>
        <v>-118</v>
      </c>
      <c r="D68" s="1181" t="s">
        <v>1463</v>
      </c>
      <c r="E68" s="1166" t="s">
        <v>1464</v>
      </c>
      <c r="F68" s="356">
        <f ca="1">F40</f>
        <v>5.5E-2</v>
      </c>
      <c r="O68" s="1891" t="s">
        <v>1039</v>
      </c>
      <c r="P68" s="1930" t="s">
        <v>1577</v>
      </c>
      <c r="Q68" s="1883">
        <f ca="1">ROUND(Q69-Q70*Q71,0)</f>
        <v>7</v>
      </c>
      <c r="R68" s="1883" t="s">
        <v>1047</v>
      </c>
    </row>
    <row r="69" spans="1:18" s="1839" customFormat="1" ht="13.8" thickBot="1">
      <c r="A69" s="1167"/>
      <c r="B69" s="1168"/>
      <c r="C69" s="350"/>
      <c r="D69" s="1186" t="s">
        <v>1467</v>
      </c>
      <c r="E69" s="1166" t="s">
        <v>1468</v>
      </c>
      <c r="F69" s="378">
        <f ca="1">F41</f>
        <v>49</v>
      </c>
      <c r="O69" s="1891" t="s">
        <v>1044</v>
      </c>
      <c r="P69" s="1930" t="s">
        <v>1578</v>
      </c>
      <c r="Q69" s="1883">
        <f ca="1">C39</f>
        <v>10</v>
      </c>
      <c r="R69" s="1883" t="s">
        <v>1523</v>
      </c>
    </row>
    <row r="70" spans="1:18" s="1839" customFormat="1" ht="13.8" thickBot="1">
      <c r="A70" s="1170"/>
      <c r="B70" s="1171"/>
      <c r="C70" s="354"/>
      <c r="D70" s="1182"/>
      <c r="E70" s="1166" t="s">
        <v>1471</v>
      </c>
      <c r="F70" s="1272"/>
      <c r="O70" s="1891" t="s">
        <v>1045</v>
      </c>
      <c r="P70" s="1930" t="s">
        <v>1579</v>
      </c>
      <c r="Q70" s="1883">
        <f ca="1">C13</f>
        <v>35</v>
      </c>
      <c r="R70" s="1883" t="s">
        <v>1523</v>
      </c>
    </row>
    <row r="71" spans="1:18" s="1839" customFormat="1" ht="13.8" thickBot="1">
      <c r="A71" s="1187" t="s">
        <v>1029</v>
      </c>
      <c r="B71" s="1188" t="s">
        <v>1481</v>
      </c>
      <c r="C71" s="381">
        <f ca="1">ROUND(C68*10000/F71,0)</f>
        <v>-21277</v>
      </c>
      <c r="D71" s="1189" t="s">
        <v>1482</v>
      </c>
      <c r="E71" s="1190" t="s">
        <v>1483</v>
      </c>
      <c r="F71" s="384">
        <f ca="1">F43</f>
        <v>55.46</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3</v>
      </c>
      <c r="D75" s="1839"/>
      <c r="E75" s="1839"/>
      <c r="F75" s="1839"/>
      <c r="K75" s="1865"/>
      <c r="L75" s="1839"/>
      <c r="O75" s="1881" t="s">
        <v>1042</v>
      </c>
      <c r="P75" s="1882" t="s">
        <v>1543</v>
      </c>
      <c r="Q75" s="1883">
        <f ca="1">Q65+Q66</f>
        <v>276</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0.7</v>
      </c>
    </row>
    <row r="80" spans="1:18">
      <c r="B80" s="385" t="s">
        <v>1505</v>
      </c>
      <c r="C80" s="317">
        <f ca="1">ROUND(C75/C39,3)</f>
        <v>0.3</v>
      </c>
    </row>
    <row r="81" spans="2:3">
      <c r="B81" s="313" t="s">
        <v>1506</v>
      </c>
      <c r="C81" s="281"/>
    </row>
    <row r="82" spans="2:3">
      <c r="B82" s="316" t="s">
        <v>1507</v>
      </c>
      <c r="C82" s="318">
        <f ca="1">1-C83</f>
        <v>0.873</v>
      </c>
    </row>
    <row r="83" spans="2:3">
      <c r="B83" s="316" t="s">
        <v>1508</v>
      </c>
      <c r="C83" s="317">
        <f ca="1">ROUND(C13/C40,3)</f>
        <v>0.127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4" activePane="bottomLeft" state="frozen"/>
      <selection activeCell="C50" sqref="C50"/>
      <selection pane="bottomLeft" activeCell="R33" sqref="R3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2"/>
    <col min="46" max="16384" width="9" style="138"/>
  </cols>
  <sheetData>
    <row r="1" spans="1:45" ht="14.25" customHeight="1" thickBot="1">
      <c r="A1" s="154"/>
      <c r="B1" s="1201" t="s">
        <v>3004</v>
      </c>
      <c r="C1" s="3302" t="s">
        <v>3005</v>
      </c>
      <c r="D1" s="3303"/>
      <c r="E1" s="3303"/>
      <c r="F1" s="3303"/>
      <c r="G1" s="3303"/>
      <c r="H1" s="3303"/>
      <c r="I1" s="3303"/>
      <c r="J1" s="3303"/>
      <c r="K1" s="3303"/>
      <c r="L1" s="3303"/>
      <c r="M1" s="3303"/>
      <c r="N1" s="3303"/>
      <c r="O1" s="3303"/>
      <c r="P1" s="3303"/>
      <c r="Q1" s="3303"/>
      <c r="R1" s="3303"/>
      <c r="S1" s="3304"/>
      <c r="T1" s="1201" t="s">
        <v>3006</v>
      </c>
    </row>
    <row r="2" spans="1:45" s="705" customFormat="1" ht="39.6">
      <c r="A2" s="1202"/>
      <c r="B2" s="701" t="s">
        <v>3007</v>
      </c>
      <c r="C2" s="702" t="str">
        <f t="shared" ref="C2:L2" si="0">C3&amp;"(含)"&amp;"-"&amp;D3</f>
        <v>0(含)-50</v>
      </c>
      <c r="D2" s="703" t="str">
        <f t="shared" si="0"/>
        <v>50(含)-100</v>
      </c>
      <c r="E2" s="703" t="str">
        <f t="shared" si="0"/>
        <v>100(含)-150</v>
      </c>
      <c r="F2" s="703" t="str">
        <f t="shared" si="0"/>
        <v>150(含)-200</v>
      </c>
      <c r="G2" s="703" t="str">
        <f t="shared" si="0"/>
        <v>200(含)-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50</v>
      </c>
      <c r="E3" s="708">
        <v>100</v>
      </c>
      <c r="F3" s="1701">
        <v>150</v>
      </c>
      <c r="G3" s="1701">
        <v>200</v>
      </c>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98</v>
      </c>
      <c r="E4" s="1208">
        <v>96</v>
      </c>
      <c r="F4" s="1705">
        <v>94</v>
      </c>
      <c r="G4" s="1705">
        <v>92</v>
      </c>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6" t="s">
        <v>3008</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3009</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3010</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3011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3012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3013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3014</v>
      </c>
      <c r="B17" s="2908"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9" t="s">
        <v>3016</v>
      </c>
      <c r="E19" s="1789"/>
      <c r="F19" s="1789"/>
      <c r="G19" s="1789"/>
      <c r="H19" s="1277"/>
      <c r="I19" s="167"/>
      <c r="J19" s="167"/>
      <c r="K19" s="167"/>
      <c r="L19" s="167"/>
      <c r="M19" s="167"/>
      <c r="N19" s="167"/>
      <c r="O19" s="167"/>
      <c r="P19" s="167"/>
      <c r="Q19" s="167"/>
      <c r="R19" s="785"/>
      <c r="S19" s="137"/>
    </row>
    <row r="20" spans="1:45" ht="16.2" thickBot="1">
      <c r="A20" s="713" t="s">
        <v>3017</v>
      </c>
      <c r="B20" s="337">
        <f ca="1">IF(D20="——",S22,S22-F20)</f>
        <v>103734</v>
      </c>
      <c r="C20" s="167"/>
      <c r="D20" s="2910" t="s">
        <v>70</v>
      </c>
      <c r="E20" s="1790"/>
      <c r="F20" s="1201" t="e">
        <f ca="1">SUMIF(INDIRECT("'"&amp;H20&amp;"'"&amp;"!A:A"),"承租人权益价值",INDIRECT("'"&amp;H20&amp;"'"&amp;"!c:c"))</f>
        <v>#REF!</v>
      </c>
      <c r="G20" s="1201" t="s">
        <v>3018</v>
      </c>
      <c r="H20" s="2911"/>
      <c r="I20" s="167"/>
      <c r="J20" s="167"/>
      <c r="K20" s="167"/>
      <c r="L20" s="167"/>
      <c r="M20" s="167"/>
      <c r="N20" s="167"/>
      <c r="O20" s="167"/>
      <c r="P20" s="167"/>
      <c r="Q20" s="167"/>
      <c r="R20" s="785"/>
      <c r="S20" s="137"/>
    </row>
    <row r="21" spans="1:45" ht="15.6">
      <c r="A21" s="713" t="s">
        <v>3019</v>
      </c>
      <c r="B21" s="337">
        <f ca="1">R22</f>
        <v>72226</v>
      </c>
      <c r="C21" s="167"/>
      <c r="D21" s="167"/>
      <c r="E21" s="167"/>
      <c r="F21" s="167"/>
      <c r="G21" s="167"/>
      <c r="H21" s="167"/>
      <c r="I21" s="167"/>
      <c r="J21" s="167"/>
      <c r="K21" s="167"/>
      <c r="L21" s="167"/>
      <c r="M21" s="167"/>
      <c r="N21" s="167"/>
      <c r="O21" s="167"/>
      <c r="P21" s="167"/>
      <c r="Q21" s="167"/>
      <c r="R21" s="785"/>
      <c r="S21" s="137"/>
    </row>
    <row r="22" spans="1:45">
      <c r="A22" s="360" t="s">
        <v>3020</v>
      </c>
      <c r="B22" s="24">
        <f>SUM(B24:B10000)</f>
        <v>14362.359999999961</v>
      </c>
      <c r="C22" s="3215" t="s">
        <v>33</v>
      </c>
      <c r="D22" s="3216"/>
      <c r="E22" s="3216"/>
      <c r="F22" s="3216"/>
      <c r="G22" s="3216"/>
      <c r="H22" s="3216"/>
      <c r="I22" s="3216"/>
      <c r="J22" s="3216"/>
      <c r="K22" s="3216"/>
      <c r="L22" s="3216"/>
      <c r="M22" s="3216"/>
      <c r="N22" s="3216"/>
      <c r="O22" s="3216"/>
      <c r="P22" s="3216"/>
      <c r="Q22" s="3305"/>
      <c r="R22" s="714">
        <f ca="1">ROUND(S22*10000/B22,0)</f>
        <v>72226</v>
      </c>
      <c r="S22" s="24">
        <f ca="1">SUM(S24:S10000)</f>
        <v>103734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v>301</v>
      </c>
      <c r="B24" s="716">
        <f>'数据-基础表'!I13</f>
        <v>55.46</v>
      </c>
      <c r="C24" s="717">
        <v>1</v>
      </c>
      <c r="D24" s="718"/>
      <c r="E24" s="717">
        <v>1</v>
      </c>
      <c r="F24" s="718"/>
      <c r="G24" s="717">
        <v>1</v>
      </c>
      <c r="H24" s="718"/>
      <c r="I24" s="717">
        <v>1</v>
      </c>
      <c r="J24" s="718"/>
      <c r="K24" s="717">
        <v>1</v>
      </c>
      <c r="L24" s="718"/>
      <c r="M24" s="717">
        <v>1</v>
      </c>
      <c r="N24" s="718"/>
      <c r="O24" s="717">
        <v>1</v>
      </c>
      <c r="P24" s="718"/>
      <c r="Q24" s="717">
        <v>1</v>
      </c>
      <c r="R24" s="719">
        <f ca="1">'结果表 (办公)'!G20</f>
        <v>72502</v>
      </c>
      <c r="S24" s="717">
        <f t="shared" ref="S24:S54" ca="1" si="11">ROUND(R24*B24/10000,0)</f>
        <v>402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302</v>
      </c>
      <c r="B25" s="59">
        <v>53.04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72502</v>
      </c>
      <c r="S25" s="360">
        <f t="shared" ca="1" si="11"/>
        <v>385</v>
      </c>
    </row>
    <row r="26" spans="1:45">
      <c r="A26" s="158">
        <v>303</v>
      </c>
      <c r="B26" s="59">
        <v>63.92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72502</v>
      </c>
      <c r="S26" s="360">
        <f t="shared" ca="1" si="11"/>
        <v>463</v>
      </c>
    </row>
    <row r="27" spans="1:45">
      <c r="A27" s="158">
        <v>305</v>
      </c>
      <c r="B27" s="59">
        <v>63.71</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72502</v>
      </c>
      <c r="S27" s="360">
        <f t="shared" ca="1" si="11"/>
        <v>462</v>
      </c>
    </row>
    <row r="28" spans="1:45">
      <c r="A28" s="158">
        <v>306</v>
      </c>
      <c r="B28" s="59">
        <v>64.39</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72502</v>
      </c>
      <c r="S28" s="360">
        <f t="shared" ca="1" si="11"/>
        <v>467</v>
      </c>
    </row>
    <row r="29" spans="1:45">
      <c r="A29" s="158">
        <v>307</v>
      </c>
      <c r="B29" s="59">
        <v>102.3</v>
      </c>
      <c r="C29" s="24">
        <f t="shared" si="12"/>
        <v>0.98</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71052</v>
      </c>
      <c r="S29" s="360">
        <f t="shared" ca="1" si="11"/>
        <v>727</v>
      </c>
    </row>
    <row r="30" spans="1:45">
      <c r="A30" s="158">
        <v>308</v>
      </c>
      <c r="B30" s="59">
        <v>62.25</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72502</v>
      </c>
      <c r="S30" s="360">
        <f t="shared" ca="1" si="11"/>
        <v>451</v>
      </c>
    </row>
    <row r="31" spans="1:45">
      <c r="A31" s="158">
        <v>501</v>
      </c>
      <c r="B31" s="59">
        <v>55.46</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72502</v>
      </c>
      <c r="S31" s="360">
        <f t="shared" ca="1" si="11"/>
        <v>402</v>
      </c>
    </row>
    <row r="32" spans="1:45">
      <c r="A32" s="158">
        <v>502</v>
      </c>
      <c r="B32" s="59">
        <v>53.04</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72502</v>
      </c>
      <c r="S32" s="360">
        <f t="shared" ca="1" si="11"/>
        <v>385</v>
      </c>
    </row>
    <row r="33" spans="1:19">
      <c r="A33" s="158">
        <v>503</v>
      </c>
      <c r="B33" s="59">
        <v>63.92</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72502</v>
      </c>
      <c r="S33" s="360">
        <f t="shared" ca="1" si="11"/>
        <v>463</v>
      </c>
    </row>
    <row r="34" spans="1:19">
      <c r="A34" s="158">
        <v>505</v>
      </c>
      <c r="B34" s="59">
        <v>63.71</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72502</v>
      </c>
      <c r="S34" s="360">
        <f t="shared" ca="1" si="11"/>
        <v>462</v>
      </c>
    </row>
    <row r="35" spans="1:19">
      <c r="A35" s="158">
        <v>506</v>
      </c>
      <c r="B35" s="59">
        <v>64.39</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72502</v>
      </c>
      <c r="S35" s="360">
        <f t="shared" ca="1" si="11"/>
        <v>467</v>
      </c>
    </row>
    <row r="36" spans="1:19">
      <c r="A36" s="158">
        <v>507</v>
      </c>
      <c r="B36" s="59">
        <v>102.3</v>
      </c>
      <c r="C36" s="24">
        <f t="shared" si="12"/>
        <v>0.98</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71052</v>
      </c>
      <c r="S36" s="360">
        <f t="shared" ca="1" si="11"/>
        <v>727</v>
      </c>
    </row>
    <row r="37" spans="1:19">
      <c r="A37" s="158">
        <v>508</v>
      </c>
      <c r="B37" s="59">
        <v>62.25</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72502</v>
      </c>
      <c r="S37" s="360">
        <f t="shared" ca="1" si="11"/>
        <v>451</v>
      </c>
    </row>
    <row r="38" spans="1:19">
      <c r="A38" s="158">
        <v>601</v>
      </c>
      <c r="B38" s="59">
        <v>55.46</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72502</v>
      </c>
      <c r="S38" s="360">
        <f t="shared" ca="1" si="11"/>
        <v>402</v>
      </c>
    </row>
    <row r="39" spans="1:19">
      <c r="A39" s="158">
        <v>602</v>
      </c>
      <c r="B39" s="59">
        <v>53.04</v>
      </c>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72502</v>
      </c>
      <c r="S39" s="360">
        <f t="shared" ca="1" si="11"/>
        <v>385</v>
      </c>
    </row>
    <row r="40" spans="1:19">
      <c r="A40" s="158">
        <v>603</v>
      </c>
      <c r="B40" s="59">
        <v>63.92</v>
      </c>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72502</v>
      </c>
      <c r="S40" s="360">
        <f t="shared" ca="1" si="11"/>
        <v>463</v>
      </c>
    </row>
    <row r="41" spans="1:19">
      <c r="A41" s="158">
        <v>605</v>
      </c>
      <c r="B41" s="59">
        <v>63.71</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72502</v>
      </c>
      <c r="S41" s="360">
        <f t="shared" ca="1" si="11"/>
        <v>462</v>
      </c>
    </row>
    <row r="42" spans="1:19">
      <c r="A42" s="158">
        <v>606</v>
      </c>
      <c r="B42" s="59">
        <v>64.39</v>
      </c>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72502</v>
      </c>
      <c r="S42" s="360">
        <f t="shared" ca="1" si="11"/>
        <v>467</v>
      </c>
    </row>
    <row r="43" spans="1:19">
      <c r="A43" s="158">
        <v>607</v>
      </c>
      <c r="B43" s="59">
        <v>102.3</v>
      </c>
      <c r="C43" s="24">
        <f t="shared" si="12"/>
        <v>0.98</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71052</v>
      </c>
      <c r="S43" s="360">
        <f t="shared" ca="1" si="11"/>
        <v>727</v>
      </c>
    </row>
    <row r="44" spans="1:19">
      <c r="A44" s="158">
        <v>608</v>
      </c>
      <c r="B44" s="59">
        <v>62.25</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72502</v>
      </c>
      <c r="S44" s="360">
        <f t="shared" ca="1" si="11"/>
        <v>451</v>
      </c>
    </row>
    <row r="45" spans="1:19">
      <c r="A45" s="158">
        <v>701</v>
      </c>
      <c r="B45" s="59">
        <v>55.46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72502</v>
      </c>
      <c r="S45" s="360">
        <f t="shared" ca="1" si="11"/>
        <v>402</v>
      </c>
    </row>
    <row r="46" spans="1:19">
      <c r="A46" s="158">
        <v>702</v>
      </c>
      <c r="B46" s="59">
        <v>53.04</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72502</v>
      </c>
      <c r="S46" s="360">
        <f t="shared" ca="1" si="11"/>
        <v>385</v>
      </c>
    </row>
    <row r="47" spans="1:19">
      <c r="A47" s="158">
        <v>703</v>
      </c>
      <c r="B47" s="59">
        <v>63.92</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72502</v>
      </c>
      <c r="S47" s="360">
        <f t="shared" ca="1" si="11"/>
        <v>463</v>
      </c>
    </row>
    <row r="48" spans="1:19">
      <c r="A48" s="158">
        <v>705</v>
      </c>
      <c r="B48" s="59">
        <v>63.71</v>
      </c>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72502</v>
      </c>
      <c r="S48" s="360">
        <f t="shared" ca="1" si="11"/>
        <v>462</v>
      </c>
    </row>
    <row r="49" spans="1:19">
      <c r="A49" s="158">
        <v>706</v>
      </c>
      <c r="B49" s="59">
        <v>64.39</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72502</v>
      </c>
      <c r="S49" s="360">
        <f t="shared" ca="1" si="11"/>
        <v>467</v>
      </c>
    </row>
    <row r="50" spans="1:19">
      <c r="A50" s="158">
        <v>707</v>
      </c>
      <c r="B50" s="59">
        <v>102.3</v>
      </c>
      <c r="C50" s="24">
        <f t="shared" si="12"/>
        <v>0.98</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71052</v>
      </c>
      <c r="S50" s="360">
        <f t="shared" ca="1" si="11"/>
        <v>727</v>
      </c>
    </row>
    <row r="51" spans="1:19">
      <c r="A51" s="158">
        <v>708</v>
      </c>
      <c r="B51" s="59">
        <v>62.25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72502</v>
      </c>
      <c r="S51" s="360">
        <f t="shared" ca="1" si="11"/>
        <v>451</v>
      </c>
    </row>
    <row r="52" spans="1:19">
      <c r="A52" s="158">
        <v>801</v>
      </c>
      <c r="B52" s="59">
        <v>55.46</v>
      </c>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72502</v>
      </c>
      <c r="S52" s="360">
        <f t="shared" ca="1" si="11"/>
        <v>402</v>
      </c>
    </row>
    <row r="53" spans="1:19">
      <c r="A53" s="158">
        <v>802</v>
      </c>
      <c r="B53" s="59">
        <v>53.04</v>
      </c>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72502</v>
      </c>
      <c r="S53" s="360">
        <f t="shared" ca="1" si="11"/>
        <v>385</v>
      </c>
    </row>
    <row r="54" spans="1:19">
      <c r="A54" s="158">
        <v>803</v>
      </c>
      <c r="B54" s="59">
        <v>63.92</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72502</v>
      </c>
      <c r="S54" s="360">
        <f t="shared" ca="1" si="11"/>
        <v>463</v>
      </c>
    </row>
    <row r="55" spans="1:19">
      <c r="A55" s="158">
        <v>805</v>
      </c>
      <c r="B55" s="59">
        <v>63.71</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72502</v>
      </c>
      <c r="S55" s="360">
        <f t="shared" ref="S55:S77" ca="1" si="21">ROUND(R55*B55/10000,0)</f>
        <v>462</v>
      </c>
    </row>
    <row r="56" spans="1:19">
      <c r="A56" s="158">
        <v>806</v>
      </c>
      <c r="B56" s="59">
        <v>64.39</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72502</v>
      </c>
      <c r="S56" s="360">
        <f t="shared" ca="1" si="21"/>
        <v>467</v>
      </c>
    </row>
    <row r="57" spans="1:19">
      <c r="A57" s="158">
        <v>807</v>
      </c>
      <c r="B57" s="59">
        <v>102.3</v>
      </c>
      <c r="C57" s="24">
        <f t="shared" si="12"/>
        <v>0.98</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71052</v>
      </c>
      <c r="S57" s="360">
        <f t="shared" ca="1" si="21"/>
        <v>727</v>
      </c>
    </row>
    <row r="58" spans="1:19">
      <c r="A58" s="158">
        <v>808</v>
      </c>
      <c r="B58" s="59">
        <v>62.25</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72502</v>
      </c>
      <c r="S58" s="360">
        <f t="shared" ca="1" si="21"/>
        <v>451</v>
      </c>
    </row>
    <row r="59" spans="1:19">
      <c r="A59" s="158">
        <v>901</v>
      </c>
      <c r="B59" s="59">
        <v>55.46</v>
      </c>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72502</v>
      </c>
      <c r="S59" s="360">
        <f t="shared" ca="1" si="21"/>
        <v>402</v>
      </c>
    </row>
    <row r="60" spans="1:19">
      <c r="A60" s="158">
        <v>902</v>
      </c>
      <c r="B60" s="59">
        <v>53.04</v>
      </c>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72502</v>
      </c>
      <c r="S60" s="360">
        <f t="shared" ca="1" si="21"/>
        <v>385</v>
      </c>
    </row>
    <row r="61" spans="1:19">
      <c r="A61" s="158">
        <v>903</v>
      </c>
      <c r="B61" s="59">
        <v>63.92</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72502</v>
      </c>
      <c r="S61" s="360">
        <f t="shared" ca="1" si="21"/>
        <v>463</v>
      </c>
    </row>
    <row r="62" spans="1:19">
      <c r="A62" s="158">
        <v>905</v>
      </c>
      <c r="B62" s="59">
        <v>63.71</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72502</v>
      </c>
      <c r="S62" s="360">
        <f t="shared" ca="1" si="21"/>
        <v>462</v>
      </c>
    </row>
    <row r="63" spans="1:19">
      <c r="A63" s="158">
        <v>906</v>
      </c>
      <c r="B63" s="59">
        <v>64.39</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72502</v>
      </c>
      <c r="S63" s="360">
        <f t="shared" ca="1" si="21"/>
        <v>467</v>
      </c>
    </row>
    <row r="64" spans="1:19">
      <c r="A64" s="158">
        <v>907</v>
      </c>
      <c r="B64" s="59">
        <v>102.3</v>
      </c>
      <c r="C64" s="24">
        <f t="shared" si="12"/>
        <v>0.98</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71052</v>
      </c>
      <c r="S64" s="360">
        <f t="shared" ca="1" si="21"/>
        <v>727</v>
      </c>
    </row>
    <row r="65" spans="1:19">
      <c r="A65" s="158">
        <v>908</v>
      </c>
      <c r="B65" s="59">
        <v>62.25</v>
      </c>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72502</v>
      </c>
      <c r="S65" s="360">
        <f t="shared" ca="1" si="21"/>
        <v>451</v>
      </c>
    </row>
    <row r="66" spans="1:19">
      <c r="A66" s="158">
        <v>1001</v>
      </c>
      <c r="B66" s="59">
        <v>55.46</v>
      </c>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72502</v>
      </c>
      <c r="S66" s="360">
        <f t="shared" ca="1" si="21"/>
        <v>402</v>
      </c>
    </row>
    <row r="67" spans="1:19">
      <c r="A67" s="158">
        <v>1002</v>
      </c>
      <c r="B67" s="59">
        <v>53.04</v>
      </c>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72502</v>
      </c>
      <c r="S67" s="360">
        <f t="shared" ca="1" si="21"/>
        <v>385</v>
      </c>
    </row>
    <row r="68" spans="1:19">
      <c r="A68" s="158">
        <v>1003</v>
      </c>
      <c r="B68" s="59">
        <v>63.92</v>
      </c>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72502</v>
      </c>
      <c r="S68" s="360">
        <f t="shared" ca="1" si="21"/>
        <v>463</v>
      </c>
    </row>
    <row r="69" spans="1:19">
      <c r="A69" s="158">
        <v>1005</v>
      </c>
      <c r="B69" s="59">
        <v>63.71</v>
      </c>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72502</v>
      </c>
      <c r="S69" s="360">
        <f t="shared" ca="1" si="21"/>
        <v>462</v>
      </c>
    </row>
    <row r="70" spans="1:19">
      <c r="A70" s="158">
        <v>1006</v>
      </c>
      <c r="B70" s="59">
        <v>64.39</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72502</v>
      </c>
      <c r="S70" s="360">
        <f t="shared" ca="1" si="21"/>
        <v>467</v>
      </c>
    </row>
    <row r="71" spans="1:19">
      <c r="A71" s="158">
        <v>1007</v>
      </c>
      <c r="B71" s="59">
        <v>102.3</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71052</v>
      </c>
      <c r="S71" s="360">
        <f t="shared" ca="1" si="21"/>
        <v>727</v>
      </c>
    </row>
    <row r="72" spans="1:19">
      <c r="A72" s="158">
        <v>1008</v>
      </c>
      <c r="B72" s="59">
        <v>62.25</v>
      </c>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72502</v>
      </c>
      <c r="S72" s="360">
        <f t="shared" ca="1" si="21"/>
        <v>451</v>
      </c>
    </row>
    <row r="73" spans="1:19">
      <c r="A73" s="158">
        <v>1101</v>
      </c>
      <c r="B73" s="59">
        <v>55.46</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72502</v>
      </c>
      <c r="S73" s="360">
        <f t="shared" ca="1" si="21"/>
        <v>402</v>
      </c>
    </row>
    <row r="74" spans="1:19">
      <c r="A74" s="158">
        <v>1102</v>
      </c>
      <c r="B74" s="59">
        <v>53.04</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72502</v>
      </c>
      <c r="S74" s="360">
        <f t="shared" ca="1" si="21"/>
        <v>385</v>
      </c>
    </row>
    <row r="75" spans="1:19">
      <c r="A75" s="158">
        <v>1103</v>
      </c>
      <c r="B75" s="59">
        <v>63.92</v>
      </c>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72502</v>
      </c>
      <c r="S75" s="360">
        <f t="shared" ca="1" si="21"/>
        <v>463</v>
      </c>
    </row>
    <row r="76" spans="1:19">
      <c r="A76" s="158">
        <v>1105</v>
      </c>
      <c r="B76" s="59">
        <v>63.71</v>
      </c>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72502</v>
      </c>
      <c r="S76" s="360">
        <f t="shared" ca="1" si="21"/>
        <v>462</v>
      </c>
    </row>
    <row r="77" spans="1:19">
      <c r="A77" s="158">
        <v>1106</v>
      </c>
      <c r="B77" s="59">
        <v>64.39</v>
      </c>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72502</v>
      </c>
      <c r="S77" s="360">
        <f t="shared" ca="1" si="21"/>
        <v>467</v>
      </c>
    </row>
    <row r="78" spans="1:19">
      <c r="A78" s="158">
        <v>1107</v>
      </c>
      <c r="B78" s="59">
        <v>102.3</v>
      </c>
      <c r="C78" s="24">
        <f t="shared" si="12"/>
        <v>0.98</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71052</v>
      </c>
      <c r="S78" s="360">
        <f t="shared" ref="S78:S122" ca="1" si="22">ROUND(R78*B78/10000,0)</f>
        <v>727</v>
      </c>
    </row>
    <row r="79" spans="1:19">
      <c r="A79" s="158">
        <v>1108</v>
      </c>
      <c r="B79" s="59">
        <v>62.25</v>
      </c>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72502</v>
      </c>
      <c r="S79" s="360">
        <f t="shared" ca="1" si="22"/>
        <v>451</v>
      </c>
    </row>
    <row r="80" spans="1:19">
      <c r="A80" s="158">
        <v>1201</v>
      </c>
      <c r="B80" s="59">
        <v>55.46</v>
      </c>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72502</v>
      </c>
      <c r="S80" s="360">
        <f t="shared" ca="1" si="22"/>
        <v>402</v>
      </c>
    </row>
    <row r="81" spans="1:19">
      <c r="A81" s="158">
        <v>1202</v>
      </c>
      <c r="B81" s="59">
        <v>53.04</v>
      </c>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72502</v>
      </c>
      <c r="S81" s="360">
        <f t="shared" ca="1" si="22"/>
        <v>385</v>
      </c>
    </row>
    <row r="82" spans="1:19">
      <c r="A82" s="158">
        <v>1203</v>
      </c>
      <c r="B82" s="59">
        <v>63.92</v>
      </c>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72502</v>
      </c>
      <c r="S82" s="360">
        <f t="shared" ca="1" si="22"/>
        <v>463</v>
      </c>
    </row>
    <row r="83" spans="1:19">
      <c r="A83" s="158">
        <v>1205</v>
      </c>
      <c r="B83" s="59">
        <v>63.71</v>
      </c>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72502</v>
      </c>
      <c r="S83" s="360">
        <f t="shared" ca="1" si="22"/>
        <v>462</v>
      </c>
    </row>
    <row r="84" spans="1:19">
      <c r="A84" s="158">
        <v>1206</v>
      </c>
      <c r="B84" s="59">
        <v>64.39</v>
      </c>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72502</v>
      </c>
      <c r="S84" s="360">
        <f t="shared" ca="1" si="22"/>
        <v>467</v>
      </c>
    </row>
    <row r="85" spans="1:19">
      <c r="A85" s="158">
        <v>1207</v>
      </c>
      <c r="B85" s="59">
        <v>102.3</v>
      </c>
      <c r="C85" s="24">
        <f t="shared" si="12"/>
        <v>0.98</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71052</v>
      </c>
      <c r="S85" s="360">
        <f t="shared" ca="1" si="22"/>
        <v>727</v>
      </c>
    </row>
    <row r="86" spans="1:19">
      <c r="A86" s="158">
        <v>1208</v>
      </c>
      <c r="B86" s="59">
        <v>62.25</v>
      </c>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72502</v>
      </c>
      <c r="S86" s="360">
        <f t="shared" ca="1" si="22"/>
        <v>451</v>
      </c>
    </row>
    <row r="87" spans="1:19">
      <c r="A87" s="158">
        <v>1301</v>
      </c>
      <c r="B87" s="59">
        <v>55.46</v>
      </c>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72502</v>
      </c>
      <c r="S87" s="360">
        <f t="shared" ca="1" si="22"/>
        <v>402</v>
      </c>
    </row>
    <row r="88" spans="1:19">
      <c r="A88" s="158">
        <v>1302</v>
      </c>
      <c r="B88" s="59">
        <v>53.04</v>
      </c>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72502</v>
      </c>
      <c r="S88" s="360">
        <f t="shared" ca="1" si="22"/>
        <v>385</v>
      </c>
    </row>
    <row r="89" spans="1:19">
      <c r="A89" s="158">
        <v>1303</v>
      </c>
      <c r="B89" s="59">
        <v>63.92</v>
      </c>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72502</v>
      </c>
      <c r="S89" s="360">
        <f t="shared" ca="1" si="22"/>
        <v>463</v>
      </c>
    </row>
    <row r="90" spans="1:19">
      <c r="A90" s="158">
        <v>1305</v>
      </c>
      <c r="B90" s="59">
        <v>63.71</v>
      </c>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72502</v>
      </c>
      <c r="S90" s="360">
        <f t="shared" ca="1" si="22"/>
        <v>462</v>
      </c>
    </row>
    <row r="91" spans="1:19">
      <c r="A91" s="158">
        <v>1306</v>
      </c>
      <c r="B91" s="59">
        <v>64.39</v>
      </c>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72502</v>
      </c>
      <c r="S91" s="360">
        <f t="shared" ca="1" si="22"/>
        <v>467</v>
      </c>
    </row>
    <row r="92" spans="1:19">
      <c r="A92" s="158">
        <v>1307</v>
      </c>
      <c r="B92" s="59">
        <v>102.3</v>
      </c>
      <c r="C92" s="24">
        <f t="shared" si="23"/>
        <v>0.98</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71052</v>
      </c>
      <c r="S92" s="360">
        <f t="shared" ca="1" si="22"/>
        <v>727</v>
      </c>
    </row>
    <row r="93" spans="1:19">
      <c r="A93" s="158">
        <v>1308</v>
      </c>
      <c r="B93" s="59">
        <v>62.25</v>
      </c>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72502</v>
      </c>
      <c r="S93" s="360">
        <f t="shared" ca="1" si="22"/>
        <v>451</v>
      </c>
    </row>
    <row r="94" spans="1:19">
      <c r="A94" s="158">
        <v>1501</v>
      </c>
      <c r="B94" s="59">
        <v>55.46</v>
      </c>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72502</v>
      </c>
      <c r="S94" s="360">
        <f t="shared" ca="1" si="22"/>
        <v>402</v>
      </c>
    </row>
    <row r="95" spans="1:19">
      <c r="A95" s="158">
        <v>1502</v>
      </c>
      <c r="B95" s="59">
        <v>53.04</v>
      </c>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72502</v>
      </c>
      <c r="S95" s="360">
        <f t="shared" ca="1" si="22"/>
        <v>385</v>
      </c>
    </row>
    <row r="96" spans="1:19">
      <c r="A96" s="158">
        <v>1503</v>
      </c>
      <c r="B96" s="59">
        <v>63.92</v>
      </c>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72502</v>
      </c>
      <c r="S96" s="360">
        <f t="shared" ca="1" si="22"/>
        <v>463</v>
      </c>
    </row>
    <row r="97" spans="1:19">
      <c r="A97" s="158">
        <v>1505</v>
      </c>
      <c r="B97" s="59">
        <v>63.71</v>
      </c>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72502</v>
      </c>
      <c r="S97" s="360">
        <f t="shared" ca="1" si="22"/>
        <v>462</v>
      </c>
    </row>
    <row r="98" spans="1:19">
      <c r="A98" s="158">
        <v>1506</v>
      </c>
      <c r="B98" s="59">
        <v>64.39</v>
      </c>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72502</v>
      </c>
      <c r="S98" s="360">
        <f t="shared" ca="1" si="22"/>
        <v>467</v>
      </c>
    </row>
    <row r="99" spans="1:19">
      <c r="A99" s="158">
        <v>1507</v>
      </c>
      <c r="B99" s="59">
        <v>102.3</v>
      </c>
      <c r="C99" s="24">
        <f t="shared" si="23"/>
        <v>0.98</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71052</v>
      </c>
      <c r="S99" s="360">
        <f t="shared" ca="1" si="22"/>
        <v>727</v>
      </c>
    </row>
    <row r="100" spans="1:19">
      <c r="A100" s="158">
        <v>1508</v>
      </c>
      <c r="B100" s="59">
        <v>62.25</v>
      </c>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72502</v>
      </c>
      <c r="S100" s="360">
        <f t="shared" ca="1" si="22"/>
        <v>451</v>
      </c>
    </row>
    <row r="101" spans="1:19">
      <c r="A101" s="158">
        <v>1601</v>
      </c>
      <c r="B101" s="59">
        <v>55.46</v>
      </c>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72502</v>
      </c>
      <c r="S101" s="360">
        <f t="shared" ca="1" si="22"/>
        <v>402</v>
      </c>
    </row>
    <row r="102" spans="1:19">
      <c r="A102" s="158">
        <v>1602</v>
      </c>
      <c r="B102" s="59">
        <v>53.04</v>
      </c>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72502</v>
      </c>
      <c r="S102" s="360">
        <f t="shared" ca="1" si="22"/>
        <v>385</v>
      </c>
    </row>
    <row r="103" spans="1:19">
      <c r="A103" s="158">
        <v>1603</v>
      </c>
      <c r="B103" s="59">
        <v>63.92</v>
      </c>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72502</v>
      </c>
      <c r="S103" s="360">
        <f t="shared" ca="1" si="22"/>
        <v>463</v>
      </c>
    </row>
    <row r="104" spans="1:19">
      <c r="A104" s="158">
        <v>1605</v>
      </c>
      <c r="B104" s="59">
        <v>63.71</v>
      </c>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72502</v>
      </c>
      <c r="S104" s="360">
        <f t="shared" ca="1" si="22"/>
        <v>462</v>
      </c>
    </row>
    <row r="105" spans="1:19">
      <c r="A105" s="158">
        <v>1606</v>
      </c>
      <c r="B105" s="59">
        <v>64.39</v>
      </c>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72502</v>
      </c>
      <c r="S105" s="360">
        <f t="shared" ca="1" si="22"/>
        <v>467</v>
      </c>
    </row>
    <row r="106" spans="1:19">
      <c r="A106" s="158">
        <v>1607</v>
      </c>
      <c r="B106" s="59">
        <v>102.3</v>
      </c>
      <c r="C106" s="24">
        <f t="shared" si="23"/>
        <v>0.98</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71052</v>
      </c>
      <c r="S106" s="360">
        <f t="shared" ca="1" si="22"/>
        <v>727</v>
      </c>
    </row>
    <row r="107" spans="1:19">
      <c r="A107" s="158">
        <v>1608</v>
      </c>
      <c r="B107" s="59">
        <v>62.25</v>
      </c>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72502</v>
      </c>
      <c r="S107" s="360">
        <f t="shared" ca="1" si="22"/>
        <v>451</v>
      </c>
    </row>
    <row r="108" spans="1:19">
      <c r="A108" s="158">
        <v>1701</v>
      </c>
      <c r="B108" s="59">
        <v>55.46</v>
      </c>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72502</v>
      </c>
      <c r="S108" s="360">
        <f t="shared" ca="1" si="22"/>
        <v>402</v>
      </c>
    </row>
    <row r="109" spans="1:19">
      <c r="A109" s="158">
        <v>1702</v>
      </c>
      <c r="B109" s="59">
        <v>53.04</v>
      </c>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72502</v>
      </c>
      <c r="S109" s="360">
        <f t="shared" ca="1" si="22"/>
        <v>385</v>
      </c>
    </row>
    <row r="110" spans="1:19">
      <c r="A110" s="158">
        <v>1703</v>
      </c>
      <c r="B110" s="59">
        <v>63.92</v>
      </c>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72502</v>
      </c>
      <c r="S110" s="360">
        <f t="shared" ca="1" si="22"/>
        <v>463</v>
      </c>
    </row>
    <row r="111" spans="1:19">
      <c r="A111" s="158">
        <v>1705</v>
      </c>
      <c r="B111" s="59">
        <v>63.71</v>
      </c>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72502</v>
      </c>
      <c r="S111" s="360">
        <f t="shared" ca="1" si="22"/>
        <v>462</v>
      </c>
    </row>
    <row r="112" spans="1:19">
      <c r="A112" s="158">
        <v>1706</v>
      </c>
      <c r="B112" s="59">
        <v>64.39</v>
      </c>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72502</v>
      </c>
      <c r="S112" s="360">
        <f t="shared" ca="1" si="22"/>
        <v>467</v>
      </c>
    </row>
    <row r="113" spans="1:19">
      <c r="A113" s="158">
        <v>1707</v>
      </c>
      <c r="B113" s="59">
        <v>102.3</v>
      </c>
      <c r="C113" s="24">
        <f t="shared" si="23"/>
        <v>0.98</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71052</v>
      </c>
      <c r="S113" s="360">
        <f t="shared" ca="1" si="22"/>
        <v>727</v>
      </c>
    </row>
    <row r="114" spans="1:19">
      <c r="A114" s="158">
        <v>1708</v>
      </c>
      <c r="B114" s="59">
        <v>62.25</v>
      </c>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72502</v>
      </c>
      <c r="S114" s="360">
        <f t="shared" ca="1" si="22"/>
        <v>451</v>
      </c>
    </row>
    <row r="115" spans="1:19">
      <c r="A115" s="158">
        <v>1801</v>
      </c>
      <c r="B115" s="59">
        <v>55.46</v>
      </c>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72502</v>
      </c>
      <c r="S115" s="360">
        <f t="shared" ca="1" si="22"/>
        <v>402</v>
      </c>
    </row>
    <row r="116" spans="1:19">
      <c r="A116" s="158">
        <v>1802</v>
      </c>
      <c r="B116" s="59">
        <v>53.04</v>
      </c>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72502</v>
      </c>
      <c r="S116" s="360">
        <f t="shared" ca="1" si="22"/>
        <v>385</v>
      </c>
    </row>
    <row r="117" spans="1:19">
      <c r="A117" s="158">
        <v>1803</v>
      </c>
      <c r="B117" s="59">
        <v>63.92</v>
      </c>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72502</v>
      </c>
      <c r="S117" s="360">
        <f t="shared" ca="1" si="22"/>
        <v>463</v>
      </c>
    </row>
    <row r="118" spans="1:19">
      <c r="A118" s="158">
        <v>1805</v>
      </c>
      <c r="B118" s="59">
        <v>63.71</v>
      </c>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72502</v>
      </c>
      <c r="S118" s="360">
        <f t="shared" ca="1" si="22"/>
        <v>462</v>
      </c>
    </row>
    <row r="119" spans="1:19">
      <c r="A119" s="158">
        <v>1806</v>
      </c>
      <c r="B119" s="59">
        <v>64.39</v>
      </c>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72502</v>
      </c>
      <c r="S119" s="360">
        <f t="shared" ca="1" si="22"/>
        <v>467</v>
      </c>
    </row>
    <row r="120" spans="1:19">
      <c r="A120" s="158">
        <v>1807</v>
      </c>
      <c r="B120" s="59">
        <v>102.3</v>
      </c>
      <c r="C120" s="24">
        <f t="shared" si="23"/>
        <v>0.98</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71052</v>
      </c>
      <c r="S120" s="360">
        <f t="shared" ca="1" si="22"/>
        <v>727</v>
      </c>
    </row>
    <row r="121" spans="1:19">
      <c r="A121" s="158">
        <v>1808</v>
      </c>
      <c r="B121" s="59">
        <v>62.25</v>
      </c>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72502</v>
      </c>
      <c r="S121" s="360">
        <f t="shared" ca="1" si="22"/>
        <v>451</v>
      </c>
    </row>
    <row r="122" spans="1:19">
      <c r="A122" s="158">
        <v>1901</v>
      </c>
      <c r="B122" s="59">
        <v>55.46</v>
      </c>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72502</v>
      </c>
      <c r="S122" s="360">
        <f t="shared" ca="1" si="22"/>
        <v>402</v>
      </c>
    </row>
    <row r="123" spans="1:19">
      <c r="A123" s="158">
        <v>1902</v>
      </c>
      <c r="B123" s="59">
        <v>53.04</v>
      </c>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72502</v>
      </c>
      <c r="S123" s="360">
        <f t="shared" ref="S123:S186" ca="1" si="32">ROUND(R123*B123/10000,0)</f>
        <v>385</v>
      </c>
    </row>
    <row r="124" spans="1:19">
      <c r="A124" s="158">
        <v>1903</v>
      </c>
      <c r="B124" s="59">
        <v>63.92</v>
      </c>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72502</v>
      </c>
      <c r="S124" s="360">
        <f t="shared" ca="1" si="32"/>
        <v>463</v>
      </c>
    </row>
    <row r="125" spans="1:19">
      <c r="A125" s="158">
        <v>1905</v>
      </c>
      <c r="B125" s="59">
        <v>63.71</v>
      </c>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72502</v>
      </c>
      <c r="S125" s="360">
        <f t="shared" ca="1" si="32"/>
        <v>462</v>
      </c>
    </row>
    <row r="126" spans="1:19">
      <c r="A126" s="158">
        <v>1906</v>
      </c>
      <c r="B126" s="59">
        <v>64.39</v>
      </c>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72502</v>
      </c>
      <c r="S126" s="360">
        <f t="shared" ca="1" si="32"/>
        <v>467</v>
      </c>
    </row>
    <row r="127" spans="1:19">
      <c r="A127" s="158">
        <v>1907</v>
      </c>
      <c r="B127" s="59">
        <v>102.3</v>
      </c>
      <c r="C127" s="24">
        <f t="shared" si="23"/>
        <v>0.98</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71052</v>
      </c>
      <c r="S127" s="360">
        <f t="shared" ca="1" si="32"/>
        <v>727</v>
      </c>
    </row>
    <row r="128" spans="1:19">
      <c r="A128" s="158">
        <v>1908</v>
      </c>
      <c r="B128" s="59">
        <v>62.25</v>
      </c>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72502</v>
      </c>
      <c r="S128" s="360">
        <f t="shared" ca="1" si="32"/>
        <v>451</v>
      </c>
    </row>
    <row r="129" spans="1:19">
      <c r="A129" s="158">
        <v>2001</v>
      </c>
      <c r="B129" s="59">
        <v>55.46</v>
      </c>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72502</v>
      </c>
      <c r="S129" s="360">
        <f t="shared" ca="1" si="32"/>
        <v>402</v>
      </c>
    </row>
    <row r="130" spans="1:19">
      <c r="A130" s="158">
        <v>2002</v>
      </c>
      <c r="B130" s="59">
        <v>53.04</v>
      </c>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72502</v>
      </c>
      <c r="S130" s="360">
        <f t="shared" ca="1" si="32"/>
        <v>385</v>
      </c>
    </row>
    <row r="131" spans="1:19">
      <c r="A131" s="158">
        <v>2003</v>
      </c>
      <c r="B131" s="59">
        <v>63.92</v>
      </c>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72502</v>
      </c>
      <c r="S131" s="360">
        <f t="shared" ca="1" si="32"/>
        <v>463</v>
      </c>
    </row>
    <row r="132" spans="1:19">
      <c r="A132" s="158">
        <v>2005</v>
      </c>
      <c r="B132" s="59">
        <v>63.71</v>
      </c>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72502</v>
      </c>
      <c r="S132" s="360">
        <f t="shared" ca="1" si="32"/>
        <v>462</v>
      </c>
    </row>
    <row r="133" spans="1:19">
      <c r="A133" s="158">
        <v>2006</v>
      </c>
      <c r="B133" s="59">
        <v>64.39</v>
      </c>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72502</v>
      </c>
      <c r="S133" s="360">
        <f t="shared" ca="1" si="32"/>
        <v>467</v>
      </c>
    </row>
    <row r="134" spans="1:19">
      <c r="A134" s="158">
        <v>2007</v>
      </c>
      <c r="B134" s="59">
        <v>102.3</v>
      </c>
      <c r="C134" s="24">
        <f t="shared" si="23"/>
        <v>0.98</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71052</v>
      </c>
      <c r="S134" s="360">
        <f t="shared" ca="1" si="32"/>
        <v>727</v>
      </c>
    </row>
    <row r="135" spans="1:19">
      <c r="A135" s="158">
        <v>2008</v>
      </c>
      <c r="B135" s="59">
        <v>62.25</v>
      </c>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72502</v>
      </c>
      <c r="S135" s="360">
        <f t="shared" ca="1" si="32"/>
        <v>451</v>
      </c>
    </row>
    <row r="136" spans="1:19">
      <c r="A136" s="158">
        <v>2101</v>
      </c>
      <c r="B136" s="59">
        <v>55.46</v>
      </c>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72502</v>
      </c>
      <c r="S136" s="360">
        <f t="shared" ca="1" si="32"/>
        <v>402</v>
      </c>
    </row>
    <row r="137" spans="1:19">
      <c r="A137" s="158">
        <v>2102</v>
      </c>
      <c r="B137" s="59">
        <v>53.04</v>
      </c>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72502</v>
      </c>
      <c r="S137" s="360">
        <f t="shared" ca="1" si="32"/>
        <v>385</v>
      </c>
    </row>
    <row r="138" spans="1:19">
      <c r="A138" s="158">
        <v>2103</v>
      </c>
      <c r="B138" s="59">
        <v>63.92</v>
      </c>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72502</v>
      </c>
      <c r="S138" s="360">
        <f t="shared" ca="1" si="32"/>
        <v>463</v>
      </c>
    </row>
    <row r="139" spans="1:19">
      <c r="A139" s="158">
        <v>2105</v>
      </c>
      <c r="B139" s="59">
        <v>63.71</v>
      </c>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72502</v>
      </c>
      <c r="S139" s="360">
        <f t="shared" ca="1" si="32"/>
        <v>462</v>
      </c>
    </row>
    <row r="140" spans="1:19">
      <c r="A140" s="158">
        <v>2106</v>
      </c>
      <c r="B140" s="59">
        <v>64.39</v>
      </c>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72502</v>
      </c>
      <c r="S140" s="360">
        <f t="shared" ca="1" si="32"/>
        <v>467</v>
      </c>
    </row>
    <row r="141" spans="1:19">
      <c r="A141" s="158">
        <v>2107</v>
      </c>
      <c r="B141" s="59">
        <v>102.3</v>
      </c>
      <c r="C141" s="24">
        <f t="shared" si="23"/>
        <v>0.98</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71052</v>
      </c>
      <c r="S141" s="360">
        <f t="shared" ca="1" si="32"/>
        <v>727</v>
      </c>
    </row>
    <row r="142" spans="1:19">
      <c r="A142" s="158">
        <v>2108</v>
      </c>
      <c r="B142" s="59">
        <v>62.25</v>
      </c>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72502</v>
      </c>
      <c r="S142" s="360">
        <f t="shared" ca="1" si="32"/>
        <v>451</v>
      </c>
    </row>
    <row r="143" spans="1:19">
      <c r="A143" s="158">
        <v>2201</v>
      </c>
      <c r="B143" s="59">
        <v>55.46</v>
      </c>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72502</v>
      </c>
      <c r="S143" s="360">
        <f t="shared" ca="1" si="32"/>
        <v>402</v>
      </c>
    </row>
    <row r="144" spans="1:19">
      <c r="A144" s="158">
        <v>2202</v>
      </c>
      <c r="B144" s="59">
        <v>53.04</v>
      </c>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72502</v>
      </c>
      <c r="S144" s="360">
        <f t="shared" ca="1" si="32"/>
        <v>385</v>
      </c>
    </row>
    <row r="145" spans="1:19">
      <c r="A145" s="158">
        <v>2203</v>
      </c>
      <c r="B145" s="59">
        <v>63.92</v>
      </c>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72502</v>
      </c>
      <c r="S145" s="360">
        <f t="shared" ca="1" si="32"/>
        <v>463</v>
      </c>
    </row>
    <row r="146" spans="1:19">
      <c r="A146" s="158">
        <v>2205</v>
      </c>
      <c r="B146" s="59">
        <v>63.71</v>
      </c>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72502</v>
      </c>
      <c r="S146" s="360">
        <f t="shared" ca="1" si="32"/>
        <v>462</v>
      </c>
    </row>
    <row r="147" spans="1:19">
      <c r="A147" s="158">
        <v>2206</v>
      </c>
      <c r="B147" s="59">
        <v>64.39</v>
      </c>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72502</v>
      </c>
      <c r="S147" s="360">
        <f t="shared" ca="1" si="32"/>
        <v>467</v>
      </c>
    </row>
    <row r="148" spans="1:19">
      <c r="A148" s="158">
        <v>2207</v>
      </c>
      <c r="B148" s="59">
        <v>102.3</v>
      </c>
      <c r="C148" s="24">
        <f t="shared" si="23"/>
        <v>0.98</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71052</v>
      </c>
      <c r="S148" s="360">
        <f t="shared" ca="1" si="32"/>
        <v>727</v>
      </c>
    </row>
    <row r="149" spans="1:19">
      <c r="A149" s="158">
        <v>2208</v>
      </c>
      <c r="B149" s="59">
        <v>62.25</v>
      </c>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72502</v>
      </c>
      <c r="S149" s="360">
        <f t="shared" ca="1" si="32"/>
        <v>451</v>
      </c>
    </row>
    <row r="150" spans="1:19">
      <c r="A150" s="158">
        <v>2301</v>
      </c>
      <c r="B150" s="59">
        <v>55.46</v>
      </c>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72502</v>
      </c>
      <c r="S150" s="360">
        <f t="shared" ca="1" si="32"/>
        <v>402</v>
      </c>
    </row>
    <row r="151" spans="1:19">
      <c r="A151" s="158">
        <v>2302</v>
      </c>
      <c r="B151" s="59">
        <v>53.04</v>
      </c>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72502</v>
      </c>
      <c r="S151" s="360">
        <f t="shared" ca="1" si="32"/>
        <v>385</v>
      </c>
    </row>
    <row r="152" spans="1:19">
      <c r="A152" s="158">
        <v>2303</v>
      </c>
      <c r="B152" s="59">
        <v>63.92</v>
      </c>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72502</v>
      </c>
      <c r="S152" s="360">
        <f t="shared" ca="1" si="32"/>
        <v>463</v>
      </c>
    </row>
    <row r="153" spans="1:19">
      <c r="A153" s="158">
        <v>2305</v>
      </c>
      <c r="B153" s="59">
        <v>63.71</v>
      </c>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72502</v>
      </c>
      <c r="S153" s="360">
        <f t="shared" ca="1" si="32"/>
        <v>462</v>
      </c>
    </row>
    <row r="154" spans="1:19">
      <c r="A154" s="158">
        <v>2306</v>
      </c>
      <c r="B154" s="59">
        <v>64.39</v>
      </c>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72502</v>
      </c>
      <c r="S154" s="360">
        <f t="shared" ca="1" si="32"/>
        <v>467</v>
      </c>
    </row>
    <row r="155" spans="1:19">
      <c r="A155" s="158">
        <v>2307</v>
      </c>
      <c r="B155" s="59">
        <v>102.3</v>
      </c>
      <c r="C155" s="24">
        <f t="shared" si="33"/>
        <v>0.98</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71052</v>
      </c>
      <c r="S155" s="360">
        <f t="shared" ca="1" si="32"/>
        <v>727</v>
      </c>
    </row>
    <row r="156" spans="1:19">
      <c r="A156" s="158">
        <v>2308</v>
      </c>
      <c r="B156" s="59">
        <v>62.25</v>
      </c>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72502</v>
      </c>
      <c r="S156" s="360">
        <f t="shared" ca="1" si="32"/>
        <v>451</v>
      </c>
    </row>
    <row r="157" spans="1:19">
      <c r="A157" s="158">
        <v>2501</v>
      </c>
      <c r="B157" s="59">
        <v>55.46</v>
      </c>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72502</v>
      </c>
      <c r="S157" s="360">
        <f t="shared" ca="1" si="32"/>
        <v>402</v>
      </c>
    </row>
    <row r="158" spans="1:19">
      <c r="A158" s="158">
        <v>2502</v>
      </c>
      <c r="B158" s="59">
        <v>53.04</v>
      </c>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72502</v>
      </c>
      <c r="S158" s="360">
        <f t="shared" ca="1" si="32"/>
        <v>385</v>
      </c>
    </row>
    <row r="159" spans="1:19">
      <c r="A159" s="158">
        <v>2503</v>
      </c>
      <c r="B159" s="59">
        <v>63.92</v>
      </c>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72502</v>
      </c>
      <c r="S159" s="360">
        <f t="shared" ca="1" si="32"/>
        <v>463</v>
      </c>
    </row>
    <row r="160" spans="1:19">
      <c r="A160" s="158">
        <v>2505</v>
      </c>
      <c r="B160" s="59">
        <v>63.71</v>
      </c>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72502</v>
      </c>
      <c r="S160" s="360">
        <f t="shared" ca="1" si="32"/>
        <v>462</v>
      </c>
    </row>
    <row r="161" spans="1:19">
      <c r="A161" s="158">
        <v>2506</v>
      </c>
      <c r="B161" s="59">
        <v>64.39</v>
      </c>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72502</v>
      </c>
      <c r="S161" s="360">
        <f t="shared" ca="1" si="32"/>
        <v>467</v>
      </c>
    </row>
    <row r="162" spans="1:19">
      <c r="A162" s="158">
        <v>2507</v>
      </c>
      <c r="B162" s="59">
        <v>102.3</v>
      </c>
      <c r="C162" s="24">
        <f t="shared" si="33"/>
        <v>0.98</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71052</v>
      </c>
      <c r="S162" s="360">
        <f t="shared" ca="1" si="32"/>
        <v>727</v>
      </c>
    </row>
    <row r="163" spans="1:19">
      <c r="A163" s="158">
        <v>2508</v>
      </c>
      <c r="B163" s="59">
        <v>62.25</v>
      </c>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72502</v>
      </c>
      <c r="S163" s="360">
        <f t="shared" ca="1" si="32"/>
        <v>451</v>
      </c>
    </row>
    <row r="164" spans="1:19">
      <c r="A164" s="158">
        <v>2601</v>
      </c>
      <c r="B164" s="59">
        <v>55.46</v>
      </c>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72502</v>
      </c>
      <c r="S164" s="360">
        <f t="shared" ca="1" si="32"/>
        <v>402</v>
      </c>
    </row>
    <row r="165" spans="1:19">
      <c r="A165" s="158">
        <v>2602</v>
      </c>
      <c r="B165" s="59">
        <v>53.04</v>
      </c>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72502</v>
      </c>
      <c r="S165" s="360">
        <f t="shared" ca="1" si="32"/>
        <v>385</v>
      </c>
    </row>
    <row r="166" spans="1:19">
      <c r="A166" s="158">
        <v>2603</v>
      </c>
      <c r="B166" s="59">
        <v>63.92</v>
      </c>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72502</v>
      </c>
      <c r="S166" s="360">
        <f t="shared" ca="1" si="32"/>
        <v>463</v>
      </c>
    </row>
    <row r="167" spans="1:19">
      <c r="A167" s="158">
        <v>2605</v>
      </c>
      <c r="B167" s="59">
        <v>63.71</v>
      </c>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72502</v>
      </c>
      <c r="S167" s="360">
        <f t="shared" ca="1" si="32"/>
        <v>462</v>
      </c>
    </row>
    <row r="168" spans="1:19">
      <c r="A168" s="158">
        <v>2606</v>
      </c>
      <c r="B168" s="59">
        <v>64.39</v>
      </c>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72502</v>
      </c>
      <c r="S168" s="360">
        <f t="shared" ca="1" si="32"/>
        <v>467</v>
      </c>
    </row>
    <row r="169" spans="1:19">
      <c r="A169" s="158">
        <v>2607</v>
      </c>
      <c r="B169" s="59">
        <v>102.3</v>
      </c>
      <c r="C169" s="24">
        <f t="shared" si="33"/>
        <v>0.98</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71052</v>
      </c>
      <c r="S169" s="360">
        <f t="shared" ca="1" si="32"/>
        <v>727</v>
      </c>
    </row>
    <row r="170" spans="1:19">
      <c r="A170" s="158">
        <v>2608</v>
      </c>
      <c r="B170" s="59">
        <v>62.25</v>
      </c>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72502</v>
      </c>
      <c r="S170" s="360">
        <f t="shared" ca="1" si="32"/>
        <v>451</v>
      </c>
    </row>
    <row r="171" spans="1:19">
      <c r="A171" s="158">
        <v>2701</v>
      </c>
      <c r="B171" s="59">
        <v>55.46</v>
      </c>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72502</v>
      </c>
      <c r="S171" s="360">
        <f t="shared" ca="1" si="32"/>
        <v>402</v>
      </c>
    </row>
    <row r="172" spans="1:19">
      <c r="A172" s="158">
        <v>2702</v>
      </c>
      <c r="B172" s="59">
        <v>53.04</v>
      </c>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72502</v>
      </c>
      <c r="S172" s="360">
        <f t="shared" ca="1" si="32"/>
        <v>385</v>
      </c>
    </row>
    <row r="173" spans="1:19">
      <c r="A173" s="158">
        <v>2703</v>
      </c>
      <c r="B173" s="59">
        <v>63.92</v>
      </c>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72502</v>
      </c>
      <c r="S173" s="360">
        <f t="shared" ca="1" si="32"/>
        <v>463</v>
      </c>
    </row>
    <row r="174" spans="1:19">
      <c r="A174" s="158">
        <v>2705</v>
      </c>
      <c r="B174" s="59">
        <v>63.71</v>
      </c>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72502</v>
      </c>
      <c r="S174" s="360">
        <f t="shared" ca="1" si="32"/>
        <v>462</v>
      </c>
    </row>
    <row r="175" spans="1:19">
      <c r="A175" s="158">
        <v>2706</v>
      </c>
      <c r="B175" s="59">
        <v>64.39</v>
      </c>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72502</v>
      </c>
      <c r="S175" s="360">
        <f t="shared" ca="1" si="32"/>
        <v>467</v>
      </c>
    </row>
    <row r="176" spans="1:19">
      <c r="A176" s="158">
        <v>2707</v>
      </c>
      <c r="B176" s="59">
        <v>102.3</v>
      </c>
      <c r="C176" s="24">
        <f t="shared" si="33"/>
        <v>0.98</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71052</v>
      </c>
      <c r="S176" s="360">
        <f t="shared" ca="1" si="32"/>
        <v>727</v>
      </c>
    </row>
    <row r="177" spans="1:19">
      <c r="A177" s="158">
        <v>2708</v>
      </c>
      <c r="B177" s="59">
        <v>62.25</v>
      </c>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72502</v>
      </c>
      <c r="S177" s="360">
        <f t="shared" ca="1" si="32"/>
        <v>451</v>
      </c>
    </row>
    <row r="178" spans="1:19">
      <c r="A178" s="158">
        <v>2801</v>
      </c>
      <c r="B178" s="59">
        <v>55.46</v>
      </c>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72502</v>
      </c>
      <c r="S178" s="360">
        <f t="shared" ca="1" si="32"/>
        <v>402</v>
      </c>
    </row>
    <row r="179" spans="1:19">
      <c r="A179" s="158">
        <v>2802</v>
      </c>
      <c r="B179" s="59">
        <v>49.99</v>
      </c>
      <c r="C179" s="24">
        <f t="shared" si="33"/>
        <v>1.02</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73952</v>
      </c>
      <c r="S179" s="360">
        <f t="shared" ca="1" si="32"/>
        <v>370</v>
      </c>
    </row>
    <row r="180" spans="1:19">
      <c r="A180" s="158">
        <v>2803</v>
      </c>
      <c r="B180" s="59">
        <v>60.88</v>
      </c>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72502</v>
      </c>
      <c r="S180" s="360">
        <f t="shared" ca="1" si="32"/>
        <v>441</v>
      </c>
    </row>
    <row r="181" spans="1:19">
      <c r="A181" s="158">
        <v>2805</v>
      </c>
      <c r="B181" s="59">
        <v>63.71</v>
      </c>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72502</v>
      </c>
      <c r="S181" s="360">
        <f t="shared" ca="1" si="32"/>
        <v>462</v>
      </c>
    </row>
    <row r="182" spans="1:19">
      <c r="A182" s="158">
        <v>2806</v>
      </c>
      <c r="B182" s="59">
        <v>64.39</v>
      </c>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72502</v>
      </c>
      <c r="S182" s="360">
        <f t="shared" ca="1" si="32"/>
        <v>467</v>
      </c>
    </row>
    <row r="183" spans="1:19">
      <c r="A183" s="158">
        <v>2807</v>
      </c>
      <c r="B183" s="59">
        <v>102.3</v>
      </c>
      <c r="C183" s="24">
        <f t="shared" si="33"/>
        <v>0.98</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71052</v>
      </c>
      <c r="S183" s="360">
        <f t="shared" ca="1" si="32"/>
        <v>727</v>
      </c>
    </row>
    <row r="184" spans="1:19">
      <c r="A184" s="158">
        <v>2808</v>
      </c>
      <c r="B184" s="59">
        <v>62.25</v>
      </c>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72502</v>
      </c>
      <c r="S184" s="360">
        <f t="shared" ca="1" si="32"/>
        <v>451</v>
      </c>
    </row>
    <row r="185" spans="1:19">
      <c r="A185" s="158">
        <v>2901</v>
      </c>
      <c r="B185" s="59">
        <v>55.46</v>
      </c>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72502</v>
      </c>
      <c r="S185" s="360">
        <f t="shared" ca="1" si="32"/>
        <v>402</v>
      </c>
    </row>
    <row r="186" spans="1:19">
      <c r="A186" s="158">
        <v>2902</v>
      </c>
      <c r="B186" s="59">
        <v>49.99</v>
      </c>
      <c r="C186" s="24">
        <f t="shared" si="33"/>
        <v>1.02</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73952</v>
      </c>
      <c r="S186" s="360">
        <f t="shared" ca="1" si="32"/>
        <v>370</v>
      </c>
    </row>
    <row r="187" spans="1:19">
      <c r="A187" s="158">
        <v>2903</v>
      </c>
      <c r="B187" s="59">
        <v>60.88</v>
      </c>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72502</v>
      </c>
      <c r="S187" s="360">
        <f t="shared" ref="S187:S222" ca="1" si="42">ROUND(R187*B187/10000,0)</f>
        <v>441</v>
      </c>
    </row>
    <row r="188" spans="1:19">
      <c r="A188" s="158">
        <v>2905</v>
      </c>
      <c r="B188" s="59">
        <v>63.71</v>
      </c>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72502</v>
      </c>
      <c r="S188" s="360">
        <f t="shared" ca="1" si="42"/>
        <v>462</v>
      </c>
    </row>
    <row r="189" spans="1:19">
      <c r="A189" s="158">
        <v>2906</v>
      </c>
      <c r="B189" s="59">
        <v>64.39</v>
      </c>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72502</v>
      </c>
      <c r="S189" s="360">
        <f t="shared" ca="1" si="42"/>
        <v>467</v>
      </c>
    </row>
    <row r="190" spans="1:19">
      <c r="A190" s="158">
        <v>2907</v>
      </c>
      <c r="B190" s="59">
        <v>102.3</v>
      </c>
      <c r="C190" s="24">
        <f t="shared" si="33"/>
        <v>0.98</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71052</v>
      </c>
      <c r="S190" s="360">
        <f t="shared" ca="1" si="42"/>
        <v>727</v>
      </c>
    </row>
    <row r="191" spans="1:19">
      <c r="A191" s="158">
        <v>2908</v>
      </c>
      <c r="B191" s="59">
        <v>62.25</v>
      </c>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72502</v>
      </c>
      <c r="S191" s="360">
        <f t="shared" ca="1" si="42"/>
        <v>451</v>
      </c>
    </row>
    <row r="192" spans="1:19">
      <c r="A192" s="158">
        <v>3001</v>
      </c>
      <c r="B192" s="59">
        <v>55.46</v>
      </c>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72502</v>
      </c>
      <c r="S192" s="360">
        <f t="shared" ca="1" si="42"/>
        <v>402</v>
      </c>
    </row>
    <row r="193" spans="1:19">
      <c r="A193" s="158">
        <v>3002</v>
      </c>
      <c r="B193" s="59">
        <v>49.99</v>
      </c>
      <c r="C193" s="24">
        <f t="shared" si="33"/>
        <v>1.02</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73952</v>
      </c>
      <c r="S193" s="360">
        <f t="shared" ca="1" si="42"/>
        <v>370</v>
      </c>
    </row>
    <row r="194" spans="1:19">
      <c r="A194" s="158">
        <v>3003</v>
      </c>
      <c r="B194" s="59">
        <v>60.88</v>
      </c>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72502</v>
      </c>
      <c r="S194" s="360">
        <f t="shared" ca="1" si="42"/>
        <v>441</v>
      </c>
    </row>
    <row r="195" spans="1:19">
      <c r="A195" s="158">
        <v>3005</v>
      </c>
      <c r="B195" s="59">
        <v>63.71</v>
      </c>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72502</v>
      </c>
      <c r="S195" s="360">
        <f t="shared" ca="1" si="42"/>
        <v>462</v>
      </c>
    </row>
    <row r="196" spans="1:19">
      <c r="A196" s="158">
        <v>3006</v>
      </c>
      <c r="B196" s="59">
        <v>64.39</v>
      </c>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72502</v>
      </c>
      <c r="S196" s="360">
        <f t="shared" ca="1" si="42"/>
        <v>467</v>
      </c>
    </row>
    <row r="197" spans="1:19">
      <c r="A197" s="158">
        <v>3007</v>
      </c>
      <c r="B197" s="59">
        <v>102.3</v>
      </c>
      <c r="C197" s="24">
        <f t="shared" si="33"/>
        <v>0.98</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71052</v>
      </c>
      <c r="S197" s="360">
        <f t="shared" ca="1" si="42"/>
        <v>727</v>
      </c>
    </row>
    <row r="198" spans="1:19">
      <c r="A198" s="158">
        <v>3008</v>
      </c>
      <c r="B198" s="59">
        <v>62.25</v>
      </c>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72502</v>
      </c>
      <c r="S198" s="360">
        <f t="shared" ca="1" si="42"/>
        <v>451</v>
      </c>
    </row>
    <row r="199" spans="1:19">
      <c r="A199" s="158">
        <v>3101</v>
      </c>
      <c r="B199" s="59">
        <v>55.46</v>
      </c>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72502</v>
      </c>
      <c r="S199" s="360">
        <f t="shared" ca="1" si="42"/>
        <v>402</v>
      </c>
    </row>
    <row r="200" spans="1:19">
      <c r="A200" s="158">
        <v>3102</v>
      </c>
      <c r="B200" s="59">
        <v>49.99</v>
      </c>
      <c r="C200" s="24">
        <f t="shared" si="33"/>
        <v>1.02</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73952</v>
      </c>
      <c r="S200" s="360">
        <f t="shared" ca="1" si="42"/>
        <v>370</v>
      </c>
    </row>
    <row r="201" spans="1:19">
      <c r="A201" s="158">
        <v>3103</v>
      </c>
      <c r="B201" s="59">
        <v>60.88</v>
      </c>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72502</v>
      </c>
      <c r="S201" s="360">
        <f t="shared" ca="1" si="42"/>
        <v>441</v>
      </c>
    </row>
    <row r="202" spans="1:19">
      <c r="A202" s="158">
        <v>3105</v>
      </c>
      <c r="B202" s="59">
        <v>63.71</v>
      </c>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ca="1" si="41"/>
        <v>72502</v>
      </c>
      <c r="S202" s="360">
        <f t="shared" ca="1" si="42"/>
        <v>462</v>
      </c>
    </row>
    <row r="203" spans="1:19">
      <c r="A203" s="158">
        <v>3106</v>
      </c>
      <c r="B203" s="59">
        <v>64.39</v>
      </c>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ca="1" si="41"/>
        <v>72502</v>
      </c>
      <c r="S203" s="360">
        <f t="shared" ca="1" si="42"/>
        <v>467</v>
      </c>
    </row>
    <row r="204" spans="1:19">
      <c r="A204" s="158">
        <v>3107</v>
      </c>
      <c r="B204" s="59">
        <v>102.3</v>
      </c>
      <c r="C204" s="24">
        <f t="shared" si="33"/>
        <v>0.98</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ca="1" si="41"/>
        <v>71052</v>
      </c>
      <c r="S204" s="360">
        <f t="shared" ca="1" si="42"/>
        <v>727</v>
      </c>
    </row>
    <row r="205" spans="1:19">
      <c r="A205" s="158">
        <v>3108</v>
      </c>
      <c r="B205" s="59">
        <v>62.25</v>
      </c>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ca="1" si="41"/>
        <v>72502</v>
      </c>
      <c r="S205" s="360">
        <f t="shared" ca="1" si="42"/>
        <v>451</v>
      </c>
    </row>
    <row r="206" spans="1:19">
      <c r="A206" s="158">
        <v>3201</v>
      </c>
      <c r="B206" s="59">
        <v>55.46</v>
      </c>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ca="1" si="41"/>
        <v>72502</v>
      </c>
      <c r="S206" s="360">
        <f t="shared" ca="1" si="42"/>
        <v>402</v>
      </c>
    </row>
    <row r="207" spans="1:19">
      <c r="A207" s="158">
        <v>3202</v>
      </c>
      <c r="B207" s="59">
        <v>49.99</v>
      </c>
      <c r="C207" s="24">
        <f t="shared" si="33"/>
        <v>1.02</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ca="1" si="41"/>
        <v>73952</v>
      </c>
      <c r="S207" s="360">
        <f t="shared" ca="1" si="42"/>
        <v>370</v>
      </c>
    </row>
    <row r="208" spans="1:19">
      <c r="A208" s="158">
        <v>3203</v>
      </c>
      <c r="B208" s="59">
        <v>60.88</v>
      </c>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ca="1" si="41"/>
        <v>72502</v>
      </c>
      <c r="S208" s="360">
        <f t="shared" ca="1" si="42"/>
        <v>441</v>
      </c>
    </row>
    <row r="209" spans="1:19">
      <c r="A209" s="158">
        <v>3205</v>
      </c>
      <c r="B209" s="59">
        <v>63.71</v>
      </c>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ca="1" si="41"/>
        <v>72502</v>
      </c>
      <c r="S209" s="360">
        <f t="shared" ca="1" si="42"/>
        <v>462</v>
      </c>
    </row>
    <row r="210" spans="1:19">
      <c r="A210" s="158">
        <v>3206</v>
      </c>
      <c r="B210" s="59">
        <v>64.39</v>
      </c>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ca="1" si="41"/>
        <v>72502</v>
      </c>
      <c r="S210" s="360">
        <f t="shared" ca="1" si="42"/>
        <v>467</v>
      </c>
    </row>
    <row r="211" spans="1:19">
      <c r="A211" s="158">
        <v>3207</v>
      </c>
      <c r="B211" s="59">
        <v>102.3</v>
      </c>
      <c r="C211" s="24">
        <f t="shared" si="33"/>
        <v>0.98</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ca="1" si="41"/>
        <v>71052</v>
      </c>
      <c r="S211" s="360">
        <f t="shared" ca="1" si="42"/>
        <v>727</v>
      </c>
    </row>
    <row r="212" spans="1:19">
      <c r="A212" s="158">
        <v>3208</v>
      </c>
      <c r="B212" s="59">
        <v>62.25</v>
      </c>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ca="1" si="41"/>
        <v>72502</v>
      </c>
      <c r="S212" s="360">
        <f t="shared" ca="1" si="42"/>
        <v>451</v>
      </c>
    </row>
    <row r="213" spans="1:19">
      <c r="A213" s="158">
        <v>3301</v>
      </c>
      <c r="B213" s="59">
        <v>55.46</v>
      </c>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ca="1" si="41"/>
        <v>72502</v>
      </c>
      <c r="S213" s="360">
        <f t="shared" ca="1" si="42"/>
        <v>402</v>
      </c>
    </row>
    <row r="214" spans="1:19">
      <c r="A214" s="158">
        <v>3302</v>
      </c>
      <c r="B214" s="59">
        <v>49.99</v>
      </c>
      <c r="C214" s="24">
        <f t="shared" si="33"/>
        <v>1.02</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ca="1" si="41"/>
        <v>73952</v>
      </c>
      <c r="S214" s="360">
        <f t="shared" ca="1" si="42"/>
        <v>370</v>
      </c>
    </row>
    <row r="215" spans="1:19">
      <c r="A215" s="158">
        <v>3303</v>
      </c>
      <c r="B215" s="59">
        <v>60.88</v>
      </c>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ca="1" si="41"/>
        <v>72502</v>
      </c>
      <c r="S215" s="360">
        <f t="shared" ca="1" si="42"/>
        <v>441</v>
      </c>
    </row>
    <row r="216" spans="1:19">
      <c r="A216" s="158">
        <v>3305</v>
      </c>
      <c r="B216" s="59">
        <v>63.71</v>
      </c>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ca="1" si="41"/>
        <v>72502</v>
      </c>
      <c r="S216" s="360">
        <f t="shared" ca="1" si="42"/>
        <v>462</v>
      </c>
    </row>
    <row r="217" spans="1:19">
      <c r="A217" s="158">
        <v>3306</v>
      </c>
      <c r="B217" s="59">
        <v>64.39</v>
      </c>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ca="1" si="41"/>
        <v>72502</v>
      </c>
      <c r="S217" s="360">
        <f t="shared" ca="1" si="42"/>
        <v>467</v>
      </c>
    </row>
    <row r="218" spans="1:19">
      <c r="A218" s="158">
        <v>3307</v>
      </c>
      <c r="B218" s="59">
        <v>102.3</v>
      </c>
      <c r="C218" s="24">
        <f t="shared" ref="C218:C281" si="43">IF(B218="",1,(LOOKUP(B218,$3:$3,$4:$4)-LOOKUP($B$24,$3:$3,$4:$4)+100)/100)</f>
        <v>0.98</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ca="1" si="51">IF(B218="",0,ROUND($R$24*C218*E218*G218*I218*K218*M218*O218*Q218,0))</f>
        <v>71052</v>
      </c>
      <c r="S218" s="360">
        <f t="shared" ca="1" si="42"/>
        <v>727</v>
      </c>
    </row>
    <row r="219" spans="1:19">
      <c r="A219" s="158">
        <v>3308</v>
      </c>
      <c r="B219" s="59">
        <v>62.25</v>
      </c>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ca="1" si="51"/>
        <v>72502</v>
      </c>
      <c r="S219" s="360">
        <f t="shared" ca="1" si="42"/>
        <v>451</v>
      </c>
    </row>
    <row r="220" spans="1:19">
      <c r="A220" s="158">
        <v>3501</v>
      </c>
      <c r="B220" s="59">
        <v>55.46</v>
      </c>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ca="1" si="51"/>
        <v>72502</v>
      </c>
      <c r="S220" s="360">
        <f t="shared" ca="1" si="42"/>
        <v>402</v>
      </c>
    </row>
    <row r="221" spans="1:19">
      <c r="A221" s="158">
        <v>3502</v>
      </c>
      <c r="B221" s="59">
        <v>49.99</v>
      </c>
      <c r="C221" s="24">
        <f t="shared" si="43"/>
        <v>1.02</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ca="1" si="51"/>
        <v>73952</v>
      </c>
      <c r="S221" s="360">
        <f t="shared" ca="1" si="42"/>
        <v>370</v>
      </c>
    </row>
    <row r="222" spans="1:19">
      <c r="A222" s="158">
        <v>3503</v>
      </c>
      <c r="B222" s="59">
        <v>60.88</v>
      </c>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ca="1" si="51"/>
        <v>72502</v>
      </c>
      <c r="S222" s="360">
        <f t="shared" ca="1" si="42"/>
        <v>441</v>
      </c>
    </row>
    <row r="223" spans="1:19">
      <c r="A223" s="158">
        <v>3505</v>
      </c>
      <c r="B223" s="59">
        <v>63.71</v>
      </c>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ca="1" si="51"/>
        <v>72502</v>
      </c>
      <c r="S223" s="360">
        <f t="shared" ref="S223:S286" ca="1" si="52">ROUND(R223*B223/10000,0)</f>
        <v>462</v>
      </c>
    </row>
    <row r="224" spans="1:19">
      <c r="A224" s="158">
        <v>3506</v>
      </c>
      <c r="B224" s="59">
        <v>64.39</v>
      </c>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ca="1" si="51"/>
        <v>72502</v>
      </c>
      <c r="S224" s="360">
        <f t="shared" ca="1" si="52"/>
        <v>467</v>
      </c>
    </row>
    <row r="225" spans="1:19">
      <c r="A225" s="158">
        <v>3507</v>
      </c>
      <c r="B225" s="59">
        <v>102.3</v>
      </c>
      <c r="C225" s="24">
        <f t="shared" si="43"/>
        <v>0.98</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ca="1" si="51"/>
        <v>71052</v>
      </c>
      <c r="S225" s="360">
        <f t="shared" ca="1" si="52"/>
        <v>727</v>
      </c>
    </row>
    <row r="226" spans="1:19">
      <c r="A226" s="158">
        <v>3508</v>
      </c>
      <c r="B226" s="59">
        <v>62.25</v>
      </c>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ca="1" si="51"/>
        <v>72502</v>
      </c>
      <c r="S226" s="360">
        <f t="shared" ca="1" si="52"/>
        <v>451</v>
      </c>
    </row>
    <row r="227" spans="1:19">
      <c r="A227" s="158">
        <v>3601</v>
      </c>
      <c r="B227" s="59">
        <v>55.46</v>
      </c>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ca="1" si="51"/>
        <v>72502</v>
      </c>
      <c r="S227" s="360">
        <f t="shared" ca="1" si="52"/>
        <v>402</v>
      </c>
    </row>
    <row r="228" spans="1:19">
      <c r="A228" s="158">
        <v>3602</v>
      </c>
      <c r="B228" s="59">
        <v>49.99</v>
      </c>
      <c r="C228" s="24">
        <f t="shared" si="43"/>
        <v>1.02</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ca="1" si="51"/>
        <v>73952</v>
      </c>
      <c r="S228" s="360">
        <f t="shared" ca="1" si="52"/>
        <v>370</v>
      </c>
    </row>
    <row r="229" spans="1:19">
      <c r="A229" s="158">
        <v>3603</v>
      </c>
      <c r="B229" s="59">
        <v>60.88</v>
      </c>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ca="1" si="51"/>
        <v>72502</v>
      </c>
      <c r="S229" s="360">
        <f t="shared" ca="1" si="52"/>
        <v>441</v>
      </c>
    </row>
    <row r="230" spans="1:19">
      <c r="A230" s="158">
        <v>3605</v>
      </c>
      <c r="B230" s="59">
        <v>63.71</v>
      </c>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ca="1" si="51"/>
        <v>72502</v>
      </c>
      <c r="S230" s="360">
        <f t="shared" ca="1" si="52"/>
        <v>462</v>
      </c>
    </row>
    <row r="231" spans="1:19">
      <c r="A231" s="158">
        <v>3606</v>
      </c>
      <c r="B231" s="59">
        <v>64.39</v>
      </c>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ca="1" si="51"/>
        <v>72502</v>
      </c>
      <c r="S231" s="360">
        <f t="shared" ca="1" si="52"/>
        <v>467</v>
      </c>
    </row>
    <row r="232" spans="1:19">
      <c r="A232" s="158">
        <v>3607</v>
      </c>
      <c r="B232" s="59">
        <v>102.3</v>
      </c>
      <c r="C232" s="24">
        <f t="shared" si="43"/>
        <v>0.98</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ca="1" si="51"/>
        <v>71052</v>
      </c>
      <c r="S232" s="360">
        <f t="shared" ca="1" si="52"/>
        <v>727</v>
      </c>
    </row>
    <row r="233" spans="1:19">
      <c r="A233" s="158">
        <v>3608</v>
      </c>
      <c r="B233" s="59">
        <v>62.25</v>
      </c>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ca="1" si="51"/>
        <v>72502</v>
      </c>
      <c r="S233" s="360">
        <f t="shared" ca="1" si="52"/>
        <v>451</v>
      </c>
    </row>
    <row r="234" spans="1:19">
      <c r="A234" s="158">
        <v>3701</v>
      </c>
      <c r="B234" s="59">
        <v>55.46</v>
      </c>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ca="1" si="51"/>
        <v>72502</v>
      </c>
      <c r="S234" s="360">
        <f t="shared" ca="1" si="52"/>
        <v>402</v>
      </c>
    </row>
    <row r="235" spans="1:19">
      <c r="A235" s="158">
        <v>3702</v>
      </c>
      <c r="B235" s="59">
        <v>49.99</v>
      </c>
      <c r="C235" s="24">
        <f t="shared" si="43"/>
        <v>1.02</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ca="1" si="51"/>
        <v>73952</v>
      </c>
      <c r="S235" s="360">
        <f t="shared" ca="1" si="52"/>
        <v>370</v>
      </c>
    </row>
    <row r="236" spans="1:19">
      <c r="A236" s="158">
        <v>3703</v>
      </c>
      <c r="B236" s="59">
        <v>60.88</v>
      </c>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ca="1" si="51"/>
        <v>72502</v>
      </c>
      <c r="S236" s="360">
        <f t="shared" ca="1" si="52"/>
        <v>441</v>
      </c>
    </row>
    <row r="237" spans="1:19">
      <c r="A237" s="158">
        <v>3705</v>
      </c>
      <c r="B237" s="59">
        <v>63.71</v>
      </c>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ca="1" si="51"/>
        <v>72502</v>
      </c>
      <c r="S237" s="360">
        <f t="shared" ca="1" si="52"/>
        <v>462</v>
      </c>
    </row>
    <row r="238" spans="1:19">
      <c r="A238" s="158">
        <v>3706</v>
      </c>
      <c r="B238" s="59">
        <v>64.39</v>
      </c>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ca="1" si="51"/>
        <v>72502</v>
      </c>
      <c r="S238" s="360">
        <f t="shared" ca="1" si="52"/>
        <v>467</v>
      </c>
    </row>
    <row r="239" spans="1:19">
      <c r="A239" s="158">
        <v>3707</v>
      </c>
      <c r="B239" s="59">
        <v>102.3</v>
      </c>
      <c r="C239" s="24">
        <f t="shared" si="43"/>
        <v>0.98</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ca="1" si="51"/>
        <v>71052</v>
      </c>
      <c r="S239" s="360">
        <f t="shared" ca="1" si="52"/>
        <v>727</v>
      </c>
    </row>
    <row r="240" spans="1:19">
      <c r="A240" s="158">
        <v>3708</v>
      </c>
      <c r="B240" s="59">
        <v>62.25</v>
      </c>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ca="1" si="51"/>
        <v>72502</v>
      </c>
      <c r="S240" s="360">
        <f t="shared" ca="1" si="52"/>
        <v>451</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32714</v>
      </c>
      <c r="C2" s="2" t="s">
        <v>133</v>
      </c>
      <c r="D2" s="242"/>
      <c r="E2" s="242"/>
      <c r="F2" s="242"/>
      <c r="G2" s="242"/>
    </row>
    <row r="3" spans="1:7" s="243" customFormat="1" ht="18" customHeight="1" thickBot="1">
      <c r="A3" s="246" t="s">
        <v>85</v>
      </c>
      <c r="B3" s="247">
        <f ca="1">ROUND(B2*10000/'数据-汇总表'!E3,0)</f>
        <v>655499</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1144</v>
      </c>
    </row>
    <row r="9" spans="1:7" s="257" customFormat="1" ht="13.5" customHeight="1">
      <c r="A9" s="947" t="s">
        <v>800</v>
      </c>
      <c r="B9" s="267" t="s">
        <v>93</v>
      </c>
      <c r="C9" s="268">
        <f>ROUND(D9*E9/10000,0)</f>
        <v>0</v>
      </c>
      <c r="D9" s="1029">
        <f>'数据-汇总表'!E5</f>
        <v>0</v>
      </c>
      <c r="E9" s="268">
        <f>'数据-取费表'!B27</f>
        <v>430</v>
      </c>
      <c r="F9" s="264"/>
      <c r="G9" s="269"/>
    </row>
    <row r="10" spans="1:7" s="257" customFormat="1" ht="13.5" customHeight="1">
      <c r="A10" s="947" t="s">
        <v>801</v>
      </c>
      <c r="B10" s="267" t="s">
        <v>94</v>
      </c>
      <c r="C10" s="268">
        <f>ROUND(D10*E10/10000,0)</f>
        <v>21</v>
      </c>
      <c r="D10" s="1029">
        <f>'数据-汇总表'!E6</f>
        <v>499.07</v>
      </c>
      <c r="E10" s="268">
        <f>'数据-取费表'!B28</f>
        <v>430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1051</v>
      </c>
      <c r="B19" s="253" t="s">
        <v>111</v>
      </c>
      <c r="C19" s="254">
        <f>IF(G19="已包含在土地取得成本中","0",ROUND(D19*E19/10000,0))</f>
        <v>10</v>
      </c>
      <c r="D19" s="1033">
        <f>'数据-汇总表'!E3</f>
        <v>499.07</v>
      </c>
      <c r="E19" s="254">
        <f>'数据-取费表'!B31</f>
        <v>200</v>
      </c>
      <c r="F19" s="274"/>
      <c r="G19" s="1" t="s">
        <v>1070</v>
      </c>
    </row>
    <row r="20" spans="1:7" s="257" customFormat="1" ht="13.5" customHeight="1">
      <c r="A20" s="945" t="s">
        <v>1053</v>
      </c>
      <c r="B20" s="253" t="s">
        <v>104</v>
      </c>
      <c r="C20" s="275">
        <f>ROUND((C5+C19)*F20,0)</f>
        <v>619</v>
      </c>
      <c r="D20" s="275"/>
      <c r="E20" s="275"/>
      <c r="F20" s="276">
        <f>'数据-取费表'!B37</f>
        <v>0.03</v>
      </c>
      <c r="G20" s="1286" t="s">
        <v>1064</v>
      </c>
    </row>
    <row r="21" spans="1:7" s="257" customFormat="1" ht="13.5" customHeight="1">
      <c r="A21" s="945" t="s">
        <v>1055</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2034</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1057</v>
      </c>
      <c r="C23" s="1352">
        <f ca="1">ROUND(IF('数据-取费表'!B22&lt;=1,C5*F22*'数据-取费表'!B23,C5*(POWER((1+F22),'数据-取费表'!B23)-1)),0)</f>
        <v>2004</v>
      </c>
      <c r="D23" s="281"/>
      <c r="E23" s="281"/>
      <c r="F23" s="282"/>
      <c r="G23" s="283" t="s">
        <v>108</v>
      </c>
    </row>
    <row r="24" spans="1:7" s="257" customFormat="1" ht="13.5" customHeight="1">
      <c r="A24" s="948" t="s">
        <v>792</v>
      </c>
      <c r="B24" s="258" t="s">
        <v>1052</v>
      </c>
      <c r="C24" s="1352">
        <f ca="1">ROUND(IF('数据-取费表'!B22&lt;=1,C19*F22*('数据-取费表'!B19/2+'数据-取费表'!B21),C19*(POWER((1+F22),('数据-取费表'!B19/2+'数据-取费表'!B21))-1)),0)</f>
        <v>1</v>
      </c>
      <c r="D24" s="281"/>
      <c r="E24" s="281"/>
      <c r="F24" s="282"/>
      <c r="G24" s="283" t="s">
        <v>109</v>
      </c>
    </row>
    <row r="25" spans="1:7" s="257" customFormat="1" ht="24">
      <c r="A25" s="948" t="s">
        <v>793</v>
      </c>
      <c r="B25" s="258" t="s">
        <v>1054</v>
      </c>
      <c r="C25" s="1352">
        <f ca="1">ROUND(IF('数据-取费表'!B22&lt;=1,C20*F22*'数据-取费表'!B23/2,C20*(POWER((1+F22),'数据-取费表'!B23/2)-1)),0)</f>
        <v>29</v>
      </c>
      <c r="D25" s="281"/>
      <c r="E25" s="284"/>
      <c r="F25" s="282"/>
      <c r="G25" s="285" t="s">
        <v>110</v>
      </c>
    </row>
    <row r="26" spans="1:7" s="257" customFormat="1">
      <c r="A26" s="948" t="s">
        <v>795</v>
      </c>
      <c r="B26" s="258" t="s">
        <v>1056</v>
      </c>
      <c r="C26" s="281">
        <f ca="1">ROUND(IF('数据-取费表'!B22&lt;=1,F21*F22*'数据-取费表'!B23/2,F21*(POWER((1+F22),'数据-取费表'!B23/2)-1)),4)</f>
        <v>1.4E-3</v>
      </c>
      <c r="D26" s="281"/>
      <c r="E26" s="284"/>
      <c r="F26" s="282"/>
      <c r="G26" s="286"/>
    </row>
    <row r="27" spans="1:7" s="257" customFormat="1" ht="26.4">
      <c r="A27" s="945" t="s">
        <v>787</v>
      </c>
      <c r="B27" s="287" t="s">
        <v>112</v>
      </c>
      <c r="C27" s="288">
        <f>C28</f>
        <v>6159</v>
      </c>
      <c r="D27" s="278">
        <f>C29</f>
        <v>8.6999999999999994E-3</v>
      </c>
      <c r="E27" s="279" t="s">
        <v>126</v>
      </c>
      <c r="F27" s="289">
        <f>'数据-取费表'!Q16</f>
        <v>0.28999999999999998</v>
      </c>
      <c r="G27" s="290" t="s">
        <v>1065</v>
      </c>
    </row>
    <row r="28" spans="1:7" s="257" customFormat="1" ht="13.5" customHeight="1">
      <c r="A28" s="948" t="s">
        <v>794</v>
      </c>
      <c r="B28" s="291" t="s">
        <v>1058</v>
      </c>
      <c r="C28" s="292">
        <f>ROUND((C5+C19+C20)*F27*'数据-取费表'!B21/'数据-取费表'!B20,0)</f>
        <v>6159</v>
      </c>
      <c r="D28" s="278"/>
      <c r="E28" s="279"/>
      <c r="F28" s="289"/>
      <c r="G28" s="290"/>
    </row>
    <row r="29" spans="1:7" s="257" customFormat="1" ht="13.5" customHeight="1">
      <c r="A29" s="948" t="s">
        <v>792</v>
      </c>
      <c r="B29" s="291" t="s">
        <v>1059</v>
      </c>
      <c r="C29" s="281">
        <f>ROUND(C21*F27*'数据-取费表'!B21/'数据-取费表'!B20,4)</f>
        <v>8.6999999999999994E-3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32465</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205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183</v>
      </c>
      <c r="D34" s="260"/>
      <c r="E34" s="263"/>
      <c r="F34" s="300">
        <f>IF('数据-取费表'!B24=0,1,'数据-取费表'!N16)</f>
        <v>1</v>
      </c>
      <c r="G34" s="262" t="s">
        <v>116</v>
      </c>
    </row>
    <row r="35" spans="1:7" ht="13.5" customHeight="1">
      <c r="A35" s="948" t="s">
        <v>796</v>
      </c>
      <c r="B35" s="258" t="s">
        <v>60</v>
      </c>
      <c r="C35" s="263">
        <f>ROUND(C34*F35,0)</f>
        <v>9</v>
      </c>
      <c r="D35" s="263"/>
      <c r="E35" s="263"/>
      <c r="F35" s="302">
        <f>'数据-取费表'!B33</f>
        <v>0.05</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10</v>
      </c>
      <c r="D37" s="260">
        <f>'数据-汇总表'!E3</f>
        <v>499.07</v>
      </c>
      <c r="E37" s="292">
        <f>'数据-取费表'!B35</f>
        <v>200</v>
      </c>
      <c r="F37" s="302"/>
      <c r="G37" s="304" t="s">
        <v>119</v>
      </c>
    </row>
    <row r="38" spans="1:7" ht="13.5" customHeight="1">
      <c r="A38" s="948" t="s">
        <v>799</v>
      </c>
      <c r="B38" s="258" t="s">
        <v>63</v>
      </c>
      <c r="C38" s="263">
        <f>ROUND(C34*F38,0)</f>
        <v>3</v>
      </c>
      <c r="D38" s="263"/>
      <c r="E38" s="263"/>
      <c r="F38" s="302">
        <f>'数据-取费表'!B36</f>
        <v>1.4999999999999999E-2</v>
      </c>
      <c r="G38" s="262" t="s">
        <v>117</v>
      </c>
    </row>
    <row r="39" spans="1:7" s="257" customFormat="1" ht="13.5" customHeight="1">
      <c r="A39" s="945" t="s">
        <v>783</v>
      </c>
      <c r="B39" s="253" t="s">
        <v>104</v>
      </c>
      <c r="C39" s="275">
        <f>ROUND(C33*F20,0)</f>
        <v>6</v>
      </c>
      <c r="D39" s="275"/>
      <c r="E39" s="275"/>
      <c r="F39" s="276"/>
      <c r="G39" s="1286" t="s">
        <v>1067</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10</v>
      </c>
      <c r="D41" s="278">
        <f ca="1">C44</f>
        <v>1.4E-3</v>
      </c>
      <c r="E41" s="279" t="s">
        <v>129</v>
      </c>
      <c r="F41" s="280"/>
      <c r="G41" s="1286" t="str">
        <f>IF('数据-取费表'!B22&lt;=1,"单利计息","复利计息")</f>
        <v>复利计息</v>
      </c>
    </row>
    <row r="42" spans="1:7" ht="13.5" customHeight="1">
      <c r="A42" s="948" t="s">
        <v>794</v>
      </c>
      <c r="B42" s="258" t="s">
        <v>1057</v>
      </c>
      <c r="C42" s="281">
        <f ca="1">ROUND(IF('数据-取费表'!B22&lt;=1,C33*F22*'数据-取费表'!B21/2,C33*(POWER((1+F22),'数据-取费表'!B21/2)-1)),0)</f>
        <v>10</v>
      </c>
      <c r="D42" s="281"/>
      <c r="E42" s="281"/>
      <c r="F42" s="282"/>
      <c r="G42" s="3220" t="s">
        <v>121</v>
      </c>
    </row>
    <row r="43" spans="1:7" ht="13.5" customHeight="1">
      <c r="A43" s="948" t="s">
        <v>792</v>
      </c>
      <c r="B43" s="258" t="s">
        <v>1060</v>
      </c>
      <c r="C43" s="281">
        <f ca="1">ROUND(IF('数据-取费表'!B22&lt;=1,C39*F22*'数据-取费表'!B21/2,C39*(POWER((1+F22),'数据-取费表'!B21/2)-1)),0)</f>
        <v>0</v>
      </c>
      <c r="D43" s="281"/>
      <c r="E43" s="281"/>
      <c r="F43" s="282"/>
      <c r="G43" s="3221"/>
    </row>
    <row r="44" spans="1:7" ht="13.5" customHeight="1">
      <c r="A44" s="948" t="s">
        <v>793</v>
      </c>
      <c r="B44" s="258" t="s">
        <v>1062</v>
      </c>
      <c r="C44" s="281">
        <f ca="1">ROUND(IF('数据-取费表'!B22&lt;=1,C40*F22*'数据-取费表'!B21/2,C40*(POWER((1+F22),'数据-取费表'!B21/2)-1)),4)</f>
        <v>1.4E-3</v>
      </c>
      <c r="D44" s="281"/>
      <c r="E44" s="281"/>
      <c r="F44" s="282"/>
      <c r="G44" s="3222"/>
    </row>
    <row r="45" spans="1:7" s="257" customFormat="1" ht="13.5" customHeight="1">
      <c r="A45" s="945" t="s">
        <v>786</v>
      </c>
      <c r="B45" s="287" t="s">
        <v>112</v>
      </c>
      <c r="C45" s="288">
        <f>C46</f>
        <v>61</v>
      </c>
      <c r="D45" s="278">
        <f>C47</f>
        <v>8.6999999999999994E-3</v>
      </c>
      <c r="E45" s="279" t="s">
        <v>129</v>
      </c>
      <c r="F45" s="289"/>
      <c r="G45" s="290" t="s">
        <v>1068</v>
      </c>
    </row>
    <row r="46" spans="1:7" s="257" customFormat="1" ht="13.5" customHeight="1">
      <c r="A46" s="948" t="s">
        <v>794</v>
      </c>
      <c r="B46" s="291" t="s">
        <v>1061</v>
      </c>
      <c r="C46" s="292">
        <f>ROUND((C33+C39)*F27,0)</f>
        <v>61</v>
      </c>
      <c r="D46" s="306"/>
      <c r="E46" s="279"/>
      <c r="F46" s="289"/>
      <c r="G46" s="290"/>
    </row>
    <row r="47" spans="1:7" s="257" customFormat="1" ht="13.5" customHeight="1">
      <c r="A47" s="948" t="s">
        <v>792</v>
      </c>
      <c r="B47" s="291" t="s">
        <v>1063</v>
      </c>
      <c r="C47" s="281">
        <f>ROUND(C40*F27,4)</f>
        <v>8.6999999999999994E-3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311</v>
      </c>
      <c r="D49" s="275"/>
      <c r="E49" s="275"/>
      <c r="F49" s="307"/>
      <c r="G49" s="277" t="s">
        <v>1069</v>
      </c>
    </row>
    <row r="50" spans="1:7" s="301" customFormat="1" ht="24">
      <c r="A50" s="945" t="s">
        <v>789</v>
      </c>
      <c r="B50" s="253" t="s">
        <v>124</v>
      </c>
      <c r="C50" s="275"/>
      <c r="D50" s="275"/>
      <c r="E50" s="275"/>
      <c r="F50" s="307">
        <f>IF('数据-取费表'!B24=0,'数据-取费表'!N16,1)</f>
        <v>0.8</v>
      </c>
      <c r="G50" s="290" t="s">
        <v>125</v>
      </c>
    </row>
    <row r="51" spans="1:7" ht="16.5" customHeight="1">
      <c r="A51" s="945" t="s">
        <v>790</v>
      </c>
      <c r="B51" s="253" t="s">
        <v>132</v>
      </c>
      <c r="C51" s="275">
        <f ca="1">ROUND(C49*F50,0)</f>
        <v>249</v>
      </c>
      <c r="D51" s="275"/>
      <c r="E51" s="275"/>
      <c r="F51" s="307"/>
      <c r="G51" s="277" t="s">
        <v>64</v>
      </c>
    </row>
    <row r="52" spans="1:7" s="251" customFormat="1" ht="16.8" thickBot="1">
      <c r="A52" s="308" t="s">
        <v>65</v>
      </c>
      <c r="B52" s="309"/>
      <c r="C52" s="310">
        <f ca="1">C31+C51</f>
        <v>32714</v>
      </c>
      <c r="D52" s="309"/>
      <c r="E52" s="309"/>
      <c r="F52" s="309"/>
      <c r="G52" s="311"/>
    </row>
    <row r="55" spans="1:7" ht="15">
      <c r="B55" s="313" t="s">
        <v>66</v>
      </c>
      <c r="C55" s="314"/>
    </row>
    <row r="56" spans="1:7">
      <c r="B56" s="316" t="s">
        <v>67</v>
      </c>
      <c r="C56" s="317">
        <f ca="1">ROUND(C51/C52,3)</f>
        <v>8.0000000000000002E-3</v>
      </c>
    </row>
    <row r="57" spans="1:7">
      <c r="B57" s="316" t="s">
        <v>68</v>
      </c>
      <c r="C57" s="318">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60" t="s">
        <v>156</v>
      </c>
      <c r="B1" s="3360"/>
      <c r="C1" s="3360"/>
      <c r="D1" s="3360"/>
      <c r="E1" s="3360"/>
      <c r="F1" s="336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61" t="s">
        <v>169</v>
      </c>
      <c r="B2" s="3361"/>
      <c r="C2" s="3361"/>
      <c r="D2" s="3361"/>
      <c r="E2" s="3361"/>
      <c r="F2" s="336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60" t="s">
        <v>867</v>
      </c>
      <c r="B1" s="3360"/>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1635</v>
      </c>
      <c r="B2" s="3051" t="s">
        <v>1636</v>
      </c>
      <c r="C2" s="3051" t="s">
        <v>1637</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6">
      <c r="A3" s="3045"/>
      <c r="B3" s="3045"/>
      <c r="C3" s="3045"/>
      <c r="D3" s="1041" t="s">
        <v>1632</v>
      </c>
      <c r="E3" s="1041" t="s">
        <v>1638</v>
      </c>
      <c r="F3" s="1041" t="s">
        <v>1632</v>
      </c>
      <c r="G3" s="1041" t="s">
        <v>1633</v>
      </c>
      <c r="H3" s="1041" t="s">
        <v>1632</v>
      </c>
      <c r="I3" s="1041" t="s">
        <v>1633</v>
      </c>
    </row>
    <row r="4" spans="1:9" ht="15">
      <c r="A4" s="1969" t="str">
        <f>项目基本情况!S2</f>
        <v>房地产</v>
      </c>
      <c r="B4" s="1041">
        <f>项目基本情况!C17</f>
        <v>499.07</v>
      </c>
      <c r="C4" s="1041">
        <f>项目基本情况!C18</f>
        <v>14543</v>
      </c>
      <c r="D4" s="1041" t="e">
        <f ca="1">结果表!D118</f>
        <v>#REF!</v>
      </c>
      <c r="E4" s="1041" t="e">
        <f ca="1">结果表!E118</f>
        <v>#REF!</v>
      </c>
      <c r="F4" s="1041" t="e">
        <f ca="1">结果表!F118</f>
        <v>#REF!</v>
      </c>
      <c r="G4" s="1041" t="e">
        <f ca="1">结果表!G118</f>
        <v>#REF!</v>
      </c>
      <c r="H4" s="1041">
        <f ca="1">结果表!H118</f>
        <v>2333</v>
      </c>
      <c r="I4" s="1041">
        <f ca="1">结果表!I118</f>
        <v>46747</v>
      </c>
    </row>
    <row r="5" spans="1:9" ht="30" customHeight="1">
      <c r="A5" s="3045" t="s">
        <v>1634</v>
      </c>
      <c r="B5" s="3045"/>
      <c r="C5" s="3045"/>
      <c r="D5" s="3046" t="e">
        <f ca="1">结果表!D119</f>
        <v>#REF!</v>
      </c>
      <c r="E5" s="3046"/>
      <c r="F5" s="3046" t="e">
        <f ca="1">结果表!F119</f>
        <v>#REF!</v>
      </c>
      <c r="G5" s="3046"/>
      <c r="H5" s="3046" t="str">
        <f ca="1">结果表!H119</f>
        <v>贰仟叁佰叁拾叁万元整</v>
      </c>
      <c r="I5" s="3046"/>
    </row>
    <row r="6" spans="1:9" ht="15.6">
      <c r="A6" s="3044" t="str">
        <f>结果表!A120</f>
        <v>估价师知悉的法定优先受偿款</v>
      </c>
      <c r="B6" s="3044"/>
      <c r="C6" s="3044"/>
      <c r="D6" s="3044">
        <f>结果表!D120</f>
        <v>0</v>
      </c>
      <c r="E6" s="3044"/>
      <c r="F6" s="3044"/>
      <c r="G6" s="3044"/>
      <c r="H6" s="3044"/>
      <c r="I6" s="3044"/>
    </row>
    <row r="7" spans="1:9" ht="15">
      <c r="A7" s="3045" t="s">
        <v>1634</v>
      </c>
      <c r="B7" s="3045"/>
      <c r="C7" s="3045"/>
      <c r="D7" s="3047" t="str">
        <f>结果表!D121</f>
        <v>零元整</v>
      </c>
      <c r="E7" s="3048"/>
      <c r="F7" s="3048"/>
      <c r="G7" s="3048"/>
      <c r="H7" s="3048"/>
      <c r="I7" s="3049"/>
    </row>
    <row r="8" spans="1:9" ht="15.6">
      <c r="A8" s="3044" t="str">
        <f>结果表!A122</f>
        <v>房地产抵押价值</v>
      </c>
      <c r="B8" s="3044"/>
      <c r="C8" s="3044"/>
      <c r="D8" s="3044">
        <f ca="1">结果表!D122</f>
        <v>2333</v>
      </c>
      <c r="E8" s="3044"/>
      <c r="F8" s="3044"/>
      <c r="G8" s="3044"/>
      <c r="H8" s="3044"/>
      <c r="I8" s="3044"/>
    </row>
    <row r="9" spans="1:9" ht="15">
      <c r="A9" s="3045" t="s">
        <v>1634</v>
      </c>
      <c r="B9" s="3045"/>
      <c r="C9" s="3045"/>
      <c r="D9" s="3046" t="str">
        <f ca="1">结果表!D123</f>
        <v>贰仟叁佰叁拾叁万元整</v>
      </c>
      <c r="E9" s="3046"/>
      <c r="F9" s="3046"/>
      <c r="G9" s="3046"/>
      <c r="H9" s="3046"/>
      <c r="I9" s="3046"/>
    </row>
    <row r="10" spans="1:9" ht="15.6">
      <c r="A10" s="3044" t="str">
        <f>结果表!A124</f>
        <v/>
      </c>
      <c r="B10" s="3044"/>
      <c r="C10" s="3044"/>
      <c r="D10" s="3044" t="str">
        <f>结果表!D124</f>
        <v>——</v>
      </c>
      <c r="E10" s="3044"/>
      <c r="F10" s="3044"/>
      <c r="G10" s="3044"/>
      <c r="H10" s="3044"/>
      <c r="I10" s="3044"/>
    </row>
    <row r="11" spans="1:9" ht="15">
      <c r="A11" s="3045" t="s">
        <v>1634</v>
      </c>
      <c r="B11" s="3045"/>
      <c r="C11" s="3045"/>
      <c r="D11" s="3046" t="e">
        <f>结果表!D125</f>
        <v>#VALUE!</v>
      </c>
      <c r="E11" s="3046"/>
      <c r="F11" s="3046"/>
      <c r="G11" s="3046"/>
      <c r="H11" s="3046"/>
      <c r="I11" s="3046"/>
    </row>
    <row r="12" spans="1:9" ht="15.6">
      <c r="A12" s="3044" t="str">
        <f>结果表!A126</f>
        <v/>
      </c>
      <c r="B12" s="3044"/>
      <c r="C12" s="3044"/>
      <c r="D12" s="3044" t="str">
        <f>结果表!D126</f>
        <v>——</v>
      </c>
      <c r="E12" s="3044"/>
      <c r="F12" s="3044"/>
      <c r="G12" s="3044"/>
      <c r="H12" s="3044"/>
      <c r="I12" s="3044"/>
    </row>
    <row r="13" spans="1:9" ht="15.6" thickBot="1">
      <c r="A13" s="3041" t="s">
        <v>1634</v>
      </c>
      <c r="B13" s="3041"/>
      <c r="C13" s="3041"/>
      <c r="D13" s="3042" t="e">
        <f>结果表!D127</f>
        <v>#VALUE!</v>
      </c>
      <c r="E13" s="3042"/>
      <c r="F13" s="3042"/>
      <c r="G13" s="3042"/>
      <c r="H13" s="3042"/>
      <c r="I13" s="3042"/>
    </row>
    <row r="14" spans="1:9" ht="14.4" thickTop="1">
      <c r="A14" s="3043" t="s">
        <v>1639</v>
      </c>
      <c r="B14" s="3043"/>
      <c r="C14" s="3043"/>
      <c r="D14" s="3043"/>
      <c r="E14" s="3043"/>
      <c r="F14" s="3043"/>
      <c r="G14" s="3043"/>
      <c r="H14" s="3043"/>
      <c r="I14" s="3043"/>
    </row>
    <row r="16" spans="1:9" ht="17.399999999999999">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1295</v>
      </c>
      <c r="C1" s="1691">
        <f>项目基本情况!D3</f>
        <v>43845</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17"/>
  <sheetViews>
    <sheetView workbookViewId="0">
      <selection activeCell="K25" sqref="K25"/>
    </sheetView>
  </sheetViews>
  <sheetFormatPr defaultRowHeight="14.4"/>
  <sheetData>
    <row r="1" spans="1:13" ht="27.6">
      <c r="A1" s="1779" t="s">
        <v>1367</v>
      </c>
      <c r="E1" s="1773" t="s">
        <v>1371</v>
      </c>
      <c r="F1" s="1774" t="s">
        <v>1375</v>
      </c>
    </row>
    <row r="2" spans="1:13" ht="19.8">
      <c r="A2" s="1780" t="s">
        <v>1368</v>
      </c>
    </row>
    <row r="3" spans="1:13" ht="15.6">
      <c r="A3" s="1781" t="s">
        <v>1369</v>
      </c>
    </row>
    <row r="4" spans="1:13">
      <c r="A4" s="1771" t="s">
        <v>1370</v>
      </c>
      <c r="B4" s="1776" t="s">
        <v>1372</v>
      </c>
      <c r="C4" s="1777"/>
      <c r="D4" s="1778"/>
      <c r="E4" s="1776" t="s">
        <v>27</v>
      </c>
      <c r="F4" s="1777"/>
      <c r="G4" s="1778"/>
      <c r="H4" s="1776" t="s">
        <v>1373</v>
      </c>
      <c r="I4" s="1777"/>
      <c r="J4" s="1778"/>
      <c r="K4" s="1776" t="s">
        <v>6</v>
      </c>
      <c r="L4" s="1777"/>
      <c r="M4" s="1778"/>
    </row>
    <row r="5" spans="1:13">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60" t="s">
        <v>2525</v>
      </c>
      <c r="B1" s="2561"/>
      <c r="C1" s="2561"/>
      <c r="D1" s="2561"/>
      <c r="E1" s="2562"/>
    </row>
    <row r="2" spans="1:6" ht="15.6">
      <c r="A2" s="2563" t="s">
        <v>2326</v>
      </c>
      <c r="B2" s="2564">
        <f ca="1">SUMIF(B6:B13,"&lt;&gt;#ref!",B6:B13)</f>
        <v>2631</v>
      </c>
      <c r="C2" s="2565" t="s">
        <v>2518</v>
      </c>
      <c r="D2" s="2566" t="s">
        <v>2519</v>
      </c>
      <c r="E2" s="2567">
        <f>SUM(E6:E13)</f>
        <v>499.07</v>
      </c>
    </row>
    <row r="3" spans="1:6" ht="15.6">
      <c r="A3" s="2563" t="s">
        <v>1389</v>
      </c>
      <c r="B3" s="2564">
        <f ca="1">ROUND(B2*10000/E2,0)</f>
        <v>52718</v>
      </c>
      <c r="C3" s="2565" t="s">
        <v>2526</v>
      </c>
      <c r="D3" s="2568"/>
      <c r="E3" s="2569"/>
    </row>
    <row r="4" spans="1:6" ht="15.6">
      <c r="A4" s="2570"/>
      <c r="B4" s="2568"/>
      <c r="C4" s="2568"/>
      <c r="D4" s="2568"/>
      <c r="E4" s="2569"/>
    </row>
    <row r="5" spans="1:6" ht="14.4">
      <c r="A5" s="2571" t="s">
        <v>2520</v>
      </c>
      <c r="B5" s="3364" t="s">
        <v>2521</v>
      </c>
      <c r="C5" s="3364"/>
      <c r="D5" s="2572"/>
      <c r="E5" s="2573" t="s">
        <v>2522</v>
      </c>
      <c r="F5" s="2574" t="s">
        <v>2523</v>
      </c>
    </row>
    <row r="6" spans="1:6" ht="14.4">
      <c r="A6" s="2575" t="str">
        <f>'数据-取费表'!AN6</f>
        <v>收益法 (元) (公寓)</v>
      </c>
      <c r="B6" s="2574">
        <f ca="1">IF(F6="是",'数据-取费表'!AO6,0)</f>
        <v>275</v>
      </c>
      <c r="C6" s="2565" t="s">
        <v>2518</v>
      </c>
      <c r="D6" s="2568"/>
      <c r="E6" s="2576">
        <f>IF(OR(A6=0,F6="否"),0,'数据-取费表'!K6+'数据-取费表'!S6)</f>
        <v>55.46</v>
      </c>
      <c r="F6" s="2577" t="s">
        <v>2524</v>
      </c>
    </row>
    <row r="7" spans="1:6" ht="14.4">
      <c r="A7" s="2575" t="str">
        <f>'数据-取费表'!AN7</f>
        <v>收益法 (元)</v>
      </c>
      <c r="B7" s="2574">
        <f ca="1">IF(F7="是",'数据-取费表'!AO7,0)</f>
        <v>2356</v>
      </c>
      <c r="C7" s="2565" t="s">
        <v>2518</v>
      </c>
      <c r="D7" s="2568"/>
      <c r="E7" s="2576">
        <f>IF(OR(A7=0,F7="否"),0,'数据-取费表'!K7+'数据-取费表'!S7)</f>
        <v>443.61</v>
      </c>
      <c r="F7" s="2577" t="s">
        <v>2524</v>
      </c>
    </row>
    <row r="8" spans="1:6" ht="14.4">
      <c r="A8" s="2575">
        <f>'数据-取费表'!AN8</f>
        <v>0</v>
      </c>
      <c r="B8" s="2574" t="e">
        <f ca="1">IF(F8="是",'数据-取费表'!AO8,0)</f>
        <v>#REF!</v>
      </c>
      <c r="C8" s="2565" t="s">
        <v>2518</v>
      </c>
      <c r="D8" s="2568"/>
      <c r="E8" s="2576">
        <f>IF(OR(A8=0,F8="否"),0,'数据-取费表'!K8+'数据-取费表'!S8)</f>
        <v>0</v>
      </c>
      <c r="F8" s="2577" t="s">
        <v>2524</v>
      </c>
    </row>
    <row r="9" spans="1:6" ht="14.4">
      <c r="A9" s="2575">
        <f>'数据-取费表'!AN9</f>
        <v>0</v>
      </c>
      <c r="B9" s="2574" t="e">
        <f ca="1">IF(F9="是",'数据-取费表'!AO9,0)</f>
        <v>#REF!</v>
      </c>
      <c r="C9" s="2565" t="s">
        <v>2518</v>
      </c>
      <c r="D9" s="2568"/>
      <c r="E9" s="2576">
        <f>IF(OR(A9=0,F9="否"),0,'数据-取费表'!K9+'数据-取费表'!S9)</f>
        <v>0</v>
      </c>
      <c r="F9" s="2577" t="s">
        <v>2524</v>
      </c>
    </row>
    <row r="10" spans="1:6" ht="14.4">
      <c r="A10" s="2575">
        <f>'数据-取费表'!AN10</f>
        <v>0</v>
      </c>
      <c r="B10" s="2574" t="e">
        <f ca="1">IF(F10="是",'数据-取费表'!AO10,0)</f>
        <v>#REF!</v>
      </c>
      <c r="C10" s="2565" t="s">
        <v>2518</v>
      </c>
      <c r="D10" s="2568"/>
      <c r="E10" s="2576">
        <f>IF(OR(A10=0,F10="否"),0,'数据-取费表'!K10+'数据-取费表'!S10)</f>
        <v>0</v>
      </c>
      <c r="F10" s="2577" t="s">
        <v>2524</v>
      </c>
    </row>
    <row r="11" spans="1:6" ht="14.4">
      <c r="A11" s="2575">
        <f>'数据-取费表'!AN11</f>
        <v>0</v>
      </c>
      <c r="B11" s="2574" t="e">
        <f ca="1">IF(F11="是",'数据-取费表'!AO11,0)</f>
        <v>#REF!</v>
      </c>
      <c r="C11" s="2565" t="s">
        <v>2518</v>
      </c>
      <c r="D11" s="2568"/>
      <c r="E11" s="2576">
        <f>IF(OR(A11=0,F11="否"),0,'数据-取费表'!K11+'数据-取费表'!S11)</f>
        <v>0</v>
      </c>
      <c r="F11" s="2577" t="s">
        <v>2524</v>
      </c>
    </row>
    <row r="12" spans="1:6" ht="14.4">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58" t="s">
        <v>1656</v>
      </c>
      <c r="B1" s="3058"/>
      <c r="C1" s="3058"/>
      <c r="D1" s="3058"/>
    </row>
    <row r="2" spans="1:4" ht="17.399999999999999">
      <c r="A2" s="3059" t="s">
        <v>1640</v>
      </c>
      <c r="B2" s="3059"/>
      <c r="C2" s="3059"/>
      <c r="D2" s="3059"/>
    </row>
    <row r="3" spans="1:4" ht="17.399999999999999">
      <c r="A3" s="1973" t="s">
        <v>1641</v>
      </c>
      <c r="B3" s="1973" t="s">
        <v>1642</v>
      </c>
      <c r="C3" s="1973" t="s">
        <v>1643</v>
      </c>
      <c r="D3" s="1973" t="s">
        <v>1644</v>
      </c>
    </row>
    <row r="4" spans="1:4" ht="56.25" customHeight="1">
      <c r="A4" s="1974">
        <f>项目基本情况!B4</f>
        <v>0</v>
      </c>
      <c r="B4" s="1975">
        <f>项目基本情况!C4</f>
        <v>0</v>
      </c>
      <c r="C4" s="1976"/>
      <c r="D4" s="1977" t="s">
        <v>1645</v>
      </c>
    </row>
    <row r="5" spans="1:4" ht="56.25" customHeight="1">
      <c r="A5" s="1974">
        <f>项目基本情况!D4</f>
        <v>0</v>
      </c>
      <c r="B5" s="1975">
        <f>项目基本情况!E4</f>
        <v>0</v>
      </c>
      <c r="C5" s="1978"/>
      <c r="D5" s="1977" t="s">
        <v>1645</v>
      </c>
    </row>
    <row r="6" spans="1:4" ht="17.399999999999999">
      <c r="A6" s="3059" t="s">
        <v>1646</v>
      </c>
      <c r="B6" s="3059"/>
      <c r="C6" s="3059"/>
      <c r="D6" s="3059"/>
    </row>
    <row r="7" spans="1:4" ht="17.399999999999999">
      <c r="A7" s="1973" t="s">
        <v>1641</v>
      </c>
      <c r="B7" s="1975" t="s">
        <v>1647</v>
      </c>
      <c r="C7" s="1973" t="s">
        <v>1643</v>
      </c>
      <c r="D7" s="1973" t="s">
        <v>1644</v>
      </c>
    </row>
    <row r="8" spans="1:4" ht="56.25" customHeight="1">
      <c r="A8" s="1979" t="s">
        <v>865</v>
      </c>
      <c r="B8" s="1979" t="s">
        <v>1</v>
      </c>
      <c r="C8" s="1976"/>
      <c r="D8" s="1977" t="s">
        <v>1645</v>
      </c>
    </row>
    <row r="9" spans="1:4">
      <c r="A9" s="725"/>
      <c r="B9" s="725"/>
      <c r="C9" s="725"/>
      <c r="D9" s="725"/>
    </row>
    <row r="10" spans="1:4" ht="17.399999999999999">
      <c r="A10" s="1980" t="s">
        <v>1648</v>
      </c>
      <c r="B10" s="725"/>
      <c r="C10" s="725"/>
      <c r="D10" s="725"/>
    </row>
    <row r="11" spans="1:4" ht="30" customHeight="1">
      <c r="A11" s="3060" t="s">
        <v>1649</v>
      </c>
      <c r="B11" s="3052"/>
      <c r="C11" s="3052"/>
      <c r="D11" s="3052"/>
    </row>
    <row r="12" spans="1:4" ht="15.6">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2" t="str">
        <f>IF(项目基本情况!B8="抵押","4.本次评估估价师所知悉的法定优先受偿款情况说明如下：","——")</f>
        <v>4.本次评估估价师所知悉的法定优先受偿款情况说明如下：</v>
      </c>
      <c r="B14" s="3057"/>
      <c r="C14" s="3057"/>
      <c r="D14" s="3057"/>
    </row>
    <row r="15" spans="1:4" ht="42" customHeight="1">
      <c r="A15" s="30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2"/>
      <c r="C15" s="3052"/>
      <c r="D15" s="3052"/>
    </row>
    <row r="16" spans="1:4" ht="30" customHeight="1">
      <c r="A16" s="3054" t="s">
        <v>1650</v>
      </c>
      <c r="B16" s="3054"/>
      <c r="C16" s="3054"/>
      <c r="D16" s="3054"/>
    </row>
    <row r="17" spans="1:4" ht="144" customHeight="1">
      <c r="A17" s="3054" t="s">
        <v>1651</v>
      </c>
      <c r="B17" s="3054"/>
      <c r="C17" s="3054"/>
      <c r="D17" s="3054"/>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1652</v>
      </c>
      <c r="B22" s="3056"/>
      <c r="C22" s="3056"/>
      <c r="D22" s="3056"/>
    </row>
    <row r="23" spans="1:4">
      <c r="A23" s="1981"/>
      <c r="B23" s="1953"/>
      <c r="C23" s="1953"/>
      <c r="D23" s="1953"/>
    </row>
    <row r="24" spans="1:4">
      <c r="A24" s="1981"/>
      <c r="B24" s="1953"/>
      <c r="C24" s="1953"/>
      <c r="D24" s="1953"/>
    </row>
    <row r="25" spans="1:4" ht="17.399999999999999">
      <c r="A25" s="1982" t="s">
        <v>1653</v>
      </c>
    </row>
    <row r="26" spans="1:4" ht="17.399999999999999">
      <c r="A26" s="1951"/>
    </row>
    <row r="27" spans="1:4" ht="17.399999999999999">
      <c r="A27" s="1951" t="s">
        <v>1654</v>
      </c>
    </row>
    <row r="30" spans="1:4" ht="17.399999999999999">
      <c r="D30" s="1982" t="s">
        <v>1655</v>
      </c>
    </row>
    <row r="31" spans="1:4" ht="13.5" customHeight="1">
      <c r="C31" s="3053">
        <v>42551</v>
      </c>
      <c r="D31" s="30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866</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4.4">
      <c r="A15" s="3066" t="s">
        <v>1663</v>
      </c>
      <c r="B15" s="3061" t="s">
        <v>136</v>
      </c>
      <c r="C15" s="3062"/>
    </row>
    <row r="16" spans="1:7" ht="14.4">
      <c r="A16" s="3067"/>
      <c r="B16" s="3061" t="s">
        <v>69</v>
      </c>
      <c r="C16" s="3062"/>
    </row>
    <row r="17" spans="1:3" ht="14.4">
      <c r="A17" s="3067"/>
      <c r="B17" s="3064" t="s">
        <v>1664</v>
      </c>
      <c r="C17" s="1996" t="s">
        <v>1663</v>
      </c>
    </row>
    <row r="18" spans="1:3" ht="14.4">
      <c r="A18" s="3067"/>
      <c r="B18" s="3064"/>
      <c r="C18" s="1996" t="s">
        <v>1665</v>
      </c>
    </row>
    <row r="19" spans="1:3" ht="14.4">
      <c r="A19" s="3067"/>
      <c r="B19" s="3064"/>
      <c r="C19" s="1996" t="s">
        <v>1666</v>
      </c>
    </row>
    <row r="20" spans="1:3" ht="14.4">
      <c r="A20" s="3068"/>
      <c r="B20" s="3063" t="s">
        <v>1667</v>
      </c>
      <c r="C20" s="3062"/>
    </row>
    <row r="21" spans="1:3" ht="14.4">
      <c r="A21" s="1997" t="s">
        <v>1668</v>
      </c>
      <c r="B21" s="1998"/>
      <c r="C21" s="1999"/>
    </row>
    <row r="22" spans="1:3" ht="14.4">
      <c r="A22" s="3065" t="s">
        <v>1669</v>
      </c>
      <c r="B22" s="3063" t="s">
        <v>1670</v>
      </c>
      <c r="C22" s="3062"/>
    </row>
    <row r="23" spans="1:3" ht="14.4">
      <c r="A23" s="3065"/>
      <c r="B23" s="3063" t="s">
        <v>1671</v>
      </c>
      <c r="C23" s="3062"/>
    </row>
    <row r="24" spans="1:3" ht="14.4">
      <c r="A24" s="3065"/>
      <c r="B24" s="3063" t="s">
        <v>1672</v>
      </c>
      <c r="C24" s="3062"/>
    </row>
    <row r="25" spans="1:3" ht="14.4">
      <c r="A25" s="3065"/>
      <c r="B25" s="3064" t="s">
        <v>1673</v>
      </c>
      <c r="C25" s="1996" t="s">
        <v>1674</v>
      </c>
    </row>
    <row r="26" spans="1:3" ht="14.4">
      <c r="A26" s="3065"/>
      <c r="B26" s="3064"/>
      <c r="C26" s="1996" t="s">
        <v>1675</v>
      </c>
    </row>
    <row r="27" spans="1:3" ht="14.4">
      <c r="A27" s="3065"/>
      <c r="B27" s="3064"/>
      <c r="C27" s="1996" t="s">
        <v>1676</v>
      </c>
    </row>
    <row r="28" spans="1:3" ht="14.4">
      <c r="A28" s="3065"/>
      <c r="B28" s="3064"/>
      <c r="C28" s="1996" t="s">
        <v>1677</v>
      </c>
    </row>
    <row r="29" spans="1:3" ht="14.4">
      <c r="A29" s="3065"/>
      <c r="B29" s="3064"/>
      <c r="C29" s="1996" t="s">
        <v>1678</v>
      </c>
    </row>
    <row r="30" spans="1:3" ht="14.4">
      <c r="A30" s="3065"/>
      <c r="B30" s="3064"/>
      <c r="C30" s="1996" t="s">
        <v>1679</v>
      </c>
    </row>
    <row r="31" spans="1:3" ht="14.4">
      <c r="A31" s="3065"/>
      <c r="B31" s="3064"/>
      <c r="C31" s="1996" t="s">
        <v>1680</v>
      </c>
    </row>
    <row r="32" spans="1:3" ht="14.4">
      <c r="A32" s="3065"/>
      <c r="B32" s="3064"/>
      <c r="C32" s="1996" t="s">
        <v>1681</v>
      </c>
    </row>
    <row r="33" spans="1:3" ht="14.4">
      <c r="A33" s="3065"/>
      <c r="B33" s="3064"/>
      <c r="C33" s="1996" t="s">
        <v>1682</v>
      </c>
    </row>
    <row r="34" spans="1:3">
      <c r="A34" s="2000" t="s">
        <v>76</v>
      </c>
    </row>
    <row r="37" spans="1:3">
      <c r="A37" s="2000" t="s">
        <v>1683</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4" zoomScale="70" zoomScaleNormal="100" zoomScaleSheetLayoutView="70" workbookViewId="0">
      <selection activeCell="C19" sqref="C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43875</v>
      </c>
      <c r="C2" s="1016" t="s">
        <v>826</v>
      </c>
      <c r="D2" s="1016"/>
    </row>
    <row r="3" spans="1:6" ht="24" customHeight="1">
      <c r="A3" s="1017" t="s">
        <v>827</v>
      </c>
      <c r="B3" s="1018" t="s">
        <v>828</v>
      </c>
      <c r="C3" s="2344" t="s">
        <v>829</v>
      </c>
      <c r="D3" s="2347" t="s">
        <v>830</v>
      </c>
      <c r="E3" s="1019" t="s">
        <v>831</v>
      </c>
      <c r="F3" s="1018" t="s">
        <v>829</v>
      </c>
    </row>
    <row r="4" spans="1:6" ht="24" customHeight="1">
      <c r="A4" s="1699" t="s">
        <v>832</v>
      </c>
      <c r="B4" s="1019" t="str">
        <f ca="1">IF(C4&lt;B2,"已过期",1119970066)</f>
        <v>已过期</v>
      </c>
      <c r="C4" s="2345">
        <v>43849</v>
      </c>
      <c r="D4" s="2348" t="s">
        <v>832</v>
      </c>
      <c r="E4" s="1019">
        <f ca="1">IF(F4&lt;B2,"已过期",96010014)</f>
        <v>96010014</v>
      </c>
      <c r="F4" s="1027">
        <v>47118</v>
      </c>
    </row>
    <row r="5" spans="1:6" ht="24" customHeight="1">
      <c r="A5" s="1699"/>
      <c r="B5" s="1019"/>
      <c r="C5" s="2345"/>
      <c r="D5" s="2348"/>
      <c r="E5" s="1019"/>
      <c r="F5" s="1027"/>
    </row>
    <row r="6" spans="1:6" ht="24" customHeight="1">
      <c r="A6" s="1699" t="s">
        <v>833</v>
      </c>
      <c r="B6" s="1019">
        <f ca="1">IF(C6&lt;B2,"已过期",1119970111)</f>
        <v>1119970111</v>
      </c>
      <c r="C6" s="2345">
        <v>44876</v>
      </c>
      <c r="D6" s="2348" t="s">
        <v>833</v>
      </c>
      <c r="E6" s="1019">
        <f ca="1">IF(F6&lt;B2,"已过期",94010078)</f>
        <v>94010078</v>
      </c>
      <c r="F6" s="1027">
        <v>46387</v>
      </c>
    </row>
    <row r="7" spans="1:6" ht="24" customHeight="1">
      <c r="A7" s="1699" t="s">
        <v>834</v>
      </c>
      <c r="B7" s="1019">
        <f ca="1">IF(C7&lt;B2,"已过期",1120050019)</f>
        <v>1120050019</v>
      </c>
      <c r="C7" s="2345">
        <v>44395</v>
      </c>
      <c r="D7" s="2348" t="s">
        <v>834</v>
      </c>
      <c r="E7" s="1019">
        <f ca="1">IF(F7&lt;B2,"已过期",2002110030)</f>
        <v>2002110030</v>
      </c>
      <c r="F7" s="1027">
        <v>46387</v>
      </c>
    </row>
    <row r="8" spans="1:6" ht="24" customHeight="1">
      <c r="A8" s="1699" t="s">
        <v>835</v>
      </c>
      <c r="B8" s="1019" t="str">
        <f ca="1">IF(C8&lt;B2,"已过期",1120000080)</f>
        <v>已过期</v>
      </c>
      <c r="C8" s="2345">
        <v>43849</v>
      </c>
      <c r="D8" s="2348" t="s">
        <v>835</v>
      </c>
      <c r="E8" s="1019">
        <f ca="1">IF(F8&lt;B2,"已过期",2000110082)</f>
        <v>2000110082</v>
      </c>
      <c r="F8" s="1027">
        <v>46387</v>
      </c>
    </row>
    <row r="9" spans="1:6" ht="24" customHeight="1">
      <c r="A9" s="1699" t="s">
        <v>836</v>
      </c>
      <c r="B9" s="1019" t="str">
        <f ca="1">IF(C9&lt;B2,"已过期",1419970001)</f>
        <v>已过期</v>
      </c>
      <c r="C9" s="2345">
        <v>43867</v>
      </c>
      <c r="D9" s="2348" t="s">
        <v>836</v>
      </c>
      <c r="E9" s="1019">
        <f ca="1">IF(F9&lt;B2,"已过期",2002110125)</f>
        <v>2002110125</v>
      </c>
      <c r="F9" s="1027">
        <v>47118</v>
      </c>
    </row>
    <row r="10" spans="1:6" ht="24" customHeight="1">
      <c r="A10" s="1699" t="s">
        <v>837</v>
      </c>
      <c r="B10" s="1019">
        <f ca="1">IF(C10&lt;B2,"已过期",1120060040)</f>
        <v>1120060040</v>
      </c>
      <c r="C10" s="2345">
        <v>44554</v>
      </c>
      <c r="D10" s="2348" t="s">
        <v>837</v>
      </c>
      <c r="E10" s="1019">
        <f ca="1">IF(F10&lt;B2,"已过期",2004110096)</f>
        <v>2004110096</v>
      </c>
      <c r="F10" s="1027">
        <v>47118</v>
      </c>
    </row>
    <row r="11" spans="1:6" ht="24" customHeight="1">
      <c r="A11" s="1699" t="s">
        <v>838</v>
      </c>
      <c r="B11" s="1019">
        <f ca="1">IF(C11&lt;B2,"已过期",1120100036)</f>
        <v>1120100036</v>
      </c>
      <c r="C11" s="2345">
        <v>44675</v>
      </c>
      <c r="D11" s="2348" t="s">
        <v>838</v>
      </c>
      <c r="E11" s="1019">
        <f ca="1">IF(F11&lt;B2,"已过期",2010110070)</f>
        <v>2010110070</v>
      </c>
      <c r="F11" s="1027">
        <v>47907</v>
      </c>
    </row>
    <row r="12" spans="1:6" ht="24" customHeight="1">
      <c r="A12" s="1699"/>
      <c r="B12" s="1019"/>
      <c r="C12" s="2927"/>
      <c r="D12" s="1699"/>
      <c r="E12" s="1019"/>
      <c r="F12" s="1027"/>
    </row>
    <row r="13" spans="1:6" ht="24" customHeight="1">
      <c r="A13" s="1699" t="s">
        <v>839</v>
      </c>
      <c r="B13" s="1019">
        <f ca="1">IF(C13&lt;B2,"已过期",1120070131)</f>
        <v>1120070131</v>
      </c>
      <c r="C13" s="2345">
        <v>44849</v>
      </c>
      <c r="D13" s="2348" t="s">
        <v>839</v>
      </c>
      <c r="E13" s="1019">
        <f ca="1">IF(F13&lt;B2,"已过期",2014110011)</f>
        <v>2014110011</v>
      </c>
      <c r="F13" s="1027">
        <v>49302</v>
      </c>
    </row>
    <row r="14" spans="1:6" ht="24" customHeight="1">
      <c r="A14" s="1699" t="s">
        <v>3043</v>
      </c>
      <c r="B14" s="1019">
        <f ca="1">IF(C14&lt;B2,"已过期",1120040230)</f>
        <v>1120040230</v>
      </c>
      <c r="C14" s="2345">
        <v>44864</v>
      </c>
      <c r="D14" s="2348" t="s">
        <v>3043</v>
      </c>
      <c r="E14" s="1019">
        <f ca="1">IF(F14&lt;B2,"已过期",98030020)</f>
        <v>98030020</v>
      </c>
      <c r="F14" s="1027">
        <v>47118</v>
      </c>
    </row>
    <row r="15" spans="1:6" ht="24" customHeight="1">
      <c r="A15" s="1700"/>
      <c r="B15" s="1019"/>
      <c r="C15" s="2345"/>
      <c r="D15" s="2349"/>
      <c r="E15" s="1019"/>
      <c r="F15" s="1020"/>
    </row>
    <row r="16" spans="1:6" ht="24" customHeight="1">
      <c r="A16" s="1699"/>
      <c r="B16" s="1019"/>
      <c r="C16" s="2927"/>
      <c r="D16" s="2348"/>
      <c r="E16" s="1019"/>
      <c r="F16" s="1027"/>
    </row>
    <row r="17" spans="1:7" ht="24" customHeight="1">
      <c r="A17" s="1699"/>
      <c r="B17" s="1019"/>
      <c r="C17" s="2345"/>
      <c r="D17" s="2348"/>
      <c r="E17" s="1019"/>
      <c r="F17" s="1027"/>
    </row>
    <row r="18" spans="1:7" ht="24" customHeight="1">
      <c r="A18" s="1699" t="s">
        <v>3050</v>
      </c>
      <c r="B18" s="1019">
        <v>1120190079</v>
      </c>
      <c r="C18" s="2927">
        <v>44826</v>
      </c>
      <c r="D18" s="2348"/>
      <c r="E18" s="1019"/>
      <c r="F18" s="1027"/>
    </row>
    <row r="19" spans="1:7" ht="24" customHeight="1">
      <c r="A19" s="1699"/>
      <c r="B19" s="1019"/>
      <c r="C19" s="2345"/>
      <c r="D19" s="2348"/>
      <c r="E19" s="1019"/>
      <c r="F19" s="1019"/>
    </row>
    <row r="20" spans="1:7" ht="24" customHeight="1">
      <c r="A20" s="1699"/>
      <c r="B20" s="1019"/>
      <c r="C20" s="2345"/>
      <c r="D20" s="2348"/>
      <c r="E20" s="1019"/>
      <c r="F20" s="1019"/>
    </row>
    <row r="21" spans="1:7" ht="24" customHeight="1">
      <c r="A21" s="1699"/>
      <c r="B21" s="1019"/>
      <c r="C21" s="2345"/>
      <c r="D21" s="2348" t="s">
        <v>840</v>
      </c>
      <c r="E21" s="1019">
        <f ca="1">IF(F21&lt;B2,"已过期",2011110090)</f>
        <v>2011110090</v>
      </c>
      <c r="F21" s="1027">
        <v>48302</v>
      </c>
    </row>
    <row r="22" spans="1:7" ht="24" customHeight="1">
      <c r="A22" s="1699" t="s">
        <v>841</v>
      </c>
      <c r="B22" s="1019">
        <f ca="1">IF(C22&lt;B2,"已过期",1120020033)</f>
        <v>1120020033</v>
      </c>
      <c r="C22" s="2927">
        <v>44339</v>
      </c>
      <c r="D22" s="2348" t="s">
        <v>841</v>
      </c>
      <c r="E22" s="1019">
        <f ca="1">IF(F22&lt;B2,"已过期",2000110137)</f>
        <v>2000110137</v>
      </c>
      <c r="F22" s="1027">
        <v>46387</v>
      </c>
    </row>
    <row r="23" spans="1:7" ht="24" customHeight="1">
      <c r="A23" s="1699" t="s">
        <v>3052</v>
      </c>
      <c r="B23" s="1019">
        <v>1119980106</v>
      </c>
      <c r="C23" s="2345">
        <v>43916</v>
      </c>
      <c r="D23" s="2348"/>
      <c r="E23" s="1019"/>
      <c r="F23" s="1019"/>
    </row>
    <row r="24" spans="1:7" s="1021" customFormat="1" ht="24" customHeight="1">
      <c r="A24" s="1700" t="s">
        <v>1328</v>
      </c>
      <c r="B24" s="1700" t="s">
        <v>1328</v>
      </c>
      <c r="C24" s="2346" t="s">
        <v>1328</v>
      </c>
      <c r="D24" s="2349" t="s">
        <v>1328</v>
      </c>
      <c r="E24" s="1700" t="s">
        <v>1328</v>
      </c>
      <c r="F24" s="1700" t="s">
        <v>1328</v>
      </c>
    </row>
    <row r="25" spans="1:7" ht="24" customHeight="1">
      <c r="A25" s="3069" t="s">
        <v>842</v>
      </c>
      <c r="B25" s="3069"/>
      <c r="C25" s="3069"/>
      <c r="D25" s="3069"/>
      <c r="E25" s="3069"/>
      <c r="F25" s="3069"/>
      <c r="G25" s="3069"/>
    </row>
    <row r="26" spans="1:7" s="1022" customFormat="1" ht="24" customHeight="1">
      <c r="A26" s="3070" t="s">
        <v>843</v>
      </c>
      <c r="B26" s="3070"/>
      <c r="C26" s="3071"/>
      <c r="D26" s="3072" t="s">
        <v>844</v>
      </c>
      <c r="E26" s="3070"/>
      <c r="F26" s="3070"/>
    </row>
    <row r="27" spans="1:7" s="1024" customFormat="1" ht="24" customHeight="1">
      <c r="A27" s="1023" t="s">
        <v>845</v>
      </c>
      <c r="B27" s="1018" t="s">
        <v>846</v>
      </c>
      <c r="C27" s="2344" t="s">
        <v>847</v>
      </c>
      <c r="D27" s="2351" t="s">
        <v>845</v>
      </c>
      <c r="E27" s="1018" t="s">
        <v>846</v>
      </c>
      <c r="F27" s="1018" t="s">
        <v>847</v>
      </c>
    </row>
    <row r="28" spans="1:7" s="1024" customFormat="1" ht="24" customHeight="1">
      <c r="A28" s="1025" t="s">
        <v>848</v>
      </c>
      <c r="B28" s="1026" t="s">
        <v>849</v>
      </c>
      <c r="C28" s="1027">
        <v>44820</v>
      </c>
      <c r="D28" s="2352" t="s">
        <v>850</v>
      </c>
      <c r="E28" s="1025" t="s">
        <v>851</v>
      </c>
      <c r="F28" s="1055">
        <v>44377</v>
      </c>
    </row>
    <row r="29" spans="1:7" s="1024" customFormat="1" ht="24" customHeight="1">
      <c r="A29" s="1025"/>
      <c r="B29" s="1025"/>
      <c r="C29" s="2350"/>
      <c r="D29" s="2352" t="s">
        <v>852</v>
      </c>
      <c r="E29" s="1199" t="s">
        <v>3051</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租约</vt:lpstr>
      <vt:lpstr>估价对象房地状况</vt:lpstr>
      <vt:lpstr>系统读取表</vt:lpstr>
      <vt:lpstr>结果表</vt:lpstr>
      <vt:lpstr>成本法</vt:lpstr>
      <vt:lpstr>成本法 (元)</vt:lpstr>
      <vt:lpstr>土地比较法-住宅、综合</vt:lpstr>
      <vt:lpstr>假设开发法</vt:lpstr>
      <vt:lpstr>酒店收入计算</vt:lpstr>
      <vt:lpstr>比较法-商业</vt:lpstr>
      <vt:lpstr>商业</vt:lpstr>
      <vt:lpstr>收益法 (元)</vt:lpstr>
      <vt:lpstr>收益法</vt:lpstr>
      <vt:lpstr>典型户型修正 (商业)</vt:lpstr>
      <vt:lpstr>结果表 (办公)</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公寓</vt:lpstr>
      <vt:lpstr>收益法 (元) (公寓)</vt:lpstr>
      <vt:lpstr>收益法 (办公)</vt:lpstr>
      <vt:lpstr>典型户型修正</vt:lpstr>
      <vt:lpstr>成本法（废）</vt:lpstr>
      <vt:lpstr>区片价</vt:lpstr>
      <vt:lpstr>因素修正幅度</vt:lpstr>
      <vt:lpstr>存贷款利率</vt:lpstr>
      <vt:lpstr>区片价（范围）</vt:lpstr>
      <vt:lpstr>收益法（汇总）</vt:lpstr>
      <vt:lpstr>估价师及机构信息!Print_Area</vt:lpstr>
      <vt:lpstr>收益法!Print_Area</vt:lpstr>
      <vt:lpstr>'收益法 (办公)'!Print_Area</vt:lpstr>
      <vt:lpstr>'收益法 (元)'!Print_Area</vt:lpstr>
      <vt:lpstr>'收益法 (元) (公寓)'!Print_Area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2017-03-01T09:15:43Z</cp:lastPrinted>
  <dcterms:created xsi:type="dcterms:W3CDTF">2015-07-13T07:17:23Z</dcterms:created>
  <dcterms:modified xsi:type="dcterms:W3CDTF">2020-02-14T04:21:47Z</dcterms:modified>
</cp:coreProperties>
</file>