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55" yWindow="-60" windowWidth="1440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1" i="40" l="1"/>
  <c r="I7" i="40"/>
  <c r="I34" i="40"/>
  <c r="I5" i="40"/>
  <c r="N14" i="1" l="1"/>
  <c r="L14" i="1"/>
  <c r="G5" i="40" l="1"/>
  <c r="G7" i="40"/>
  <c r="G34" i="40"/>
  <c r="X55" i="83"/>
  <c r="E41" i="40" s="1"/>
  <c r="X56" i="83"/>
  <c r="G41" i="40" s="1"/>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5" i="43"/>
  <c r="H63"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67" i="43"/>
  <c r="H60"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D3" i="73"/>
  <c r="M28" i="15"/>
  <c r="M28" i="67"/>
  <c r="C76" i="15"/>
  <c r="M9" i="67"/>
  <c r="E10" i="76"/>
  <c r="D2" i="34"/>
  <c r="B10" i="76"/>
  <c r="F13" i="67"/>
  <c r="F9" i="15"/>
  <c r="F42" i="67"/>
  <c r="AO7" i="1"/>
  <c r="F5" i="73"/>
  <c r="F20" i="31"/>
  <c r="F43" i="67"/>
  <c r="D2" i="36"/>
  <c r="M24" i="67"/>
  <c r="F3" i="73"/>
  <c r="AO10" i="1"/>
  <c r="F26" i="67"/>
  <c r="E7" i="76"/>
  <c r="F6" i="73"/>
  <c r="B8" i="76"/>
  <c r="M26" i="15"/>
  <c r="M23" i="67"/>
  <c r="AO8" i="1"/>
  <c r="M9" i="15"/>
  <c r="B9" i="76"/>
  <c r="F40" i="67"/>
  <c r="L47" i="67"/>
  <c r="F8" i="67"/>
  <c r="F26" i="15"/>
  <c r="B12" i="76"/>
  <c r="C76" i="67"/>
  <c r="F13" i="15"/>
  <c r="E2" i="68"/>
  <c r="M22" i="67"/>
  <c r="F43" i="15"/>
  <c r="E2" i="69"/>
  <c r="M6" i="67"/>
  <c r="AO13" i="1"/>
  <c r="F16" i="67"/>
  <c r="F36" i="67"/>
  <c r="M29" i="15"/>
  <c r="M8" i="15"/>
  <c r="L48" i="15"/>
  <c r="F7" i="73"/>
  <c r="F7" i="15"/>
  <c r="F37" i="67"/>
  <c r="F42" i="15"/>
  <c r="F7" i="67"/>
  <c r="B11" i="76"/>
  <c r="D7" i="73"/>
  <c r="L47" i="15"/>
  <c r="AO11" i="1"/>
  <c r="M8" i="67"/>
  <c r="F16" i="15"/>
  <c r="E11" i="76"/>
  <c r="M23" i="15"/>
  <c r="M26" i="67"/>
  <c r="D2" i="35"/>
  <c r="M27" i="67"/>
  <c r="F9" i="67"/>
  <c r="F35" i="67"/>
  <c r="M22" i="15"/>
  <c r="AO9" i="1"/>
  <c r="F38" i="15"/>
  <c r="F37" i="15"/>
  <c r="F8" i="15"/>
  <c r="E9" i="76"/>
  <c r="F6" i="67"/>
  <c r="L48" i="67"/>
  <c r="M24" i="15"/>
  <c r="E8" i="76"/>
  <c r="AO12" i="1"/>
  <c r="M6" i="15"/>
  <c r="M29" i="67"/>
  <c r="F6" i="15"/>
  <c r="J15" i="15"/>
  <c r="J15" i="67"/>
  <c r="F4" i="73"/>
  <c r="F41" i="67"/>
  <c r="F38" i="67"/>
  <c r="D2" i="37"/>
  <c r="D6" i="73"/>
  <c r="D4" i="73"/>
  <c r="B7" i="76"/>
  <c r="D2" i="33"/>
  <c r="M21" i="67"/>
  <c r="E13" i="76"/>
  <c r="B13" i="76"/>
  <c r="F36" i="15"/>
  <c r="D5" i="73"/>
  <c r="D2" i="21"/>
  <c r="E12" i="76"/>
  <c r="M27" i="15"/>
  <c r="F40" i="15"/>
  <c r="H61" i="43" l="1"/>
  <c r="H59" i="43"/>
  <c r="H51" i="43"/>
  <c r="H55" i="43"/>
  <c r="H64" i="43"/>
  <c r="H66" i="43"/>
  <c r="C23" i="12"/>
  <c r="S11" i="40"/>
  <c r="C40" i="68"/>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6" i="67"/>
  <c r="C17" i="15"/>
  <c r="G1" i="73"/>
  <c r="C16" i="15"/>
  <c r="AB36" i="40" l="1"/>
  <c r="U36" i="40"/>
  <c r="AA36" i="40"/>
  <c r="S36" i="40"/>
  <c r="W36" i="40"/>
  <c r="AC36" i="40"/>
  <c r="AA23" i="40"/>
  <c r="S23" i="40"/>
  <c r="AB23" i="40"/>
  <c r="U23" i="40"/>
  <c r="AC23" i="40"/>
  <c r="W23" i="40"/>
  <c r="C33" i="43"/>
  <c r="E33" i="43" s="1"/>
  <c r="C39" i="43"/>
  <c r="E39" i="43" s="1"/>
  <c r="C38" i="43"/>
  <c r="G38" i="43" s="1"/>
  <c r="I38" i="43" s="1"/>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47" i="68"/>
  <c r="D45" i="68" s="1"/>
  <c r="F45" i="68"/>
  <c r="G37" i="43"/>
  <c r="I37" i="43" s="1"/>
  <c r="AQ6" i="1"/>
  <c r="AR6" i="1"/>
  <c r="T6" i="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C15" i="15" l="1"/>
  <c r="C18" i="15"/>
  <c r="T16" i="1"/>
  <c r="F69" i="15"/>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E2" i="76"/>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C61" i="67" s="1"/>
  <c r="Q49" i="67"/>
  <c r="J59" i="67"/>
  <c r="J60" i="67" s="1"/>
  <c r="C26" i="15" l="1"/>
  <c r="C23" i="15"/>
  <c r="B3" i="76"/>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F35" i="15"/>
  <c r="M21" i="15"/>
  <c r="L51" i="67"/>
  <c r="C29" i="15" l="1"/>
  <c r="F63" i="15"/>
  <c r="C62" i="15" s="1"/>
  <c r="C34" i="15"/>
  <c r="C31" i="15" s="1"/>
  <c r="J20" i="15"/>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4" i="15" l="1"/>
  <c r="C57" i="15"/>
  <c r="Q49" i="15"/>
  <c r="J19" i="15"/>
  <c r="J17" i="15" s="1"/>
  <c r="C36" i="15"/>
  <c r="C13" i="15"/>
  <c r="C41" i="69"/>
  <c r="C46" i="69"/>
  <c r="C45"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69" l="1"/>
  <c r="C51" i="69" s="1"/>
  <c r="J13" i="15"/>
  <c r="J23" i="15" s="1"/>
  <c r="J22" i="15"/>
  <c r="Q70" i="15"/>
  <c r="C37" i="15"/>
  <c r="C30" i="15" s="1"/>
  <c r="C39" i="15" s="1"/>
  <c r="C56" i="15"/>
  <c r="C65" i="15" s="1"/>
  <c r="C75" i="15"/>
  <c r="C61" i="15"/>
  <c r="C59" i="15" s="1"/>
  <c r="C64" i="15"/>
  <c r="C31" i="69"/>
  <c r="C49" i="68"/>
  <c r="C51"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J16" i="15" l="1"/>
  <c r="J25" i="15" s="1"/>
  <c r="Q67" i="15"/>
  <c r="C40" i="15"/>
  <c r="Q69" i="15"/>
  <c r="Q68" i="15" s="1"/>
  <c r="C52" i="69"/>
  <c r="B2" i="69" s="1"/>
  <c r="B3" i="69" s="1"/>
  <c r="C58" i="15"/>
  <c r="C67" i="15" s="1"/>
  <c r="C68" i="15" s="1"/>
  <c r="C80" i="15"/>
  <c r="C79" i="15" s="1"/>
  <c r="L70" i="39"/>
  <c r="M68" i="39"/>
  <c r="R39" i="35"/>
  <c r="E38" i="35"/>
  <c r="M63" i="40"/>
  <c r="L65" i="40"/>
  <c r="C57" i="69" l="1"/>
  <c r="C56" i="69" s="1"/>
  <c r="C71" i="15"/>
  <c r="C46" i="15"/>
  <c r="Q65" i="15"/>
  <c r="Q75" i="15" s="1"/>
  <c r="C83" i="15"/>
  <c r="C82" i="15" s="1"/>
  <c r="B2" i="15"/>
  <c r="C43" i="15"/>
  <c r="Q56" i="15"/>
  <c r="Q62" i="15" s="1"/>
  <c r="Q47" i="15"/>
  <c r="Q53" i="15" s="1"/>
  <c r="M70" i="39"/>
  <c r="N68" i="39"/>
  <c r="C39" i="35"/>
  <c r="B2" i="35" s="1"/>
  <c r="B3" i="35" s="1"/>
  <c r="C38" i="35"/>
  <c r="N63" i="40"/>
  <c r="M65" i="40"/>
  <c r="E43" i="35"/>
  <c r="F43" i="35" s="1"/>
  <c r="E42" i="35"/>
  <c r="F42" i="35" s="1"/>
  <c r="I43" i="35"/>
  <c r="J43" i="35" s="1"/>
  <c r="AO6" i="1"/>
  <c r="D19" i="9"/>
  <c r="B6" i="70" l="1"/>
  <c r="B2" i="70" s="1"/>
  <c r="B3" i="70" s="1"/>
  <c r="D102" i="9"/>
  <c r="D21" i="9"/>
  <c r="B3" i="15"/>
  <c r="O68" i="39"/>
  <c r="O70" i="39" s="1"/>
  <c r="N70" i="39"/>
  <c r="F7" i="39" s="1"/>
  <c r="H7" i="39"/>
  <c r="J7" i="39"/>
  <c r="O63" i="40"/>
  <c r="O65" i="40" s="1"/>
  <c r="N65" i="40"/>
  <c r="D20" i="9"/>
  <c r="D103" i="9" l="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8" i="68" l="1"/>
  <c r="C27" i="68" s="1"/>
  <c r="C22" i="68"/>
  <c r="C31" i="68" l="1"/>
  <c r="C52" i="68" s="1"/>
  <c r="B2" i="68" s="1"/>
  <c r="C19" i="9"/>
  <c r="C57" i="68" l="1"/>
  <c r="C56" i="68" s="1"/>
  <c r="C102" i="9"/>
  <c r="C21" i="9"/>
  <c r="D22" i="9"/>
  <c r="G19" i="9"/>
  <c r="G21" i="9" s="1"/>
  <c r="B3" i="68"/>
  <c r="C20" i="9"/>
  <c r="D35" i="9"/>
  <c r="D34" i="9"/>
  <c r="C103" i="9" l="1"/>
  <c r="G20" i="9"/>
  <c r="C32" i="9" s="1"/>
  <c r="C35" i="9" s="1"/>
  <c r="C34" i="9" s="1"/>
  <c r="D118" i="9" s="1"/>
  <c r="H118" i="9" l="1"/>
  <c r="H4" i="52" s="1"/>
  <c r="F118" i="9"/>
  <c r="F119" i="9" s="1"/>
  <c r="F5" i="52" s="1"/>
  <c r="B53" i="72" s="1"/>
  <c r="D4" i="52"/>
  <c r="B47" i="72" s="1"/>
  <c r="D119" i="9"/>
  <c r="D5" i="52" s="1"/>
  <c r="B49" i="72" s="1"/>
  <c r="H119" i="9" l="1"/>
  <c r="H5" i="52" s="1"/>
  <c r="C104" i="9"/>
  <c r="D14" i="74"/>
  <c r="F14" i="74" s="1"/>
  <c r="G118" i="9"/>
  <c r="G4" i="52" s="1"/>
  <c r="B52" i="72" s="1"/>
  <c r="I118" i="9"/>
  <c r="H101" i="9"/>
  <c r="F4" i="52"/>
  <c r="B51" i="72" s="1"/>
  <c r="B5" i="74" l="1"/>
  <c r="C5" i="74" s="1"/>
  <c r="C105" i="9"/>
  <c r="H102" i="9"/>
  <c r="D7" i="53" s="1"/>
  <c r="B21" i="72" s="1"/>
  <c r="I4" i="52"/>
  <c r="E118" i="9"/>
  <c r="E4" i="52" s="1"/>
  <c r="B48" i="72" s="1"/>
  <c r="E14" i="74"/>
  <c r="M48" i="9"/>
  <c r="D45" i="9"/>
  <c r="H107" i="9"/>
  <c r="D5" i="53"/>
  <c r="D5" i="74"/>
  <c r="B20" i="72" l="1"/>
  <c r="D6" i="53"/>
  <c r="B22" i="72" s="1"/>
  <c r="D53" i="9"/>
  <c r="D55" i="9"/>
  <c r="M53" i="9" s="1"/>
  <c r="C85" i="9"/>
  <c r="C78" i="9"/>
  <c r="C73" i="9" s="1"/>
  <c r="C93" i="9"/>
  <c r="C86" i="9" s="1"/>
  <c r="C72" i="9"/>
  <c r="C79" i="9" s="1"/>
  <c r="C80" i="9" s="1"/>
  <c r="E80" i="9" s="1"/>
  <c r="E81" i="9" s="1"/>
  <c r="D52" i="9"/>
  <c r="C64" i="9"/>
  <c r="C63" i="9" s="1"/>
  <c r="C67" i="9" s="1"/>
  <c r="D122" i="9"/>
  <c r="H108" i="9"/>
  <c r="D15" i="53" s="1"/>
  <c r="B31" i="72" s="1"/>
  <c r="D13" i="53"/>
  <c r="M49" i="9"/>
  <c r="L67" i="9" l="1"/>
  <c r="M67" i="9" s="1"/>
  <c r="L64" i="9"/>
  <c r="M64" i="9" s="1"/>
  <c r="L65" i="9"/>
  <c r="M65" i="9" s="1"/>
  <c r="L68" i="9"/>
  <c r="M68" i="9" s="1"/>
  <c r="L63" i="9"/>
  <c r="M63" i="9" s="1"/>
  <c r="L66" i="9"/>
  <c r="M66" i="9" s="1"/>
  <c r="C68" i="9"/>
  <c r="D54" i="9" s="1"/>
  <c r="D59" i="9"/>
  <c r="M55" i="9" s="1"/>
  <c r="B30" i="72"/>
  <c r="D14" i="53"/>
  <c r="B32" i="72" s="1"/>
  <c r="G14" i="74"/>
  <c r="B6" i="74" s="1"/>
  <c r="D123" i="9"/>
  <c r="D9" i="52" s="1"/>
  <c r="D8" i="52"/>
  <c r="C95" i="9"/>
  <c r="C81" i="9"/>
  <c r="M69" i="9" l="1"/>
  <c r="N69" i="9" s="1"/>
  <c r="C96" i="9"/>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<sst xmlns="http://schemas.openxmlformats.org/spreadsheetml/2006/main" count="9054" uniqueCount="3702">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</sst>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xf numFmtId="181" fontId="49" fillId="18" borderId="24"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3">
          <cell r="G13">
            <v>60573</v>
          </cell>
        </row>
      </sheetData>
      <sheetData sheetId="11"/>
      <sheetData sheetId="12"/>
      <sheetData sheetId="13">
        <row r="17">
          <cell r="C17" t="str">
            <v>项目类型</v>
          </cell>
        </row>
        <row r="19">
          <cell r="C19" t="str">
            <v>工业</v>
          </cell>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139694</v>
      </c>
    </row>
    <row r="21" spans="1:2" s="1336" customFormat="1">
      <c r="A21" s="1334" t="s">
        <v>1143</v>
      </c>
      <c r="B21" s="1335">
        <f ca="1">'预评函-2'!D7</f>
        <v>8697</v>
      </c>
    </row>
    <row r="22" spans="1:2" s="1336" customFormat="1">
      <c r="A22" s="1334" t="s">
        <v>1144</v>
      </c>
      <c r="B22" s="1335" t="str">
        <f ca="1">'预评函-2'!D6</f>
        <v>壹拾叁亿玖仟陆佰玖拾肆万元整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139694</v>
      </c>
    </row>
    <row r="31" spans="1:2" s="1336" customFormat="1">
      <c r="A31" s="1334" t="s">
        <v>1182</v>
      </c>
      <c r="B31" s="1335">
        <f ca="1">'预评函-2'!D15</f>
        <v>8697</v>
      </c>
    </row>
    <row r="32" spans="1:2" s="1336" customFormat="1">
      <c r="A32" s="1334" t="s">
        <v>1149</v>
      </c>
      <c r="B32" s="1335" t="str">
        <f ca="1">'预评函-2'!D14</f>
        <v>壹拾叁亿玖仟陆佰玖拾肆万元整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160624.58000000002</v>
      </c>
    </row>
    <row r="44" spans="1:2" s="1336" customFormat="1">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22491</v>
      </c>
    </row>
    <row r="48" spans="1:2" s="1336" customFormat="1">
      <c r="A48" s="1334" t="s">
        <v>1155</v>
      </c>
      <c r="B48" s="1335">
        <f ca="1">'预评函-3'!E4</f>
        <v>1400</v>
      </c>
    </row>
    <row r="49" spans="1:2" s="1336" customFormat="1">
      <c r="A49" s="1334" t="s">
        <v>1156</v>
      </c>
      <c r="B49" s="1335" t="str">
        <f ca="1">'预评函-3'!D5</f>
        <v>贰亿贰仟肆佰玖拾壹万元整</v>
      </c>
    </row>
    <row r="50" spans="1:2" s="1336" customFormat="1">
      <c r="A50" s="1334" t="s">
        <v>1180</v>
      </c>
      <c r="B50" s="1335" t="str">
        <f>'预评函-3'!F2</f>
        <v>在建建筑物价值</v>
      </c>
    </row>
    <row r="51" spans="1:2" s="1336" customFormat="1">
      <c r="A51" s="1334" t="s">
        <v>1157</v>
      </c>
      <c r="B51" s="1335">
        <f ca="1">'预评函-3'!F4</f>
        <v>117203</v>
      </c>
    </row>
    <row r="52" spans="1:2" s="1336" customFormat="1">
      <c r="A52" s="1334" t="s">
        <v>1158</v>
      </c>
      <c r="B52" s="1335">
        <f ca="1">'预评函-3'!G4</f>
        <v>7297</v>
      </c>
    </row>
    <row r="53" spans="1:2" s="1336" customFormat="1">
      <c r="A53" s="1334" t="s">
        <v>1186</v>
      </c>
      <c r="B53" s="1335" t="str">
        <f ca="1">'预评函-3'!F5</f>
        <v>壹拾壹亿柒仟贰佰零叁万元整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1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708" t="s">
        <v>832</v>
      </c>
      <c r="C54" s="1705" t="s">
        <v>1189</v>
      </c>
    </row>
    <row r="55" spans="1:4">
      <c r="A55" s="3312"/>
      <c r="B55" s="1708" t="s">
        <v>833</v>
      </c>
      <c r="C55" s="1705" t="s">
        <v>1190</v>
      </c>
    </row>
    <row r="56" spans="1:4">
      <c r="A56" s="3312"/>
      <c r="B56" s="1708" t="s">
        <v>834</v>
      </c>
      <c r="C56" s="1705" t="s">
        <v>1194</v>
      </c>
    </row>
    <row r="57" spans="1:4">
      <c r="A57" s="331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H37" sqref="H37"/>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32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24"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25"/>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31"/>
      <c r="C16" s="3332"/>
      <c r="D16" s="3333"/>
      <c r="E16" s="2608" t="s">
        <v>2879</v>
      </c>
      <c r="F16" s="3334"/>
      <c r="G16" s="3335"/>
      <c r="H16" s="3335"/>
      <c r="I16" s="3336"/>
      <c r="J16" s="2634"/>
      <c r="K16" s="2813"/>
      <c r="L16" s="2646"/>
      <c r="M16" s="2646"/>
      <c r="N16" s="2704"/>
      <c r="O16" s="2646"/>
      <c r="P16" s="2704"/>
      <c r="Q16" s="2634"/>
      <c r="R16" s="2634"/>
    </row>
    <row r="17" spans="1:28">
      <c r="A17" s="319" t="s">
        <v>2880</v>
      </c>
      <c r="B17" s="308" t="s">
        <v>2881</v>
      </c>
      <c r="C17" s="11">
        <f>'数据-汇总表'!E3</f>
        <v>160624.58000000002</v>
      </c>
      <c r="D17" s="2514" t="s">
        <v>2882</v>
      </c>
      <c r="E17" s="3337" t="s">
        <v>2883</v>
      </c>
      <c r="F17" s="3338"/>
      <c r="G17" s="3338"/>
      <c r="H17" s="3338"/>
      <c r="I17" s="3339"/>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106517.9</v>
      </c>
      <c r="D18" s="1224" t="s">
        <v>2886</v>
      </c>
      <c r="E18" s="3340" t="s">
        <v>2887</v>
      </c>
      <c r="F18" s="3341"/>
      <c r="G18" s="3341"/>
      <c r="H18" s="3341"/>
      <c r="I18" s="3342"/>
      <c r="J18" s="2634"/>
      <c r="K18" s="2814"/>
      <c r="L18" s="2646"/>
      <c r="M18" s="2646"/>
      <c r="N18" s="2704"/>
      <c r="O18" s="2646"/>
      <c r="P18" s="2704"/>
      <c r="Q18" s="2634"/>
      <c r="R18" s="2634"/>
      <c r="S18" s="2634"/>
      <c r="T18" s="2634"/>
      <c r="U18" s="2634"/>
      <c r="V18" s="2634"/>
    </row>
    <row r="19" spans="1:28" ht="39.75"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27" t="s">
        <v>2891</v>
      </c>
      <c r="C20" s="3328"/>
      <c r="D20" s="3329" t="s">
        <v>2892</v>
      </c>
      <c r="E20" s="3330"/>
      <c r="F20" s="2843" t="s">
        <v>1682</v>
      </c>
      <c r="G20" s="2860"/>
      <c r="H20" s="2860"/>
      <c r="I20" s="2860"/>
      <c r="J20" s="2634"/>
      <c r="K20" s="3326"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4"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4"/>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4"/>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5"/>
      <c r="B30" s="308" t="s">
        <v>2903</v>
      </c>
      <c r="C30" s="3316"/>
      <c r="D30" s="3317"/>
      <c r="E30" s="2860"/>
      <c r="F30" s="2860"/>
      <c r="G30" s="2860"/>
      <c r="H30" s="2860"/>
      <c r="I30" s="2860"/>
      <c r="J30" s="2634"/>
      <c r="K30" s="2811"/>
      <c r="L30" s="2808"/>
      <c r="M30" s="2808"/>
      <c r="N30" s="2634"/>
      <c r="O30" s="2645"/>
      <c r="P30" s="2634"/>
      <c r="Q30" s="2634"/>
      <c r="R30" s="2634"/>
      <c r="S30" s="2634"/>
      <c r="T30" s="2634"/>
      <c r="U30" s="2634"/>
      <c r="V30" s="2634"/>
    </row>
    <row r="31" spans="1:28">
      <c r="A31" s="3318"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1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1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13" t="s">
        <v>2913</v>
      </c>
      <c r="T34" s="2623" t="str">
        <f>NUMBERSTRING(7-K34,1)&amp;"通"</f>
        <v>七通</v>
      </c>
      <c r="U34" s="2634"/>
      <c r="V34" s="2634"/>
    </row>
    <row r="35" spans="1:30">
      <c r="A35" s="2624"/>
      <c r="B35" s="3320" t="s">
        <v>2914</v>
      </c>
      <c r="C35" s="3320"/>
      <c r="D35" s="3320"/>
      <c r="E35" s="3320"/>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13"/>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t="s">
        <v>526</v>
      </c>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t="s">
        <v>3143</v>
      </c>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2.75">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54" t="s">
        <v>1757</v>
      </c>
      <c r="B2" s="3354"/>
      <c r="C2" s="3354"/>
      <c r="D2" s="904" t="s">
        <v>1733</v>
      </c>
      <c r="E2" s="1793" t="s">
        <v>1734</v>
      </c>
      <c r="F2" s="2855"/>
      <c r="G2" s="2846"/>
      <c r="H2" s="2847"/>
      <c r="I2" s="2517" t="s">
        <v>1758</v>
      </c>
      <c r="J2" s="2855"/>
      <c r="K2" s="2855"/>
      <c r="L2" s="2855"/>
      <c r="M2" s="2855"/>
      <c r="N2" s="2857"/>
      <c r="O2" s="2855"/>
      <c r="P2" s="2855"/>
    </row>
    <row r="3" spans="1:16" ht="15.75" thickBot="1">
      <c r="A3" s="3355" t="s">
        <v>1731</v>
      </c>
      <c r="B3" s="3355"/>
      <c r="C3" s="3355"/>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5">
      <c r="A4" s="3356"/>
      <c r="B4" s="3357"/>
      <c r="C4" s="3358"/>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c r="A5" s="47" t="s">
        <v>1735</v>
      </c>
      <c r="B5" s="3359" t="s">
        <v>1736</v>
      </c>
      <c r="C5" s="3359"/>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9" t="s">
        <v>1737</v>
      </c>
      <c r="C6" s="3359"/>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75" thickBot="1">
      <c r="A7" s="3351"/>
      <c r="B7" s="3352"/>
      <c r="C7" s="3353"/>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106472.71</v>
      </c>
      <c r="E16" s="53">
        <f>SUM(E8:E15)</f>
        <v>160556.44</v>
      </c>
      <c r="F16" s="2855"/>
      <c r="G16" s="2856"/>
      <c r="H16" s="1802" t="s">
        <v>1761</v>
      </c>
      <c r="I16" s="1803"/>
      <c r="J16" s="1273"/>
      <c r="K16" s="3348" t="s">
        <v>1761</v>
      </c>
      <c r="L16" s="3349"/>
      <c r="M16" s="3349"/>
      <c r="N16" s="3349"/>
      <c r="O16" s="3349"/>
      <c r="P16" s="3350"/>
    </row>
    <row r="17" spans="1:19" ht="15">
      <c r="A17" s="1804" t="s">
        <v>1762</v>
      </c>
      <c r="B17" s="1805" t="s">
        <v>1763</v>
      </c>
      <c r="C17" s="1806" t="s">
        <v>1764</v>
      </c>
      <c r="D17" s="1807" t="s">
        <v>1752</v>
      </c>
      <c r="E17" s="1808" t="s">
        <v>1753</v>
      </c>
      <c r="F17" s="1809"/>
      <c r="G17" s="1810"/>
      <c r="H17" s="1811" t="s">
        <v>1765</v>
      </c>
      <c r="I17" s="1812" t="s">
        <v>1750</v>
      </c>
      <c r="J17" s="1273"/>
      <c r="K17" s="3345" t="s">
        <v>1766</v>
      </c>
      <c r="L17" s="3346"/>
      <c r="M17" s="3347"/>
      <c r="N17" s="3345" t="s">
        <v>1767</v>
      </c>
      <c r="O17" s="3346"/>
      <c r="P17" s="3347"/>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7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41</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1.4E-2</v>
      </c>
      <c r="AL6" s="84">
        <v>1E-3</v>
      </c>
      <c r="AM6" s="85">
        <v>0.01</v>
      </c>
      <c r="AN6" s="1870" t="s">
        <v>3156</v>
      </c>
      <c r="AO6" s="55">
        <f ca="1">SUMIF(INDIRECT("'"&amp;AN6&amp;"'"&amp;"!A:A"),"总价",INDIRECT("'"&amp;AN6&amp;"'"&amp;"!B:B"))</f>
        <v>129958</v>
      </c>
      <c r="AP6" s="1871">
        <f>IF(C6="住宅",K6*L6,0)</f>
        <v>0</v>
      </c>
      <c r="AQ6" s="55">
        <f>ROUND($L$14*$N$14*S6/10000,0)</f>
        <v>40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68.14</v>
      </c>
      <c r="L14" s="87">
        <f>L6</f>
        <v>6000</v>
      </c>
      <c r="M14" s="71">
        <f t="shared" si="0"/>
        <v>41</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3269">
        <v>0.01</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60" t="s">
        <v>2971</v>
      </c>
      <c r="B1" s="3361"/>
      <c r="C1" s="3361"/>
      <c r="D1" s="3361"/>
      <c r="E1" s="3361"/>
      <c r="F1" s="3361"/>
      <c r="G1" s="336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160624.58000000002</v>
      </c>
      <c r="C1" s="2884"/>
      <c r="D1" s="2884"/>
      <c r="E1" s="2884"/>
      <c r="F1" s="2884"/>
      <c r="G1" s="2885"/>
      <c r="H1" s="2886"/>
      <c r="I1" s="2886"/>
      <c r="J1" s="2886"/>
      <c r="K1" s="2886"/>
    </row>
    <row r="2" spans="1:11" ht="16.5">
      <c r="A2" s="2707" t="s">
        <v>1259</v>
      </c>
      <c r="B2" s="2707">
        <f>SUM(C14:C23)</f>
        <v>106517.9</v>
      </c>
      <c r="C2" s="2884"/>
      <c r="D2" s="2884"/>
      <c r="E2" s="2884"/>
      <c r="F2" s="2884"/>
      <c r="G2" s="2885"/>
      <c r="H2" s="2886"/>
      <c r="I2" s="2886"/>
      <c r="J2" s="2886"/>
      <c r="K2" s="2886"/>
    </row>
    <row r="3" spans="1:11" ht="16.5">
      <c r="A3" s="2707" t="s">
        <v>1268</v>
      </c>
      <c r="B3" s="2709">
        <f>项目基本情况!D3</f>
        <v>44601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139694</v>
      </c>
      <c r="C5" s="2707">
        <f ca="1">ROUND(B5*10000/$B$1,0)</f>
        <v>8697</v>
      </c>
      <c r="D5" s="2707">
        <f ca="1">ROUND(B5*10000/$B$2,0)</f>
        <v>13115</v>
      </c>
      <c r="E5" s="2884"/>
      <c r="F5" s="2885"/>
      <c r="G5" s="2885"/>
      <c r="H5" s="2886"/>
      <c r="I5" s="2886"/>
      <c r="J5" s="2886"/>
      <c r="K5" s="2886"/>
    </row>
    <row r="6" spans="1:11" ht="16.5">
      <c r="A6" s="2707" t="s">
        <v>1262</v>
      </c>
      <c r="B6" s="2707">
        <f ca="1">SUM(G14:G23)</f>
        <v>139694</v>
      </c>
      <c r="C6" s="2707">
        <f ca="1">ROUND(B6*10000/$B$1,0)</f>
        <v>8697</v>
      </c>
      <c r="D6" s="2707">
        <f ca="1">ROUND(B6*10000/$B$2,0)</f>
        <v>13115</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160624.58000000002</v>
      </c>
      <c r="C14" s="2713">
        <f>结果表!C118</f>
        <v>106517.9</v>
      </c>
      <c r="D14" s="2713">
        <f ca="1">结果表!H118</f>
        <v>139694</v>
      </c>
      <c r="E14" s="2713">
        <f ca="1">ROUND(D14*10000/B14,0)</f>
        <v>8697</v>
      </c>
      <c r="F14" s="2713">
        <f ca="1">ROUND(D14*10000/C14,0)</f>
        <v>13115</v>
      </c>
      <c r="G14" s="2713">
        <f ca="1">结果表!D122</f>
        <v>139694</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115" zoomScaleNormal="100" zoomScaleSheetLayoutView="115" zoomScalePageLayoutView="80" workbookViewId="0">
      <selection activeCell="H119" sqref="H119:I11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6" t="str">
        <f>项目基本情况!S2</f>
        <v>北京市房地产</v>
      </c>
      <c r="B2" s="3397"/>
      <c r="C2" s="3397"/>
      <c r="D2" s="3397"/>
      <c r="E2" s="3397"/>
      <c r="F2" s="3397"/>
      <c r="G2" s="3397"/>
      <c r="H2" s="3397"/>
      <c r="I2" s="3398"/>
    </row>
    <row r="3" spans="1:12" ht="12.75">
      <c r="A3" s="3400" t="s">
        <v>1890</v>
      </c>
      <c r="B3" s="3401"/>
      <c r="C3" s="3401"/>
      <c r="D3" s="3401"/>
      <c r="E3" s="3401"/>
      <c r="F3" s="3401"/>
      <c r="G3" s="3401"/>
      <c r="H3" s="3401"/>
      <c r="I3" s="3401"/>
    </row>
    <row r="4" spans="1:12" ht="14.25">
      <c r="A4" s="1909" t="s">
        <v>1891</v>
      </c>
      <c r="B4" s="1910" t="s">
        <v>1892</v>
      </c>
      <c r="C4" s="1911" t="s">
        <v>3377</v>
      </c>
      <c r="D4" s="1911" t="s">
        <v>3156</v>
      </c>
      <c r="E4" s="3402" t="s">
        <v>1893</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6" t="s">
        <v>1894</v>
      </c>
      <c r="B5" s="3363">
        <v>25</v>
      </c>
      <c r="C5" s="3379"/>
      <c r="D5" s="3399"/>
      <c r="E5" s="136" t="s">
        <v>1895</v>
      </c>
      <c r="F5" s="1912"/>
      <c r="G5" s="1912"/>
      <c r="H5" s="1912"/>
      <c r="I5" s="1526"/>
    </row>
    <row r="6" spans="1:12" ht="12.75">
      <c r="A6" s="3376"/>
      <c r="B6" s="3363"/>
      <c r="C6" s="3380"/>
      <c r="D6" s="3399"/>
      <c r="E6" s="136" t="s">
        <v>1896</v>
      </c>
      <c r="F6" s="1912"/>
      <c r="G6" s="1912"/>
      <c r="H6" s="1912"/>
      <c r="I6" s="1526"/>
    </row>
    <row r="7" spans="1:12" ht="12.75">
      <c r="A7" s="3376"/>
      <c r="B7" s="3363"/>
      <c r="C7" s="3381"/>
      <c r="D7" s="3399"/>
      <c r="E7" s="136" t="s">
        <v>1897</v>
      </c>
      <c r="F7" s="1912"/>
      <c r="G7" s="1912"/>
      <c r="H7" s="1912"/>
      <c r="I7" s="1526"/>
    </row>
    <row r="8" spans="1:12" ht="12.75">
      <c r="A8" s="3376" t="s">
        <v>1898</v>
      </c>
      <c r="B8" s="3363">
        <v>15</v>
      </c>
      <c r="C8" s="3379"/>
      <c r="D8" s="3399"/>
      <c r="E8" s="136" t="s">
        <v>1899</v>
      </c>
      <c r="F8" s="1912"/>
      <c r="G8" s="1912"/>
      <c r="H8" s="1912"/>
      <c r="I8" s="1526"/>
    </row>
    <row r="9" spans="1:12" ht="12.75">
      <c r="A9" s="3376"/>
      <c r="B9" s="3363"/>
      <c r="C9" s="3381"/>
      <c r="D9" s="3399"/>
      <c r="E9" s="136" t="s">
        <v>1900</v>
      </c>
      <c r="F9" s="1912"/>
      <c r="G9" s="1912"/>
      <c r="H9" s="1912"/>
      <c r="I9" s="1526"/>
    </row>
    <row r="10" spans="1:12" ht="12.75">
      <c r="A10" s="3376" t="s">
        <v>1901</v>
      </c>
      <c r="B10" s="3363">
        <v>15</v>
      </c>
      <c r="C10" s="3379"/>
      <c r="D10" s="3399"/>
      <c r="E10" s="136" t="s">
        <v>1902</v>
      </c>
      <c r="F10" s="1912"/>
      <c r="G10" s="1912"/>
      <c r="H10" s="1912"/>
      <c r="I10" s="1526"/>
    </row>
    <row r="11" spans="1:12" ht="12.75">
      <c r="A11" s="3376"/>
      <c r="B11" s="3363"/>
      <c r="C11" s="3381"/>
      <c r="D11" s="3399"/>
      <c r="E11" s="136" t="s">
        <v>1903</v>
      </c>
      <c r="F11" s="1912"/>
      <c r="G11" s="1912"/>
      <c r="H11" s="1912"/>
      <c r="I11" s="1526"/>
    </row>
    <row r="12" spans="1:12" ht="12.75">
      <c r="A12" s="3376" t="s">
        <v>1904</v>
      </c>
      <c r="B12" s="3363">
        <v>15</v>
      </c>
      <c r="C12" s="3379"/>
      <c r="D12" s="3399"/>
      <c r="E12" s="136" t="s">
        <v>1905</v>
      </c>
      <c r="F12" s="1912"/>
      <c r="G12" s="1912"/>
      <c r="H12" s="1912"/>
      <c r="I12" s="1526"/>
    </row>
    <row r="13" spans="1:12" ht="12.75">
      <c r="A13" s="3376"/>
      <c r="B13" s="3363"/>
      <c r="C13" s="3381"/>
      <c r="D13" s="3399"/>
      <c r="E13" s="136" t="s">
        <v>1906</v>
      </c>
      <c r="F13" s="1912"/>
      <c r="G13" s="1912"/>
      <c r="H13" s="1912"/>
      <c r="I13" s="1526"/>
    </row>
    <row r="14" spans="1:12" ht="12.75">
      <c r="A14" s="3376" t="s">
        <v>1907</v>
      </c>
      <c r="B14" s="3363">
        <v>30</v>
      </c>
      <c r="C14" s="3379">
        <v>5</v>
      </c>
      <c r="D14" s="3399">
        <v>5</v>
      </c>
      <c r="E14" s="136" t="s">
        <v>1908</v>
      </c>
      <c r="F14" s="1912"/>
      <c r="G14" s="1912"/>
      <c r="H14" s="1912"/>
      <c r="I14" s="1526"/>
    </row>
    <row r="15" spans="1:12" ht="12.75">
      <c r="A15" s="3376"/>
      <c r="B15" s="3363"/>
      <c r="C15" s="3380"/>
      <c r="D15" s="3399"/>
      <c r="E15" s="136" t="s">
        <v>1909</v>
      </c>
      <c r="F15" s="1912"/>
      <c r="G15" s="1912"/>
      <c r="H15" s="1912"/>
      <c r="I15" s="1526"/>
    </row>
    <row r="16" spans="1:12" ht="12.75">
      <c r="A16" s="3376"/>
      <c r="B16" s="3363"/>
      <c r="C16" s="3381"/>
      <c r="D16" s="3399"/>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86" t="s">
        <v>2812</v>
      </c>
      <c r="F18" s="3387"/>
      <c r="G18" s="3387"/>
      <c r="H18" s="3387"/>
      <c r="I18" s="3387"/>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5">
      <c r="A19" s="1916" t="s">
        <v>1916</v>
      </c>
      <c r="B19" s="1917" t="s">
        <v>1917</v>
      </c>
      <c r="C19" s="139">
        <f ca="1">SUMIF(INDIRECT("'"&amp;C4&amp;"'"&amp;"!A:A"),结果表!B19,INDIRECT("'"&amp;C4&amp;"'"&amp;"!B:B"))</f>
        <v>149429</v>
      </c>
      <c r="D19" s="140">
        <f ca="1">SUMIF(INDIRECT("'"&amp;D4&amp;"'"&amp;"!A:A"),结果表!B19,INDIRECT("'"&amp;D4&amp;"'"&amp;"!B:B"))</f>
        <v>129958</v>
      </c>
      <c r="E19" s="1916" t="s">
        <v>1918</v>
      </c>
      <c r="F19" s="1917" t="s">
        <v>1917</v>
      </c>
      <c r="G19" s="141">
        <f ca="1">ROUND(C19*$C$18+D19*$D$18,0)</f>
        <v>139694</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5">
      <c r="A20" s="1919"/>
      <c r="B20" s="1157" t="s">
        <v>1921</v>
      </c>
      <c r="C20" s="142">
        <f ca="1">SUMIF(INDIRECT("'"&amp;C4&amp;"'"&amp;"!A:A"),结果表!B20,INDIRECT("'"&amp;C4&amp;"'"&amp;"!B:B"))</f>
        <v>9303</v>
      </c>
      <c r="D20" s="143">
        <f ca="1">SUMIF(INDIRECT("'"&amp;D4&amp;"'"&amp;"!A:A"),结果表!B20,INDIRECT("'"&amp;D4&amp;"'"&amp;"!B:B"))</f>
        <v>8094</v>
      </c>
      <c r="E20" s="1919"/>
      <c r="F20" s="1157" t="s">
        <v>1921</v>
      </c>
      <c r="G20" s="144">
        <f ca="1">ROUND(C20*$C$18+D20*$D$18,0)</f>
        <v>8699</v>
      </c>
      <c r="H20" s="917" t="s">
        <v>1922</v>
      </c>
      <c r="I20" s="134"/>
    </row>
    <row r="21" spans="1:36" ht="15" customHeight="1" thickBot="1">
      <c r="A21" s="937"/>
      <c r="B21" s="1920" t="s">
        <v>1923</v>
      </c>
      <c r="C21" s="728">
        <f ca="1">ROUND(C19*10000/L19,0)</f>
        <v>14029</v>
      </c>
      <c r="D21" s="729">
        <f ca="1">ROUND(D19*10000/L19,0)</f>
        <v>12201</v>
      </c>
      <c r="E21" s="937"/>
      <c r="F21" s="1920" t="s">
        <v>1923</v>
      </c>
      <c r="G21" s="145">
        <f ca="1">ROUND(G19*10000/L19,0)</f>
        <v>13115</v>
      </c>
      <c r="H21" s="1921" t="s">
        <v>1922</v>
      </c>
      <c r="I21" s="134"/>
    </row>
    <row r="22" spans="1:36" ht="15" thickBot="1">
      <c r="A22" s="1843" t="s">
        <v>1924</v>
      </c>
      <c r="B22" s="1922"/>
      <c r="C22" s="1923"/>
      <c r="D22" s="730">
        <f ca="1">IF(C19&lt;D19,D19/C19-1,C19/D19-1)</f>
        <v>0.14982532818295136</v>
      </c>
      <c r="E22" s="134"/>
      <c r="F22" s="3262" t="s">
        <v>3383</v>
      </c>
      <c r="G22" s="3262"/>
      <c r="H22" s="3262"/>
      <c r="I22" s="134"/>
    </row>
    <row r="23" spans="1:36" ht="13.5" thickBot="1">
      <c r="A23" s="1902"/>
      <c r="B23" s="1902"/>
      <c r="C23" s="1902"/>
      <c r="D23" s="1902"/>
      <c r="E23" s="134"/>
      <c r="F23" s="3262" t="s">
        <v>3378</v>
      </c>
      <c r="G23" s="3262">
        <v>139618</v>
      </c>
      <c r="H23" s="3262" t="s">
        <v>3379</v>
      </c>
      <c r="I23" s="134"/>
    </row>
    <row r="24" spans="1:36" ht="14.25">
      <c r="A24" s="3370" t="s">
        <v>1925</v>
      </c>
      <c r="B24" s="1917" t="s">
        <v>1917</v>
      </c>
      <c r="C24" s="141">
        <f>IF(B30=0,0,D30)</f>
        <v>0</v>
      </c>
      <c r="D24" s="1924"/>
      <c r="E24" s="134"/>
      <c r="F24" s="3262" t="s">
        <v>3380</v>
      </c>
      <c r="G24" s="3262">
        <v>8694</v>
      </c>
      <c r="H24" s="3262" t="s">
        <v>3381</v>
      </c>
      <c r="I24" s="134"/>
    </row>
    <row r="25" spans="1:36" ht="14.25">
      <c r="A25" s="3371"/>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t="s">
        <v>3699</v>
      </c>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139694</v>
      </c>
      <c r="D32" s="1930" t="s">
        <v>3378</v>
      </c>
      <c r="E32" s="134"/>
      <c r="F32" s="134"/>
      <c r="G32" s="134"/>
      <c r="H32" s="134"/>
      <c r="I32" s="134"/>
    </row>
    <row r="33" spans="1:15" ht="15">
      <c r="A33" s="894" t="s">
        <v>1932</v>
      </c>
      <c r="B33" s="1931"/>
      <c r="C33" s="1932" t="s">
        <v>3700</v>
      </c>
      <c r="D33" s="1933" t="s">
        <v>3377</v>
      </c>
      <c r="E33" s="1934" t="s">
        <v>1933</v>
      </c>
      <c r="F33" s="1935" t="str">
        <f>IF(D32="楼面单价","取值（单价）","取值（总价）")</f>
        <v>取值（总价）</v>
      </c>
      <c r="G33" s="134"/>
      <c r="H33" s="134"/>
      <c r="I33" s="134"/>
    </row>
    <row r="34" spans="1:15" ht="15">
      <c r="A34" s="1936"/>
      <c r="B34" s="1937" t="s">
        <v>1934</v>
      </c>
      <c r="C34" s="153">
        <f ca="1">IF(C33="自定义",F34,C32-C35)</f>
        <v>22491</v>
      </c>
      <c r="D34" s="970">
        <f ca="1">IF(C33="自定义",ROUND(C34/C32,3),IF(C33="收益比率",SUMIF(INDIRECT("'"&amp;D33&amp;"'"&amp;"!b:b"),"土地收益比率",INDIRECT("'"&amp;D33&amp;"'"&amp;"!c:c")),SUMIF(INDIRECT("'"&amp;D33&amp;"'"&amp;"!b:b"),"土地成本比率",INDIRECT("'"&amp;D33&amp;"'"&amp;"!c:c"))))</f>
        <v>0.16100000000000003</v>
      </c>
      <c r="E34" s="1938" t="s">
        <v>1935</v>
      </c>
      <c r="F34" s="1469"/>
      <c r="G34" s="134"/>
      <c r="H34" s="134"/>
      <c r="I34" s="134"/>
    </row>
    <row r="35" spans="1:15" ht="15.75" thickBot="1">
      <c r="A35" s="1939"/>
      <c r="B35" s="1940" t="s">
        <v>1936</v>
      </c>
      <c r="C35" s="1304">
        <f ca="1">IF(C33="自定义",F35,ROUND(C32*D35,0))</f>
        <v>117203</v>
      </c>
      <c r="D35" s="1305">
        <f ca="1">IF(C33="自定义",ROUND(C35/C32,3),IF(C33="收益比率",SUMIF(INDIRECT("'"&amp;D33&amp;"'"&amp;"!b:b"),"建筑物收益比率",INDIRECT("'"&amp;D33&amp;"'"&amp;"!c:c")),SUMIF(INDIRECT("'"&amp;D33&amp;"'"&amp;"!b:b"),"建筑物成本比率",INDIRECT("'"&amp;D33&amp;"'"&amp;"!c:c"))))</f>
        <v>0.83899999999999997</v>
      </c>
      <c r="E35" s="1941" t="s">
        <v>1937</v>
      </c>
      <c r="F35" s="159"/>
      <c r="G35" s="134"/>
      <c r="H35" s="134"/>
      <c r="I35" s="134"/>
    </row>
    <row r="36" spans="1:15" ht="15.75" thickBot="1">
      <c r="A36" s="3390" t="s">
        <v>1938</v>
      </c>
      <c r="B36" s="1942" t="s">
        <v>1939</v>
      </c>
      <c r="C36" s="150"/>
      <c r="D36" s="1943"/>
      <c r="E36" s="1944"/>
      <c r="F36" s="1945"/>
      <c r="G36" s="134"/>
      <c r="H36" s="134"/>
      <c r="I36" s="134"/>
    </row>
    <row r="37" spans="1:15" ht="15.75" thickBot="1">
      <c r="A37" s="3391"/>
      <c r="B37" s="1829" t="s">
        <v>1940</v>
      </c>
      <c r="C37" s="152"/>
      <c r="D37" s="1273"/>
      <c r="E37" s="1273"/>
      <c r="F37" s="1945"/>
      <c r="G37" s="134"/>
      <c r="H37" s="134"/>
      <c r="I37" s="134"/>
    </row>
    <row r="38" spans="1:15" ht="15.75" thickBot="1">
      <c r="A38" s="339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7" t="s">
        <v>1952</v>
      </c>
      <c r="B45" s="3368"/>
      <c r="C45" s="3369"/>
      <c r="D45" s="160">
        <f ca="1">ROUND(H101*F45,0)</f>
        <v>139694</v>
      </c>
      <c r="E45" s="161" t="s">
        <v>1953</v>
      </c>
      <c r="F45" s="162">
        <v>1</v>
      </c>
      <c r="G45" s="163" t="s">
        <v>1954</v>
      </c>
      <c r="H45" s="134"/>
      <c r="I45" s="134"/>
      <c r="J45" s="3448" t="s">
        <v>1955</v>
      </c>
      <c r="K45" s="3448"/>
      <c r="L45" s="3448"/>
      <c r="M45" s="3448"/>
      <c r="N45" s="3448"/>
      <c r="O45" s="3448"/>
    </row>
    <row r="46" spans="1:15" ht="14.25" customHeight="1">
      <c r="A46" s="3364" t="s">
        <v>1956</v>
      </c>
      <c r="B46" s="3365"/>
      <c r="C46" s="3365"/>
      <c r="D46" s="3365"/>
      <c r="E46" s="3365"/>
      <c r="F46" s="3365"/>
      <c r="G46" s="3366"/>
      <c r="H46" s="1961"/>
      <c r="I46" s="164"/>
      <c r="J46" s="2718">
        <v>1</v>
      </c>
      <c r="K46" s="3429" t="s">
        <v>1957</v>
      </c>
      <c r="L46" s="3429"/>
      <c r="M46" s="3449"/>
      <c r="N46" s="3449"/>
      <c r="O46" s="3449"/>
    </row>
    <row r="47" spans="1:15" ht="12" customHeight="1">
      <c r="A47" s="165" t="s">
        <v>1958</v>
      </c>
      <c r="B47" s="166"/>
      <c r="C47" s="167"/>
      <c r="D47" s="1219" t="s">
        <v>1959</v>
      </c>
      <c r="E47" s="308" t="s">
        <v>1960</v>
      </c>
      <c r="F47" s="168" t="s">
        <v>1961</v>
      </c>
      <c r="G47" s="2741" t="s">
        <v>1962</v>
      </c>
      <c r="H47" s="2742"/>
      <c r="I47" s="164"/>
      <c r="J47" s="2718">
        <v>2</v>
      </c>
      <c r="K47" s="3429" t="s">
        <v>1963</v>
      </c>
      <c r="L47" s="3429"/>
      <c r="M47" s="3450">
        <f>'数据-取费表'!B2</f>
        <v>44601</v>
      </c>
      <c r="N47" s="3450"/>
      <c r="O47" s="3450"/>
    </row>
    <row r="48" spans="1:15" ht="25.5">
      <c r="A48" s="3395" t="s">
        <v>1964</v>
      </c>
      <c r="B48" s="3378"/>
      <c r="C48" s="337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29" t="s">
        <v>1966</v>
      </c>
      <c r="L48" s="3429"/>
      <c r="M48" s="3451">
        <f ca="1">H101</f>
        <v>139694</v>
      </c>
      <c r="N48" s="3451"/>
      <c r="O48" s="3451"/>
    </row>
    <row r="49" spans="1:35" ht="25.5" customHeight="1">
      <c r="A49" s="2525" t="s">
        <v>1967</v>
      </c>
      <c r="B49" s="3362" t="s">
        <v>1968</v>
      </c>
      <c r="C49" s="3362"/>
      <c r="D49" s="1744">
        <v>0</v>
      </c>
      <c r="E49" s="330" t="s">
        <v>1969</v>
      </c>
      <c r="F49" s="2619" t="s">
        <v>34</v>
      </c>
      <c r="G49" s="3435"/>
      <c r="H49" s="2497" t="s">
        <v>2815</v>
      </c>
      <c r="I49" s="2498"/>
      <c r="J49" s="2718">
        <v>4</v>
      </c>
      <c r="K49" s="3429" t="str">
        <f>IF(项目基本情况!E8="房地产抵押价值","房地产抵押价值","抵押担保权已注销时的房地产抵押价值")</f>
        <v>房地产抵押价值</v>
      </c>
      <c r="L49" s="3429"/>
      <c r="M49" s="3451">
        <f ca="1">IF(项目基本情况!E8="房地产抵押价值",H107,H109)</f>
        <v>139694</v>
      </c>
      <c r="N49" s="3451"/>
      <c r="O49" s="3451"/>
    </row>
    <row r="50" spans="1:35" ht="25.5" customHeight="1">
      <c r="A50" s="2746"/>
      <c r="B50" s="3362" t="s">
        <v>1970</v>
      </c>
      <c r="C50" s="3362"/>
      <c r="D50" s="2747"/>
      <c r="E50" s="338"/>
      <c r="F50" s="2619"/>
      <c r="G50" s="3436"/>
      <c r="H50" s="2499" t="s">
        <v>2816</v>
      </c>
      <c r="I50" s="2498"/>
      <c r="J50" s="3448" t="s">
        <v>1971</v>
      </c>
      <c r="K50" s="3448"/>
      <c r="L50" s="3448"/>
      <c r="M50" s="3448"/>
      <c r="N50" s="3448"/>
      <c r="O50" s="3448"/>
    </row>
    <row r="51" spans="1:35" ht="20.45" customHeight="1">
      <c r="A51" s="2748"/>
      <c r="B51" s="3362" t="s">
        <v>1972</v>
      </c>
      <c r="C51" s="3362"/>
      <c r="D51" s="1219"/>
      <c r="E51" s="333"/>
      <c r="F51" s="2619"/>
      <c r="G51" s="3437"/>
      <c r="H51" s="2499" t="s">
        <v>2817</v>
      </c>
      <c r="I51" s="2498"/>
      <c r="J51" s="2719" t="s">
        <v>1973</v>
      </c>
      <c r="K51" s="3429" t="s">
        <v>1974</v>
      </c>
      <c r="L51" s="3429"/>
      <c r="M51" s="2719" t="s">
        <v>1975</v>
      </c>
      <c r="N51" s="2719" t="s">
        <v>1976</v>
      </c>
      <c r="O51" s="2719" t="s">
        <v>1977</v>
      </c>
    </row>
    <row r="52" spans="1:35" ht="24" customHeight="1">
      <c r="A52" s="2527" t="s">
        <v>1978</v>
      </c>
      <c r="B52" s="3362" t="s">
        <v>1979</v>
      </c>
      <c r="C52" s="3362"/>
      <c r="D52" s="1219">
        <f ca="1">ROUND(D45*'数据-取费表'!B41/(1+'数据-取费表'!C42),0)</f>
        <v>7317</v>
      </c>
      <c r="E52" s="2526" t="s">
        <v>1980</v>
      </c>
      <c r="F52" s="2749">
        <f>'数据-取费表'!B41</f>
        <v>5.5000000000000007E-2</v>
      </c>
      <c r="G52" s="2750"/>
      <c r="H52" s="2739"/>
      <c r="I52" s="1962"/>
      <c r="J52" s="2718">
        <v>1</v>
      </c>
      <c r="K52" s="3430" t="s">
        <v>1981</v>
      </c>
      <c r="L52" s="3430"/>
      <c r="M52" s="2720" t="b">
        <f>D48</f>
        <v>0</v>
      </c>
      <c r="N52" s="2718" t="str">
        <f>E48</f>
        <v>销售额×税（费）率</v>
      </c>
      <c r="O52" s="2721">
        <f>F48</f>
        <v>5.5000000000000007E-2</v>
      </c>
    </row>
    <row r="53" spans="1:35" ht="12" customHeight="1">
      <c r="A53" s="2527" t="s">
        <v>1982</v>
      </c>
      <c r="B53" s="3388" t="s">
        <v>2976</v>
      </c>
      <c r="C53" s="3389"/>
      <c r="D53" s="1219">
        <f ca="1">ROUND(D45*'数据-取费表'!B41/(1+'数据-取费表'!C42),0)</f>
        <v>7317</v>
      </c>
      <c r="E53" s="2526" t="s">
        <v>1980</v>
      </c>
      <c r="F53" s="2749">
        <f>'数据-取费表'!B41</f>
        <v>5.5000000000000007E-2</v>
      </c>
      <c r="G53" s="2750"/>
      <c r="H53" s="2739"/>
      <c r="I53" s="1962"/>
      <c r="J53" s="2718">
        <v>2</v>
      </c>
      <c r="K53" s="3430" t="s">
        <v>1983</v>
      </c>
      <c r="L53" s="3430"/>
      <c r="M53" s="2720">
        <f t="shared" ref="M53:O54" ca="1" si="0">D55</f>
        <v>70</v>
      </c>
      <c r="N53" s="2718" t="str">
        <f t="shared" si="0"/>
        <v>销售额×税（费）率</v>
      </c>
      <c r="O53" s="2721" t="str">
        <f t="shared" si="0"/>
        <v>免征</v>
      </c>
    </row>
    <row r="54" spans="1:35" ht="12" customHeight="1">
      <c r="A54" s="2527" t="s">
        <v>1984</v>
      </c>
      <c r="B54" s="3388" t="s">
        <v>2977</v>
      </c>
      <c r="C54" s="3389"/>
      <c r="D54" s="1219">
        <f ca="1">C68</f>
        <v>7317</v>
      </c>
      <c r="E54" s="333" t="s">
        <v>1985</v>
      </c>
      <c r="F54" s="2749">
        <f>'数据-取费表'!B41</f>
        <v>5.5000000000000007E-2</v>
      </c>
      <c r="G54" s="2750"/>
      <c r="H54" s="2751"/>
      <c r="I54" s="1962"/>
      <c r="J54" s="2718">
        <v>3</v>
      </c>
      <c r="K54" s="3430" t="s">
        <v>1986</v>
      </c>
      <c r="L54" s="3430"/>
      <c r="M54" s="2720">
        <f t="shared" ca="1" si="0"/>
        <v>79193</v>
      </c>
      <c r="N54" s="2718" t="str">
        <f t="shared" si="0"/>
        <v>增值额×税（费）率</v>
      </c>
      <c r="O54" s="2722" t="str">
        <f t="shared" si="0"/>
        <v>免征</v>
      </c>
    </row>
    <row r="55" spans="1:35" ht="24" customHeight="1">
      <c r="A55" s="3377" t="s">
        <v>1987</v>
      </c>
      <c r="B55" s="3378"/>
      <c r="C55" s="3378"/>
      <c r="D55" s="2516">
        <f ca="1">IF(H55="个人住宅",0,ROUND(D45*I55,0))</f>
        <v>70</v>
      </c>
      <c r="E55" s="2526" t="s">
        <v>1988</v>
      </c>
      <c r="F55" s="2749" t="str">
        <f>IF(H55="正常",I55,"免征")</f>
        <v>免征</v>
      </c>
      <c r="G55" s="2750"/>
      <c r="H55" s="2745"/>
      <c r="I55" s="170">
        <f>'数据-取费表'!B49</f>
        <v>5.0000000000000001E-4</v>
      </c>
      <c r="J55" s="2718">
        <f>IF(H59="非个人房产","",4)</f>
        <v>4</v>
      </c>
      <c r="K55" s="3430" t="str">
        <f>IF(H59="非个人房产","——","个人所得税")</f>
        <v>个人所得税</v>
      </c>
      <c r="L55" s="3430"/>
      <c r="M55" s="2723">
        <f ca="1">D59</f>
        <v>1330</v>
      </c>
      <c r="N55" s="2197" t="str">
        <f>E59</f>
        <v>差额计税</v>
      </c>
      <c r="O55" s="2724">
        <f>F59</f>
        <v>0.01</v>
      </c>
    </row>
    <row r="56" spans="1:35" ht="24.75">
      <c r="A56" s="3377" t="s">
        <v>1989</v>
      </c>
      <c r="B56" s="3378"/>
      <c r="C56" s="3378"/>
      <c r="D56" s="2516">
        <f ca="1">IF(H56="个人住宅",D57,D58)</f>
        <v>79193</v>
      </c>
      <c r="E56" s="2526" t="s">
        <v>1990</v>
      </c>
      <c r="F56" s="2749" t="str">
        <f>IF(H56="正常",F58,"免征")</f>
        <v>免征</v>
      </c>
      <c r="G56" s="2752" t="s">
        <v>1991</v>
      </c>
      <c r="H56" s="2753"/>
      <c r="I56" s="1963"/>
      <c r="J56" s="2718" t="str">
        <f>IF(项目基本情况!K6="上海银行",IF(J55="",4,J55+1),"")</f>
        <v/>
      </c>
      <c r="K56" s="3453" t="str">
        <f>IF(项目基本情况!K6="上海银行","其他处置费用","")</f>
        <v/>
      </c>
      <c r="L56" s="3454"/>
      <c r="M56" s="2720" t="str">
        <f>IF(项目基本情况!K6="上海银行",M69,"")</f>
        <v/>
      </c>
      <c r="N56" s="3453" t="str">
        <f>IF(项目基本情况!K6="上海银行","包含处置中涉及的律师、诉讼、拍卖、评估等费用","")</f>
        <v/>
      </c>
      <c r="O56" s="3456"/>
    </row>
    <row r="57" spans="1:35" ht="12.75">
      <c r="A57" s="2527" t="s">
        <v>1967</v>
      </c>
      <c r="B57" s="3388" t="s">
        <v>1992</v>
      </c>
      <c r="C57" s="3389"/>
      <c r="D57" s="1744">
        <v>0</v>
      </c>
      <c r="E57" s="330" t="s">
        <v>1969</v>
      </c>
      <c r="F57" s="308"/>
      <c r="G57" s="2750"/>
      <c r="H57" s="2754"/>
      <c r="I57" s="1963"/>
      <c r="J57" s="3430">
        <f>IF(AND(J55="",J56=""),4,IF(项目基本情况!K6="上海银行",结果表!J56+1,结果表!J55+1))</f>
        <v>5</v>
      </c>
      <c r="K57" s="3430" t="s">
        <v>1993</v>
      </c>
      <c r="L57" s="2725" t="s">
        <v>1994</v>
      </c>
      <c r="M57" s="2726"/>
      <c r="N57" s="2727">
        <f ca="1">SUMIF(M52:M56,"&lt;9e307")</f>
        <v>80593</v>
      </c>
      <c r="O57" s="2728"/>
      <c r="P57" s="2888">
        <f ca="1">N57/M49</f>
        <v>0.57692527953956507</v>
      </c>
    </row>
    <row r="58" spans="1:35" ht="24.75">
      <c r="A58" s="2527" t="s">
        <v>1978</v>
      </c>
      <c r="B58" s="3388" t="s">
        <v>1995</v>
      </c>
      <c r="C58" s="3362"/>
      <c r="D58" s="2516">
        <f ca="1">IF(H58="转让取得",C81,C97)</f>
        <v>79193</v>
      </c>
      <c r="E58" s="2526" t="s">
        <v>1990</v>
      </c>
      <c r="F58" s="308" t="s">
        <v>34</v>
      </c>
      <c r="G58" s="2750"/>
      <c r="H58" s="2753"/>
      <c r="I58" s="1963"/>
      <c r="J58" s="3430"/>
      <c r="K58" s="3430"/>
      <c r="L58" s="2725" t="s">
        <v>1996</v>
      </c>
      <c r="M58" s="2729"/>
      <c r="N58" s="2730" t="str">
        <f ca="1">NUMBERSTRING(INT(N57*10000),2)&amp;"元整"</f>
        <v>捌亿零伍佰玖拾叁万元整</v>
      </c>
      <c r="O58" s="2731"/>
    </row>
    <row r="59" spans="1:35" ht="24.75" thickBot="1">
      <c r="A59" s="3433" t="s">
        <v>1997</v>
      </c>
      <c r="B59" s="3434"/>
      <c r="C59" s="3434"/>
      <c r="D59" s="2755">
        <f ca="1">IF(H59="非个人房产","——",IF(H59="个人住宅（满五唯一有凭证）",0,IF(H59="个人其他（无凭证）",ROUND(D45*F59,0),ROUND(C67*F59,0))))</f>
        <v>1330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31">
        <f>J57+1</f>
        <v>6</v>
      </c>
      <c r="K59" s="3430" t="s">
        <v>1998</v>
      </c>
      <c r="L59" s="2718" t="s">
        <v>1994</v>
      </c>
      <c r="M59" s="2732"/>
      <c r="N59" s="2733">
        <f ca="1">M49-N57</f>
        <v>59101</v>
      </c>
      <c r="O59" s="2734"/>
    </row>
    <row r="60" spans="1:35" ht="12" customHeight="1">
      <c r="A60" s="1964"/>
      <c r="B60" s="1902"/>
      <c r="C60" s="1902"/>
      <c r="D60" s="1902"/>
      <c r="E60" s="1732"/>
      <c r="F60" s="1963"/>
      <c r="G60" s="1963"/>
      <c r="H60" s="1965"/>
      <c r="I60" s="134"/>
      <c r="J60" s="3432"/>
      <c r="K60" s="3430"/>
      <c r="L60" s="2725" t="s">
        <v>1996</v>
      </c>
      <c r="M60" s="2729"/>
      <c r="N60" s="2730" t="str">
        <f ca="1">NUMBERSTRING(INT(N59*10000),2)&amp;"元整"</f>
        <v>伍亿玖仟壹佰零壹万元整</v>
      </c>
      <c r="O60" s="2731"/>
    </row>
    <row r="61" spans="1:35" ht="13.5" thickBot="1">
      <c r="A61" s="3375" t="s">
        <v>1999</v>
      </c>
      <c r="B61" s="3375"/>
      <c r="C61" s="3375"/>
      <c r="D61" s="3375"/>
      <c r="E61" s="3375"/>
      <c r="F61" s="1963"/>
      <c r="G61" s="1963"/>
      <c r="H61" s="1965"/>
      <c r="I61" s="134"/>
      <c r="J61" s="2718">
        <f>J59+1</f>
        <v>7</v>
      </c>
      <c r="K61" s="3430" t="s">
        <v>2000</v>
      </c>
      <c r="L61" s="3430"/>
      <c r="M61" s="2735"/>
      <c r="N61" s="2736">
        <f ca="1">ROUND(N59*10000/'数据-汇总表'!E3,0)</f>
        <v>3679</v>
      </c>
      <c r="O61" s="2737"/>
    </row>
    <row r="62" spans="1:35" ht="12.75">
      <c r="A62" s="3393" t="s">
        <v>2001</v>
      </c>
      <c r="B62" s="3394"/>
      <c r="C62" s="2178"/>
      <c r="D62" s="2178" t="s">
        <v>2002</v>
      </c>
      <c r="E62" s="171" t="s">
        <v>2003</v>
      </c>
      <c r="F62" s="1963"/>
      <c r="G62" s="1963"/>
      <c r="H62" s="1965"/>
      <c r="I62" s="134"/>
    </row>
    <row r="63" spans="1:35" ht="12.75">
      <c r="A63" s="178" t="s">
        <v>775</v>
      </c>
      <c r="B63" s="172" t="s">
        <v>2004</v>
      </c>
      <c r="C63" s="2759">
        <f ca="1">ROUND((C64+C65)/(1+'数据-取费表'!C42),0)</f>
        <v>133042</v>
      </c>
      <c r="D63" s="172"/>
      <c r="E63" s="173"/>
      <c r="F63" s="1963"/>
      <c r="G63" s="1963"/>
      <c r="H63" s="1965"/>
      <c r="I63" s="134"/>
      <c r="J63" s="3455" t="s">
        <v>2005</v>
      </c>
      <c r="K63" s="1471" t="s">
        <v>2006</v>
      </c>
      <c r="L63" s="1471">
        <f ca="1">IF(M49&gt;10000,M49*0.5%,IF(AND(M49&gt;1000,M49&lt;=10000),M49*1%,IF(AND(M49&gt;100,M49&lt;=1000),M49*3%,IF(AND(M49&gt;10,M49&lt;=100),M49*5%,M49*8%))))</f>
        <v>698.47</v>
      </c>
      <c r="M63" s="308">
        <f ca="1">ROUND(L63,1)</f>
        <v>698.5</v>
      </c>
      <c r="N63" s="2738"/>
      <c r="Z63" s="1907"/>
      <c r="AI63" s="1908"/>
    </row>
    <row r="64" spans="1:35" ht="14.25" customHeight="1">
      <c r="A64" s="174" t="s">
        <v>770</v>
      </c>
      <c r="B64" s="175" t="s">
        <v>2007</v>
      </c>
      <c r="C64" s="2760">
        <f ca="1">D45</f>
        <v>139694</v>
      </c>
      <c r="D64" s="175" t="s">
        <v>32</v>
      </c>
      <c r="E64" s="177"/>
      <c r="F64" s="1963"/>
      <c r="G64" s="1963"/>
      <c r="H64" s="1965"/>
      <c r="I64" s="134"/>
      <c r="J64" s="3455"/>
      <c r="K64" s="1471" t="s">
        <v>2008</v>
      </c>
      <c r="L64" s="1471">
        <f ca="1">IF(M49&gt;2000,M49*0.5%,IF(AND(M49&gt;1000,M49&lt;=2000),M49*0.6%,IF(AND(M49&gt;500,M49&lt;=1000),M49*0.7%,IF(AND(M49&gt;200,M49&lt;=500),M49*0.8%,IF(AND(M49&gt;100,M49&lt;=200),M49*0.9%,IF(AND(M49&gt;50,M49&lt;=100),M49*1%,IF(AND(M49&gt;20,M49&lt;=50),M49*1.5%,IF(AND(M49&gt;10,M49&lt;=20),M49*2%,IF(AND(M49&gt;1,M49&lt;=10),M49*2.5%)))))))))</f>
        <v>698.47</v>
      </c>
      <c r="M64" s="308">
        <f t="shared" ref="M64:M65" ca="1" si="1">ROUND(L64,1)</f>
        <v>698.5</v>
      </c>
      <c r="N64" s="2739" t="s">
        <v>2009</v>
      </c>
      <c r="Z64" s="1907"/>
      <c r="AI64" s="1908"/>
    </row>
    <row r="65" spans="1:35" ht="14.25" customHeight="1">
      <c r="A65" s="174" t="s">
        <v>771</v>
      </c>
      <c r="B65" s="175" t="s">
        <v>2010</v>
      </c>
      <c r="C65" s="2761"/>
      <c r="D65" s="175"/>
      <c r="E65" s="177"/>
      <c r="F65" s="1963"/>
      <c r="G65" s="1963"/>
      <c r="H65" s="1965"/>
      <c r="I65" s="134"/>
      <c r="J65" s="3455"/>
      <c r="K65" s="1471" t="s">
        <v>2011</v>
      </c>
      <c r="L65" s="1471">
        <f ca="1">IF(M49&gt;1000,M49*0.1%,IF(AND(M49&gt;500,M49&lt;=1000),M49*0.5%,IF(AND(M49&gt;50,M49&lt;=500),M49*1%,IF(AND(M49&gt;1,M49&lt;=50),M49*1.5%))))</f>
        <v>139.69400000000002</v>
      </c>
      <c r="M65" s="308">
        <f t="shared" ca="1" si="1"/>
        <v>139.69999999999999</v>
      </c>
      <c r="N65" s="2739" t="s">
        <v>2009</v>
      </c>
      <c r="Z65" s="1907"/>
      <c r="AI65" s="1908"/>
    </row>
    <row r="66" spans="1:35" ht="14.25" customHeight="1">
      <c r="A66" s="178" t="s">
        <v>772</v>
      </c>
      <c r="B66" s="179" t="s">
        <v>2012</v>
      </c>
      <c r="C66" s="2762"/>
      <c r="D66" s="179" t="s">
        <v>32</v>
      </c>
      <c r="E66" s="1478" t="s">
        <v>1277</v>
      </c>
      <c r="F66" s="1963"/>
      <c r="G66" s="1963"/>
      <c r="H66" s="1965"/>
      <c r="I66" s="134"/>
      <c r="J66" s="3455"/>
      <c r="K66" s="1471" t="s">
        <v>2013</v>
      </c>
      <c r="L66" s="1471">
        <f ca="1">M49*0.5%</f>
        <v>698.47</v>
      </c>
      <c r="M66" s="308">
        <f ca="1">IF(L66&gt;0.5,0.5,ROUND(L66,0))</f>
        <v>0.5</v>
      </c>
      <c r="N66" s="2739" t="s">
        <v>2014</v>
      </c>
      <c r="Z66" s="1907"/>
      <c r="AI66" s="1908"/>
    </row>
    <row r="67" spans="1:35" ht="14.25" customHeight="1">
      <c r="A67" s="178" t="s">
        <v>773</v>
      </c>
      <c r="B67" s="179" t="s">
        <v>2015</v>
      </c>
      <c r="C67" s="2763">
        <f ca="1">C63-C66</f>
        <v>133042</v>
      </c>
      <c r="D67" s="175" t="s">
        <v>32</v>
      </c>
      <c r="E67" s="177"/>
      <c r="F67" s="1963"/>
      <c r="G67" s="1963"/>
      <c r="H67" s="1965"/>
      <c r="I67" s="134"/>
      <c r="J67" s="3455"/>
      <c r="K67" s="1471" t="s">
        <v>2016</v>
      </c>
      <c r="L67" s="1471">
        <f ca="1">IF(M49&gt;=10000,(8.25+(M49-10000)*0.01%),IF(AND(M49&gt;=8000,M49&lt;10000),(7.85+(M49-8000)*0.02%),IF(AND(M49&gt;=5000,M49&lt;8000),(6.65+(M49-5000)*0.04%),IF(AND(M49&gt;=2000,M49&lt;5000),(4.25+(PM49-2000)*0.08%),IF(AND(M49&gt;=1000,M49&lt;2000),(2.75+(M49-1000)*0.15%),IF(AND(M49&gt;=100,M49&lt;1000),(0.5+(M49-100)*0.25%),IF(AND(M49&gt;0,M49&lt;100),M49*0.5%)))))))</f>
        <v>21.2194</v>
      </c>
      <c r="M67" s="308">
        <f ca="1">ROUND(L67*0.9,1)</f>
        <v>19.100000000000001</v>
      </c>
      <c r="N67" s="2738"/>
      <c r="Z67" s="1907"/>
      <c r="AI67" s="1908"/>
    </row>
    <row r="68" spans="1:35" ht="14.25" customHeight="1" thickBot="1">
      <c r="A68" s="181" t="s">
        <v>774</v>
      </c>
      <c r="B68" s="182" t="s">
        <v>2017</v>
      </c>
      <c r="C68" s="2764">
        <f ca="1">IF(C67&lt;=0,0,ROUND(C67*D68,0))</f>
        <v>7317</v>
      </c>
      <c r="D68" s="2765">
        <f>'数据-取费表'!B41</f>
        <v>5.5000000000000007E-2</v>
      </c>
      <c r="E68" s="184"/>
      <c r="F68" s="1963"/>
      <c r="G68" s="1963"/>
      <c r="H68" s="1965"/>
      <c r="I68" s="134"/>
      <c r="J68" s="3455"/>
      <c r="K68" s="1471" t="s">
        <v>2018</v>
      </c>
      <c r="L68" s="1471">
        <f ca="1">IF(M49&gt;10000,M49*0.5%,IF(AND(M49&gt;5000,M49&lt;=10000),M49*1%,IF(AND(M49&gt;1000,M49&lt;=5000),M49*2%,IF(AND(M49&gt;200,M49&lt;=1000),M49*3%,M49*5%))))</f>
        <v>698.47</v>
      </c>
      <c r="M68" s="308">
        <f ca="1">ROUND(L68,1)</f>
        <v>698.5</v>
      </c>
      <c r="N68" s="2738"/>
      <c r="Z68" s="1907"/>
      <c r="AI68" s="1908"/>
    </row>
    <row r="69" spans="1:35" s="1927" customFormat="1" ht="16.5" customHeight="1">
      <c r="A69" s="1966"/>
      <c r="B69" s="1967"/>
      <c r="C69" s="1968"/>
      <c r="D69" s="1969"/>
      <c r="E69" s="1970"/>
      <c r="F69" s="1732"/>
      <c r="G69" s="1732"/>
      <c r="H69" s="1731"/>
      <c r="I69" s="1902"/>
      <c r="J69" s="3455"/>
      <c r="K69" s="1471" t="s">
        <v>2019</v>
      </c>
      <c r="L69" s="1471"/>
      <c r="M69" s="308">
        <f ca="1">ROUND(SUM(M63:M68),0)</f>
        <v>2255</v>
      </c>
      <c r="N69" s="2740">
        <f ca="1">M69/M49</f>
        <v>1.6142425587355218E-2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4" t="s">
        <v>2020</v>
      </c>
      <c r="B70" s="3415"/>
      <c r="C70" s="3415"/>
      <c r="D70" s="3415"/>
      <c r="E70" s="3415"/>
      <c r="F70" s="3415"/>
      <c r="G70" s="3415"/>
      <c r="H70" s="3415"/>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3" t="s">
        <v>2001</v>
      </c>
      <c r="B71" s="3394"/>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133042</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665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8" t="s">
        <v>2028</v>
      </c>
      <c r="F76" s="3362"/>
      <c r="G76" s="3362"/>
      <c r="H76" s="341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665</v>
      </c>
      <c r="D78" s="2772">
        <f>'数据-取费表'!B43</f>
        <v>5.000000000000001E-3</v>
      </c>
      <c r="E78" s="3372" t="s">
        <v>2032</v>
      </c>
      <c r="F78" s="3373"/>
      <c r="G78" s="3373"/>
      <c r="H78" s="338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132377</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199.06315789473683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79193</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4" t="s">
        <v>2036</v>
      </c>
      <c r="B83" s="3415"/>
      <c r="C83" s="3415"/>
      <c r="D83" s="3415"/>
      <c r="E83" s="3415"/>
      <c r="F83" s="3415"/>
      <c r="G83" s="3415"/>
      <c r="H83" s="341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3" t="s">
        <v>2001</v>
      </c>
      <c r="B84" s="3394"/>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133042</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665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57" t="s">
        <v>2810</v>
      </c>
      <c r="H90" s="3458"/>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2" t="s">
        <v>2045</v>
      </c>
      <c r="F91" s="3373"/>
      <c r="G91" s="337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2" t="s">
        <v>2048</v>
      </c>
      <c r="F92" s="3373"/>
      <c r="G92" s="3373"/>
      <c r="H92" s="3382"/>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665</v>
      </c>
      <c r="D93" s="2772">
        <f>'数据-取费表'!B43</f>
        <v>5.000000000000001E-3</v>
      </c>
      <c r="E93" s="3372" t="s">
        <v>2032</v>
      </c>
      <c r="F93" s="3373"/>
      <c r="G93" s="3373"/>
      <c r="H93" s="338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3" t="s">
        <v>2052</v>
      </c>
      <c r="F94" s="3384"/>
      <c r="G94" s="3384"/>
      <c r="H94" s="338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132377</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199.06315789473683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79193</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56" t="s">
        <v>2054</v>
      </c>
      <c r="B100" s="3357"/>
      <c r="C100" s="3357"/>
      <c r="D100" s="3374"/>
      <c r="E100" s="3357" t="s">
        <v>2055</v>
      </c>
      <c r="F100" s="3357"/>
      <c r="G100" s="3357"/>
      <c r="H100" s="3374"/>
      <c r="I100" s="134"/>
    </row>
    <row r="101" spans="1:35" ht="18.75" customHeight="1">
      <c r="A101" s="3438" t="s">
        <v>2056</v>
      </c>
      <c r="B101" s="3439"/>
      <c r="C101" s="2780" t="str">
        <f>C4</f>
        <v>成本法</v>
      </c>
      <c r="D101" s="2781" t="str">
        <f>D4</f>
        <v>收益法</v>
      </c>
      <c r="E101" s="3452" t="s">
        <v>2057</v>
      </c>
      <c r="F101" s="3406"/>
      <c r="G101" s="1982" t="s">
        <v>2058</v>
      </c>
      <c r="H101" s="2790">
        <f ca="1">H118</f>
        <v>139694</v>
      </c>
      <c r="I101" s="134"/>
    </row>
    <row r="102" spans="1:35" ht="18.75" customHeight="1">
      <c r="A102" s="3408" t="s">
        <v>2059</v>
      </c>
      <c r="B102" s="2779" t="s">
        <v>2058</v>
      </c>
      <c r="C102" s="2780">
        <f ca="1">C19</f>
        <v>149429</v>
      </c>
      <c r="D102" s="2781">
        <f ca="1">D19</f>
        <v>129958</v>
      </c>
      <c r="E102" s="3452"/>
      <c r="F102" s="3406"/>
      <c r="G102" s="1982" t="s">
        <v>2060</v>
      </c>
      <c r="H102" s="2750">
        <f ca="1">I118</f>
        <v>8697</v>
      </c>
      <c r="I102" s="134"/>
    </row>
    <row r="103" spans="1:35" ht="42.75" customHeight="1">
      <c r="A103" s="3408"/>
      <c r="B103" s="2779" t="s">
        <v>2060</v>
      </c>
      <c r="C103" s="2782">
        <f ca="1">C20</f>
        <v>9303</v>
      </c>
      <c r="D103" s="2783">
        <f ca="1">D20</f>
        <v>8094</v>
      </c>
      <c r="E103" s="3446" t="s">
        <v>2061</v>
      </c>
      <c r="F103" s="3447"/>
      <c r="G103" s="1983" t="s">
        <v>2062</v>
      </c>
      <c r="H103" s="2790">
        <f>IF(D36="正常操作",H104+H105+H106,H105+H106)</f>
        <v>0</v>
      </c>
      <c r="I103" s="134"/>
    </row>
    <row r="104" spans="1:35" ht="18.75" customHeight="1">
      <c r="A104" s="3408" t="s">
        <v>2063</v>
      </c>
      <c r="B104" s="2784" t="s">
        <v>2058</v>
      </c>
      <c r="C104" s="2785">
        <f ca="1">H118</f>
        <v>139694</v>
      </c>
      <c r="D104" s="2786"/>
      <c r="E104" s="1829" t="s">
        <v>2064</v>
      </c>
      <c r="F104" s="1820"/>
      <c r="G104" s="1983" t="s">
        <v>2062</v>
      </c>
      <c r="H104" s="2791">
        <f>IF(D36="同一抵押权人同一抵押物续贷",C36&amp;"（续贷，未扣减，详见特别提示）",C36)</f>
        <v>0</v>
      </c>
      <c r="I104" s="134"/>
    </row>
    <row r="105" spans="1:35" ht="18.75" customHeight="1" thickBot="1">
      <c r="A105" s="3409"/>
      <c r="B105" s="2787" t="s">
        <v>2060</v>
      </c>
      <c r="C105" s="2788">
        <f ca="1">I118</f>
        <v>8697</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05" t="str">
        <f>IF(项目基本情况!E8="已注销","——","3.房地产抵押价值")</f>
        <v>3.房地产抵押价值</v>
      </c>
      <c r="F107" s="3406"/>
      <c r="G107" s="1982" t="s">
        <v>2058</v>
      </c>
      <c r="H107" s="2790">
        <f ca="1">IF(E107="——","——",H101-H103)</f>
        <v>139694</v>
      </c>
      <c r="I107" s="134"/>
    </row>
    <row r="108" spans="1:35" ht="18.75" customHeight="1">
      <c r="A108" s="134"/>
      <c r="B108" s="134"/>
      <c r="C108" s="134"/>
      <c r="D108" s="134"/>
      <c r="E108" s="3405"/>
      <c r="F108" s="3406"/>
      <c r="G108" s="1982" t="s">
        <v>2060</v>
      </c>
      <c r="H108" s="2750">
        <f ca="1">ROUND(H107*10000/'数据-汇总表'!E3,0)</f>
        <v>8697</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82" t="s">
        <v>2058</v>
      </c>
      <c r="H109" s="2793" t="str">
        <f>IF(E109="——","——",H101-H105-H106)</f>
        <v>——</v>
      </c>
      <c r="I109" s="134"/>
    </row>
    <row r="110" spans="1:35" ht="18.75" customHeight="1">
      <c r="A110" s="134"/>
      <c r="B110" s="134"/>
      <c r="C110" s="134"/>
      <c r="D110" s="134"/>
      <c r="E110" s="3405"/>
      <c r="F110" s="3406"/>
      <c r="G110" s="1982" t="s">
        <v>2060</v>
      </c>
      <c r="H110" s="2750"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07"/>
      <c r="G111" s="1982" t="s">
        <v>2058</v>
      </c>
      <c r="H111" s="2790" t="str">
        <f>IF(E111="——","——",N59)</f>
        <v>——</v>
      </c>
      <c r="I111" s="134"/>
    </row>
    <row r="112" spans="1:35" ht="18.75" customHeight="1" thickBot="1">
      <c r="A112" s="134"/>
      <c r="B112" s="134"/>
      <c r="C112" s="134"/>
      <c r="D112" s="134"/>
      <c r="E112" s="3441"/>
      <c r="F112" s="3442"/>
      <c r="G112" s="1985" t="s">
        <v>2060</v>
      </c>
      <c r="H112" s="2794" t="str">
        <f>IF(E111="——","——",N61)</f>
        <v>——</v>
      </c>
      <c r="I112" s="134"/>
    </row>
    <row r="113" spans="1:27" ht="18.75" customHeight="1">
      <c r="A113" s="134"/>
      <c r="B113" s="134"/>
      <c r="C113" s="134"/>
      <c r="D113" s="134"/>
      <c r="E113" s="3410" t="s">
        <v>2066</v>
      </c>
      <c r="F113" s="3410"/>
      <c r="G113" s="3410"/>
      <c r="H113" s="3410"/>
      <c r="I113" s="134"/>
    </row>
    <row r="114" spans="1:27" ht="3.75" customHeight="1">
      <c r="A114" s="1902"/>
      <c r="B114" s="1902"/>
      <c r="C114" s="1902"/>
      <c r="D114" s="1902"/>
      <c r="E114" s="1964"/>
      <c r="F114" s="1964"/>
      <c r="G114" s="1964"/>
      <c r="H114" s="1964"/>
      <c r="I114" s="1902"/>
    </row>
    <row r="115" spans="1:27" ht="18.75" customHeight="1">
      <c r="A115" s="3423" t="s">
        <v>2068</v>
      </c>
      <c r="B115" s="3424"/>
      <c r="C115" s="3424"/>
      <c r="D115" s="3424"/>
      <c r="E115" s="3424"/>
      <c r="F115" s="3424"/>
      <c r="G115" s="3424"/>
      <c r="H115" s="3424"/>
      <c r="I115" s="3425"/>
    </row>
    <row r="116" spans="1:27" ht="27" customHeight="1">
      <c r="A116" s="3376" t="s">
        <v>2069</v>
      </c>
      <c r="B116" s="3411" t="s">
        <v>2070</v>
      </c>
      <c r="C116" s="3411" t="s">
        <v>2071</v>
      </c>
      <c r="D116" s="3427" t="s">
        <v>2072</v>
      </c>
      <c r="E116" s="3428"/>
      <c r="F116" s="3419" t="s">
        <v>2073</v>
      </c>
      <c r="G116" s="3419"/>
      <c r="H116" s="3376" t="s">
        <v>2074</v>
      </c>
      <c r="I116" s="3376"/>
    </row>
    <row r="117" spans="1:27" ht="18.75" customHeight="1">
      <c r="A117" s="3376"/>
      <c r="B117" s="3412"/>
      <c r="C117" s="3412"/>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22491</v>
      </c>
      <c r="E118" s="2521">
        <f ca="1">ROUND(IF(C33="自定义",IF(D32="楼面单价",C34,D118*10000/B118),I118-G118),0)</f>
        <v>1400</v>
      </c>
      <c r="F118" s="2521">
        <f ca="1">ROUND(IF(D32="总价",C35,G118*B118/10000),0)</f>
        <v>117203</v>
      </c>
      <c r="G118" s="2521">
        <f ca="1">ROUND(IF(D32="楼面单价",C35,F118*10000/B118),0)</f>
        <v>7297</v>
      </c>
      <c r="H118" s="2521">
        <f ca="1">ROUND(IF(D32="总价",C32,I118*B118/10000),0)</f>
        <v>139694</v>
      </c>
      <c r="I118" s="2521">
        <f ca="1">ROUND(IF(D32="楼面单价",C32,H118*10000/B118),0)</f>
        <v>8697</v>
      </c>
    </row>
    <row r="119" spans="1:27" ht="18.75" customHeight="1">
      <c r="A119" s="3376" t="s">
        <v>2078</v>
      </c>
      <c r="B119" s="3376"/>
      <c r="C119" s="3376"/>
      <c r="D119" s="3416" t="str">
        <f ca="1">NUMBERSTRING(INT(D118*10000),2)&amp;"元整"</f>
        <v>贰亿贰仟肆佰玖拾壹万元整</v>
      </c>
      <c r="E119" s="3418"/>
      <c r="F119" s="3416" t="str">
        <f ca="1">NUMBERSTRING(INT(F118*10000),2)&amp;"元整"</f>
        <v>壹拾壹亿柒仟贰佰零叁万元整</v>
      </c>
      <c r="G119" s="3418"/>
      <c r="H119" s="3416" t="str">
        <f ca="1">NUMBERSTRING(INT(H118*10000),2)&amp;"元整"</f>
        <v>壹拾叁亿玖仟陆佰玖拾肆万元整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20" t="s">
        <v>2078</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139694</v>
      </c>
      <c r="E122" s="3444"/>
      <c r="F122" s="3444"/>
      <c r="G122" s="3444"/>
      <c r="H122" s="3444"/>
      <c r="I122" s="3445"/>
      <c r="AA122" s="734"/>
    </row>
    <row r="123" spans="1:27" ht="18.75" customHeight="1">
      <c r="A123" s="3376" t="s">
        <v>2078</v>
      </c>
      <c r="B123" s="3376"/>
      <c r="C123" s="3376"/>
      <c r="D123" s="3416" t="str">
        <f ca="1">NUMBERSTRING(INT(D122*10000),2)&amp;"元整"</f>
        <v>壹拾叁亿玖仟陆佰玖拾肆万元整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2078</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
      </c>
      <c r="B126" s="3407"/>
      <c r="C126" s="3407"/>
      <c r="D126" s="3443" t="str">
        <f>H111</f>
        <v>——</v>
      </c>
      <c r="E126" s="3444"/>
      <c r="F126" s="3444"/>
      <c r="G126" s="3444"/>
      <c r="H126" s="3444"/>
      <c r="I126" s="3445"/>
      <c r="AA126" s="734"/>
    </row>
    <row r="127" spans="1:27" ht="18.75" customHeight="1">
      <c r="A127" s="3376" t="s">
        <v>2078</v>
      </c>
      <c r="B127" s="3376"/>
      <c r="C127" s="3376"/>
      <c r="D127" s="3416" t="e">
        <f>NUMBERSTRING(INT(D126*10000),2)&amp;"元整"</f>
        <v>#VALUE!</v>
      </c>
      <c r="E127" s="3417"/>
      <c r="F127" s="3417"/>
      <c r="G127" s="3417"/>
      <c r="H127" s="3417"/>
      <c r="I127" s="3418"/>
      <c r="AA127" s="734"/>
    </row>
    <row r="128" spans="1:27" ht="21.75" customHeight="1">
      <c r="A128" s="3426" t="s">
        <v>2079</v>
      </c>
      <c r="B128" s="3426"/>
      <c r="C128" s="3426"/>
      <c r="D128" s="3426"/>
      <c r="E128" s="3426"/>
      <c r="F128" s="3426"/>
      <c r="G128" s="3426"/>
      <c r="H128" s="3426"/>
      <c r="I128" s="3426"/>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4" manualBreakCount="4">
    <brk id="43" max="8" man="1"/>
    <brk id="96" max="8" man="1"/>
    <brk id="98"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149429</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9303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18593</v>
      </c>
      <c r="D5" s="217" t="s">
        <v>2095</v>
      </c>
      <c r="E5" s="218" t="s">
        <v>2096</v>
      </c>
      <c r="F5" s="218" t="s">
        <v>2097</v>
      </c>
      <c r="G5" s="219"/>
    </row>
    <row r="6" spans="1:9" s="220" customFormat="1" ht="13.5" customHeight="1">
      <c r="A6" s="886" t="s">
        <v>2098</v>
      </c>
      <c r="B6" s="221" t="s">
        <v>2099</v>
      </c>
      <c r="C6" s="222">
        <f>'土地比较法-工业'!B2</f>
        <v>14926</v>
      </c>
      <c r="D6" s="223"/>
      <c r="E6" s="224"/>
      <c r="F6" s="224"/>
      <c r="G6" s="225"/>
    </row>
    <row r="7" spans="1:9" s="220" customFormat="1" ht="13.5" customHeight="1">
      <c r="A7" s="886" t="s">
        <v>2100</v>
      </c>
      <c r="B7" s="221" t="s">
        <v>2101</v>
      </c>
      <c r="C7" s="226">
        <f>ROUND(C6*F7,0)</f>
        <v>455</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372</v>
      </c>
      <c r="D20" s="238"/>
      <c r="E20" s="238"/>
      <c r="F20" s="239">
        <f>'数据-取费表'!B37</f>
        <v>0.02</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1611</v>
      </c>
      <c r="D22" s="241">
        <f ca="1">C26</f>
        <v>4.0000000000000002E-4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1595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16</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1897</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1897</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24004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103924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96375</v>
      </c>
      <c r="D34" s="223"/>
      <c r="E34" s="226"/>
      <c r="F34" s="263">
        <f ca="1">IF('数据-取费表'!B24=0,1,IF(B1="",'数据-取费表'!N16,INDIRECT("'数据-取费表'!n"&amp;$G$1)))</f>
        <v>1</v>
      </c>
      <c r="G34" s="225" t="s">
        <v>2152</v>
      </c>
    </row>
    <row r="35" spans="1:7" ht="13.5" customHeight="1">
      <c r="A35" s="888" t="s">
        <v>796</v>
      </c>
      <c r="B35" s="221" t="s">
        <v>2153</v>
      </c>
      <c r="C35" s="226">
        <f ca="1">ROUND(C34*F35,0)</f>
        <v>2891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1446</v>
      </c>
      <c r="D38" s="226"/>
      <c r="E38" s="226"/>
      <c r="F38" s="265">
        <f>'数据-取费表'!B36</f>
        <v>1.4999999999999999E-2</v>
      </c>
      <c r="G38" s="225" t="s">
        <v>2154</v>
      </c>
    </row>
    <row r="39" spans="1:7" s="220" customFormat="1" ht="13.5" customHeight="1">
      <c r="A39" s="261" t="s">
        <v>2160</v>
      </c>
      <c r="B39" s="216" t="s">
        <v>2161</v>
      </c>
      <c r="C39" s="238">
        <f ca="1">ROUND(C33*F20,0)</f>
        <v>2078</v>
      </c>
      <c r="D39" s="238"/>
      <c r="E39" s="238"/>
      <c r="F39" s="2504">
        <f>F20</f>
        <v>0.02</v>
      </c>
      <c r="G39" s="240" t="s">
        <v>2162</v>
      </c>
    </row>
    <row r="40" spans="1:7" s="220" customFormat="1" ht="13.5" customHeight="1">
      <c r="A40" s="261" t="s">
        <v>2163</v>
      </c>
      <c r="B40" s="216" t="s">
        <v>2164</v>
      </c>
      <c r="C40" s="1466">
        <f>F21</f>
        <v>0.01</v>
      </c>
      <c r="D40" s="242" t="s">
        <v>2165</v>
      </c>
      <c r="E40" s="238"/>
      <c r="F40" s="2504">
        <f>F21</f>
        <v>0.01</v>
      </c>
      <c r="G40" s="240" t="s">
        <v>2166</v>
      </c>
    </row>
    <row r="41" spans="1:7" s="220" customFormat="1" ht="13.5" customHeight="1">
      <c r="A41" s="261" t="s">
        <v>2167</v>
      </c>
      <c r="B41" s="216" t="s">
        <v>2168</v>
      </c>
      <c r="C41" s="238">
        <f ca="1">ROUND(SUM(C42:C43),0)</f>
        <v>4452</v>
      </c>
      <c r="D41" s="241">
        <f ca="1">C44</f>
        <v>4.0000000000000002E-4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4365</v>
      </c>
      <c r="D42" s="244"/>
      <c r="E42" s="244"/>
      <c r="F42" s="245"/>
      <c r="G42" s="3459" t="s">
        <v>2170</v>
      </c>
    </row>
    <row r="43" spans="1:7" ht="13.5" customHeight="1">
      <c r="A43" s="888" t="s">
        <v>792</v>
      </c>
      <c r="B43" s="221" t="s">
        <v>2171</v>
      </c>
      <c r="C43" s="244">
        <f ca="1">ROUND(IF('数据-取费表'!B22&lt;=1,C39*F22*'数据-取费表'!B21/2,C39*(POWER((1+F22),'数据-取费表'!B21/2)-1)),0)</f>
        <v>87</v>
      </c>
      <c r="D43" s="244"/>
      <c r="E43" s="244"/>
      <c r="F43" s="245"/>
      <c r="G43" s="3460"/>
    </row>
    <row r="44" spans="1:7" ht="13.5" customHeight="1">
      <c r="A44" s="888" t="s">
        <v>793</v>
      </c>
      <c r="B44" s="221" t="s">
        <v>2172</v>
      </c>
      <c r="C44" s="244">
        <f ca="1">ROUND(IF('数据-取费表'!B22&lt;=1,C40*F22*'数据-取费表'!B21/2,C40*(POWER((1+F22),'数据-取费表'!B21/2)-1)),4)</f>
        <v>4.0000000000000002E-4</v>
      </c>
      <c r="D44" s="244"/>
      <c r="E44" s="244"/>
      <c r="F44" s="245"/>
      <c r="G44" s="3461"/>
    </row>
    <row r="45" spans="1:7" s="220" customFormat="1" ht="13.5" customHeight="1">
      <c r="A45" s="261" t="s">
        <v>2173</v>
      </c>
      <c r="B45" s="250" t="s">
        <v>2139</v>
      </c>
      <c r="C45" s="251">
        <f ca="1">C46</f>
        <v>10600</v>
      </c>
      <c r="D45" s="241">
        <f ca="1">C47</f>
        <v>1E-3</v>
      </c>
      <c r="E45" s="242" t="s">
        <v>2165</v>
      </c>
      <c r="F45" s="2506">
        <f ca="1">F27</f>
        <v>0.1</v>
      </c>
      <c r="G45" s="253" t="s">
        <v>2174</v>
      </c>
    </row>
    <row r="46" spans="1:7" s="220" customFormat="1" ht="13.5" customHeight="1">
      <c r="A46" s="888" t="s">
        <v>791</v>
      </c>
      <c r="B46" s="254" t="s">
        <v>2175</v>
      </c>
      <c r="C46" s="255">
        <f ca="1">ROUND((C33+C39)*F27,0)</f>
        <v>10600</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129304</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125425</v>
      </c>
      <c r="D51" s="238"/>
      <c r="E51" s="238"/>
      <c r="F51" s="270"/>
      <c r="G51" s="240" t="s">
        <v>2186</v>
      </c>
    </row>
    <row r="52" spans="1:7" s="214" customFormat="1" ht="16.5" thickBot="1">
      <c r="A52" s="271" t="s">
        <v>2187</v>
      </c>
      <c r="B52" s="272"/>
      <c r="C52" s="273">
        <f ca="1">C31+C51</f>
        <v>149429</v>
      </c>
      <c r="D52" s="272"/>
      <c r="E52" s="272"/>
      <c r="F52" s="272"/>
      <c r="G52" s="274"/>
    </row>
    <row r="55" spans="1:7" ht="15">
      <c r="B55" s="276" t="s">
        <v>2188</v>
      </c>
      <c r="C55" s="277"/>
    </row>
    <row r="56" spans="1:7">
      <c r="B56" s="279" t="s">
        <v>1418</v>
      </c>
      <c r="C56" s="281">
        <f ca="1">1-C57</f>
        <v>0.16100000000000003</v>
      </c>
    </row>
    <row r="57" spans="1:7">
      <c r="B57" s="279" t="s">
        <v>1419</v>
      </c>
      <c r="C57" s="280">
        <f ca="1">ROUND(C51/C52,3)</f>
        <v>0.83899999999999997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0" t="str">
        <f>项目基本情况!B1</f>
        <v>北京市房地产抵押价值预评估</v>
      </c>
      <c r="C37" s="3270"/>
      <c r="D37" s="3270"/>
      <c r="E37" s="3270"/>
      <c r="F37" s="3270"/>
      <c r="G37" s="3270"/>
      <c r="H37" s="3270"/>
      <c r="I37" s="3270"/>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133720</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8325</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1284997</v>
      </c>
      <c r="D20" s="238"/>
      <c r="E20" s="238"/>
      <c r="F20" s="239">
        <f>'数据-取费表'!B37</f>
        <v>0.02</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5564292</v>
      </c>
      <c r="D22" s="241">
        <f ca="1">C26</f>
        <v>4.0000000000000002E-4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2755161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2755161</v>
      </c>
      <c r="D24" s="244"/>
      <c r="E24" s="244"/>
      <c r="F24" s="245"/>
      <c r="G24" s="246" t="s">
        <v>2212</v>
      </c>
    </row>
    <row r="25" spans="1:7" s="220" customFormat="1" ht="24">
      <c r="A25" s="888" t="s">
        <v>2102</v>
      </c>
      <c r="B25" s="221" t="s">
        <v>2213</v>
      </c>
      <c r="C25" s="1262">
        <f ca="1">ROUND(IF('数据-取费表'!B22&lt;=1,C20*F22*'数据-取费表'!B22/2,C20*(POWER((1+F22),'数据-取费表'!B22/2)-1)),0)</f>
        <v>53970</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6553483</v>
      </c>
      <c r="D27" s="241">
        <f ca="1">C29</f>
        <v>1E-3</v>
      </c>
      <c r="E27" s="242" t="s">
        <v>2140</v>
      </c>
      <c r="F27" s="252">
        <f ca="1">IF(B1="",'数据-取费表'!Q16,INDIRECT("'数据-取费表'!q"&amp;$G$1))</f>
        <v>0.1</v>
      </c>
      <c r="G27" s="253" t="s">
        <v>2141</v>
      </c>
    </row>
    <row r="28" spans="1:7" s="220" customFormat="1" ht="13.5" customHeight="1">
      <c r="A28" s="888" t="s">
        <v>791</v>
      </c>
      <c r="B28" s="254" t="s">
        <v>2142</v>
      </c>
      <c r="C28" s="255">
        <f ca="1">ROUND((C5+C19+C20)*F27,0)</f>
        <v>6553483</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82944461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1039241032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963747480</v>
      </c>
      <c r="D34" s="223"/>
      <c r="E34" s="226"/>
      <c r="F34" s="263"/>
      <c r="G34" s="225"/>
    </row>
    <row r="35" spans="1:7" ht="13.5" customHeight="1">
      <c r="A35" s="888" t="s">
        <v>796</v>
      </c>
      <c r="B35" s="221" t="s">
        <v>2153</v>
      </c>
      <c r="C35" s="226">
        <f ca="1">ROUND(C34*F35,0)</f>
        <v>28912424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14456212</v>
      </c>
      <c r="D38" s="226"/>
      <c r="E38" s="226"/>
      <c r="F38" s="265">
        <f>'数据-取费表'!B36</f>
        <v>1.4999999999999999E-2</v>
      </c>
      <c r="G38" s="225" t="s">
        <v>2154</v>
      </c>
    </row>
    <row r="39" spans="1:7" s="220" customFormat="1" ht="13.5" customHeight="1">
      <c r="A39" s="261" t="s">
        <v>2160</v>
      </c>
      <c r="B39" s="216" t="s">
        <v>2161</v>
      </c>
      <c r="C39" s="238">
        <f ca="1">ROUND(C33*F20,0)</f>
        <v>20784821</v>
      </c>
      <c r="D39" s="238"/>
      <c r="E39" s="238"/>
      <c r="F39" s="2504">
        <f>F20</f>
        <v>0.02</v>
      </c>
      <c r="G39" s="240" t="s">
        <v>2162</v>
      </c>
    </row>
    <row r="40" spans="1:7" s="220" customFormat="1" ht="13.5" customHeight="1">
      <c r="A40" s="261" t="s">
        <v>2163</v>
      </c>
      <c r="B40" s="216" t="s">
        <v>2164</v>
      </c>
      <c r="C40" s="1466">
        <f>F21</f>
        <v>0.01</v>
      </c>
      <c r="D40" s="242" t="s">
        <v>2165</v>
      </c>
      <c r="E40" s="238"/>
      <c r="F40" s="2504">
        <f>F21</f>
        <v>0.01</v>
      </c>
      <c r="G40" s="240" t="s">
        <v>2166</v>
      </c>
    </row>
    <row r="41" spans="1:7" s="220" customFormat="1" ht="13.5" customHeight="1">
      <c r="A41" s="261" t="s">
        <v>2167</v>
      </c>
      <c r="B41" s="216" t="s">
        <v>2168</v>
      </c>
      <c r="C41" s="238">
        <f ca="1">ROUND(SUM(C42:C43),0)</f>
        <v>44521085</v>
      </c>
      <c r="D41" s="241">
        <f ca="1">C44</f>
        <v>4.0000000000000002E-4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43648123</v>
      </c>
      <c r="D42" s="244"/>
      <c r="E42" s="244"/>
      <c r="F42" s="245"/>
      <c r="G42" s="3459" t="s">
        <v>2217</v>
      </c>
    </row>
    <row r="43" spans="1:7" ht="13.5" customHeight="1">
      <c r="A43" s="888" t="s">
        <v>792</v>
      </c>
      <c r="B43" s="221" t="s">
        <v>2171</v>
      </c>
      <c r="C43" s="244">
        <f ca="1">ROUND(IF('数据-取费表'!B22&lt;=1,C39*F22*'数据-取费表'!B20/2,C39*(POWER((1+F22),'数据-取费表'!B20/2)-1)),0)</f>
        <v>872962</v>
      </c>
      <c r="D43" s="244"/>
      <c r="E43" s="244"/>
      <c r="F43" s="245"/>
      <c r="G43" s="3460"/>
    </row>
    <row r="44" spans="1:7" ht="13.5" customHeight="1">
      <c r="A44" s="888" t="s">
        <v>793</v>
      </c>
      <c r="B44" s="221" t="s">
        <v>2172</v>
      </c>
      <c r="C44" s="244">
        <f ca="1">ROUND(IF('数据-取费表'!B22&lt;=1,C40*F22*'数据-取费表'!B20/2,C40*(POWER((1+F22),'数据-取费表'!B20/2)-1)),4)</f>
        <v>4.0000000000000002E-4</v>
      </c>
      <c r="D44" s="244"/>
      <c r="E44" s="244"/>
      <c r="F44" s="245"/>
      <c r="G44" s="3461"/>
    </row>
    <row r="45" spans="1:7" s="220" customFormat="1" ht="13.5" customHeight="1">
      <c r="A45" s="261" t="s">
        <v>2173</v>
      </c>
      <c r="B45" s="250" t="s">
        <v>2139</v>
      </c>
      <c r="C45" s="251">
        <f ca="1">C46</f>
        <v>106002585</v>
      </c>
      <c r="D45" s="241">
        <f ca="1">C47</f>
        <v>1E-3</v>
      </c>
      <c r="E45" s="242" t="s">
        <v>2165</v>
      </c>
      <c r="F45" s="2506">
        <f ca="1">F27</f>
        <v>0.1</v>
      </c>
      <c r="G45" s="253" t="s">
        <v>2174</v>
      </c>
    </row>
    <row r="46" spans="1:7" s="220" customFormat="1" ht="13.5" customHeight="1">
      <c r="A46" s="888" t="s">
        <v>791</v>
      </c>
      <c r="B46" s="254" t="s">
        <v>2175</v>
      </c>
      <c r="C46" s="255">
        <f ca="1">ROUND((C33+C39)*F27,0)</f>
        <v>106002585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1293045848</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1254254473</v>
      </c>
      <c r="D51" s="238"/>
      <c r="E51" s="238"/>
      <c r="F51" s="270"/>
      <c r="G51" s="240" t="s">
        <v>2186</v>
      </c>
    </row>
    <row r="52" spans="1:7" s="214" customFormat="1" ht="16.5" thickBot="1">
      <c r="A52" s="271" t="s">
        <v>2187</v>
      </c>
      <c r="B52" s="272"/>
      <c r="C52" s="273">
        <f ca="1">C31+C51</f>
        <v>1337198934</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0.01</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G25" sqref="G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129958</v>
      </c>
      <c r="C2" s="1540" t="s">
        <v>1421</v>
      </c>
      <c r="D2" s="1540"/>
      <c r="E2" s="1541"/>
      <c r="F2" s="1542"/>
      <c r="G2" s="2904"/>
      <c r="H2" s="2893"/>
      <c r="I2" s="2893"/>
      <c r="J2" s="2893"/>
      <c r="K2" s="2894"/>
      <c r="L2" s="2893"/>
      <c r="M2" s="2893"/>
    </row>
    <row r="3" spans="1:37" ht="18" customHeight="1" thickBot="1">
      <c r="A3" s="1543" t="s">
        <v>1422</v>
      </c>
      <c r="B3" s="1544">
        <f ca="1">IF(ISERROR(B2*10000/F43),0,ROUND(B2*10000/F43,0))</f>
        <v>8094</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64" t="s">
        <v>1308</v>
      </c>
      <c r="C6" s="1206">
        <f ca="1">ROUND(F6*F8*F7*(1-F9)/10000,0)</f>
        <v>8966</v>
      </c>
      <c r="D6" s="160" t="s">
        <v>2789</v>
      </c>
      <c r="E6" s="308" t="s">
        <v>1310</v>
      </c>
      <c r="F6" s="309">
        <f ca="1">INDIRECT("'数据-取费表'!u"&amp;$G$1)</f>
        <v>1.8</v>
      </c>
      <c r="G6" s="1537"/>
      <c r="H6" s="1201" t="s">
        <v>1003</v>
      </c>
      <c r="I6" s="3464" t="s">
        <v>1308</v>
      </c>
      <c r="J6" s="307">
        <f ca="1">ROUND(M6*M8*M7*(1-M9)/10000,0)</f>
        <v>0</v>
      </c>
      <c r="K6" s="160" t="s">
        <v>2788</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160556.44</v>
      </c>
      <c r="G7" s="1537"/>
      <c r="H7" s="310"/>
      <c r="I7" s="3465"/>
      <c r="J7" s="312"/>
      <c r="K7" s="313"/>
      <c r="L7" s="308" t="s">
        <v>1311</v>
      </c>
      <c r="M7" s="309">
        <f ca="1">F7</f>
        <v>160556.44</v>
      </c>
    </row>
    <row r="8" spans="1:37" ht="18" customHeight="1">
      <c r="A8" s="310"/>
      <c r="B8" s="3465"/>
      <c r="C8" s="312"/>
      <c r="D8" s="313"/>
      <c r="E8" s="308" t="s">
        <v>1312</v>
      </c>
      <c r="F8" s="309">
        <f ca="1">INDIRECT("'数据-取费表'!ai"&amp;$G$1)</f>
        <v>365</v>
      </c>
      <c r="G8" s="1537"/>
      <c r="H8" s="310"/>
      <c r="I8" s="3465"/>
      <c r="J8" s="312"/>
      <c r="K8" s="313"/>
      <c r="L8" s="308" t="s">
        <v>1312</v>
      </c>
      <c r="M8" s="309">
        <f ca="1">INDIRECT("'数据-取费表'!ai"&amp;$G$1)</f>
        <v>365</v>
      </c>
    </row>
    <row r="9" spans="1:37" ht="18" customHeight="1">
      <c r="A9" s="310"/>
      <c r="B9" s="3466"/>
      <c r="C9" s="312"/>
      <c r="D9" s="313"/>
      <c r="E9" s="308" t="s">
        <v>1313</v>
      </c>
      <c r="F9" s="318">
        <f ca="1">INDIRECT("'数据-取费表'!w"&amp;$G$1)</f>
        <v>0.15</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125425</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96375</v>
      </c>
      <c r="D14" s="1498" t="s">
        <v>1323</v>
      </c>
      <c r="E14" s="1495"/>
      <c r="F14" s="325"/>
      <c r="G14" s="1537"/>
      <c r="H14" s="1113" t="s">
        <v>1003</v>
      </c>
      <c r="I14" s="308" t="s">
        <v>1324</v>
      </c>
      <c r="J14" s="24">
        <f ca="1">C29</f>
        <v>129304</v>
      </c>
      <c r="K14" s="15"/>
      <c r="L14" s="916"/>
      <c r="M14" s="917"/>
    </row>
    <row r="15" spans="1:37" s="1550" customFormat="1" ht="18" customHeight="1" thickBot="1">
      <c r="A15" s="1113" t="s">
        <v>1004</v>
      </c>
      <c r="B15" s="308" t="s">
        <v>1325</v>
      </c>
      <c r="C15" s="24">
        <f ca="1">ROUND(C14*F15,0)</f>
        <v>2891</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2928</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1118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103924</v>
      </c>
      <c r="D19" s="136" t="s">
        <v>1341</v>
      </c>
      <c r="E19" s="1513"/>
      <c r="F19" s="26"/>
      <c r="G19" s="1537"/>
      <c r="H19" s="1113" t="s">
        <v>1004</v>
      </c>
      <c r="I19" s="308" t="s">
        <v>1342</v>
      </c>
      <c r="J19" s="24">
        <f ca="1">IF(K19="按租金收入计税",ROUND(J6*M19/(1+'数据-取费表'!C42),2),ROUND(C29*M19*0.7,2))</f>
        <v>1086.1500000000001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2078</v>
      </c>
      <c r="D20" s="329" t="s">
        <v>1345</v>
      </c>
      <c r="E20" s="308" t="s">
        <v>1327</v>
      </c>
      <c r="F20" s="328">
        <f>'数据-取费表'!B37</f>
        <v>0.02</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1810.3</v>
      </c>
      <c r="K22" s="1497" t="s">
        <v>1355</v>
      </c>
      <c r="L22" s="308" t="s">
        <v>1327</v>
      </c>
      <c r="M22" s="334">
        <f ca="1">INDIRECT("'数据-取费表'!Ak"&amp;$G$1)</f>
        <v>1.4E-2</v>
      </c>
    </row>
    <row r="23" spans="1:37" s="1550" customFormat="1" ht="18" customHeight="1">
      <c r="A23" s="1113" t="s">
        <v>1002</v>
      </c>
      <c r="B23" s="308" t="s">
        <v>1356</v>
      </c>
      <c r="C23" s="24">
        <f ca="1">IF('数据-取费表'!B22&lt;=1,ROUND(C19*F24*F23/2,0)+ROUND(C20*F24*F23/2,0),ROUND(C19*(POWER((1+F24),F23/2)-1),0)+ROUND(C20*(POWER((1+F24),F23/2)-1),0))</f>
        <v>4452</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-2928</v>
      </c>
      <c r="K25" s="1227" t="s">
        <v>1369</v>
      </c>
      <c r="L25" s="1228"/>
      <c r="M25" s="1229"/>
    </row>
    <row r="26" spans="1:37">
      <c r="A26" s="1113" t="s">
        <v>1002</v>
      </c>
      <c r="B26" s="308" t="s">
        <v>1370</v>
      </c>
      <c r="C26" s="24">
        <f ca="1">ROUND((C19+C20)*F26,0)</f>
        <v>10600</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129304</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3552</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1810.3</v>
      </c>
      <c r="D36" s="1497" t="s">
        <v>1387</v>
      </c>
      <c r="E36" s="308" t="s">
        <v>1327</v>
      </c>
      <c r="F36" s="334">
        <f ca="1">INDIRECT("'数据-取费表'!Ak"&amp;$G$1)</f>
        <v>1.4E-2</v>
      </c>
      <c r="G36" s="1537"/>
      <c r="H36" s="2898"/>
      <c r="I36" s="1551"/>
      <c r="J36" s="1552"/>
      <c r="K36" s="2739"/>
      <c r="L36" s="2898"/>
      <c r="M36" s="2898"/>
    </row>
    <row r="37" spans="1:18" ht="18" customHeight="1">
      <c r="A37" s="1113" t="s">
        <v>1043</v>
      </c>
      <c r="B37" s="308" t="s">
        <v>1358</v>
      </c>
      <c r="C37" s="24">
        <f ca="1">ROUND(C13*F37,1)</f>
        <v>125.4</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5425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129958</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8094</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-356203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129958</v>
      </c>
      <c r="R47" s="1573" t="s">
        <v>1434</v>
      </c>
    </row>
    <row r="48" spans="1:18" s="1537" customFormat="1" ht="28.5"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129304</v>
      </c>
      <c r="R49" s="1573" t="s">
        <v>1434</v>
      </c>
    </row>
    <row r="50" spans="1:18" s="1537" customFormat="1" ht="13.5"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-107300</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62" t="s">
        <v>1453</v>
      </c>
      <c r="L53" s="3463"/>
      <c r="O53" s="1571" t="s">
        <v>1014</v>
      </c>
      <c r="P53" s="1572" t="s">
        <v>1454</v>
      </c>
      <c r="Q53" s="1573">
        <f ca="1">Q47+Q48</f>
        <v>129958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125425</v>
      </c>
      <c r="D56" s="1600"/>
      <c r="E56" s="1601"/>
      <c r="F56" s="1593"/>
      <c r="I56" s="1602" t="s">
        <v>1459</v>
      </c>
      <c r="J56" s="1603" t="s">
        <v>3132</v>
      </c>
      <c r="K56" s="1574" t="s">
        <v>1460</v>
      </c>
      <c r="L56" s="1577" t="str">
        <f ca="1">IF(L48&lt;J51,"——",L48-J53)</f>
        <v>——</v>
      </c>
      <c r="O56" s="1571" t="s">
        <v>1008</v>
      </c>
      <c r="P56" s="1572" t="s">
        <v>1433</v>
      </c>
      <c r="Q56" s="1573">
        <f ca="1">C40+J29</f>
        <v>129958</v>
      </c>
      <c r="R56" s="1573" t="s">
        <v>1434</v>
      </c>
    </row>
    <row r="57" spans="1:18" s="1537" customFormat="1" ht="24.75" thickBot="1">
      <c r="A57" s="1604"/>
      <c r="B57" s="1081" t="s">
        <v>1383</v>
      </c>
      <c r="C57" s="244">
        <f ca="1">C29</f>
        <v>129304</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12830</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10894</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10861.54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129958</v>
      </c>
      <c r="R62" s="1573" t="s">
        <v>1015</v>
      </c>
    </row>
    <row r="63" spans="1:18" s="1537" customFormat="1" ht="13.5"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1810.3</v>
      </c>
      <c r="D64" s="1095" t="s">
        <v>1407</v>
      </c>
      <c r="E64" s="1081" t="s">
        <v>1399</v>
      </c>
      <c r="F64" s="334">
        <f t="shared" ca="1" si="0"/>
        <v>1.4E-2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125.4</v>
      </c>
      <c r="D65" s="1095" t="s">
        <v>1359</v>
      </c>
      <c r="E65" s="1081" t="s">
        <v>1360</v>
      </c>
      <c r="F65" s="336">
        <f t="shared" ca="1" si="0"/>
        <v>1E-3</v>
      </c>
      <c r="I65" s="1615" t="s">
        <v>1484</v>
      </c>
      <c r="J65" s="1616">
        <v>40</v>
      </c>
      <c r="K65" s="1616">
        <v>30</v>
      </c>
      <c r="L65" s="1616">
        <v>50</v>
      </c>
      <c r="M65" s="1618">
        <v>0.02</v>
      </c>
      <c r="O65" s="1571" t="s">
        <v>1008</v>
      </c>
      <c r="P65" s="1572" t="s">
        <v>1485</v>
      </c>
      <c r="Q65" s="1573">
        <f ca="1">C40+J29</f>
        <v>129958</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-12830</v>
      </c>
      <c r="D67" s="1094" t="s">
        <v>1369</v>
      </c>
      <c r="E67" s="1099"/>
      <c r="F67" s="1100"/>
      <c r="O67" s="1581" t="s">
        <v>1010</v>
      </c>
      <c r="P67" s="1572" t="s">
        <v>1467</v>
      </c>
      <c r="Q67" s="1619">
        <f ca="1">L51</f>
        <v>-107300</v>
      </c>
      <c r="R67" s="1573" t="s">
        <v>1487</v>
      </c>
    </row>
    <row r="68" spans="1:18" s="1537" customFormat="1" ht="16.5" thickBot="1">
      <c r="A68" s="1078" t="s">
        <v>1000</v>
      </c>
      <c r="B68" s="1079" t="s">
        <v>1390</v>
      </c>
      <c r="C68" s="307">
        <f ca="1">ROUND(C67*(1-((1+F70)/(1+F68))^F69)/(F68-F70),0)</f>
        <v>-226245</v>
      </c>
      <c r="D68" s="1096" t="s">
        <v>1374</v>
      </c>
      <c r="E68" s="1081" t="s">
        <v>1375</v>
      </c>
      <c r="F68" s="318">
        <f ca="1">F40</f>
        <v>0.05</v>
      </c>
      <c r="O68" s="1581" t="s">
        <v>1011</v>
      </c>
      <c r="P68" s="1620" t="s">
        <v>1488</v>
      </c>
      <c r="Q68" s="1573">
        <f ca="1">ROUND(Q69-Q70*Q71,0)</f>
        <v>-5236</v>
      </c>
      <c r="R68" s="1573" t="s">
        <v>1019</v>
      </c>
    </row>
    <row r="69" spans="1:18" s="1537" customFormat="1" ht="13.5" thickBot="1">
      <c r="A69" s="1082"/>
      <c r="B69" s="1083"/>
      <c r="C69" s="312"/>
      <c r="D69" s="1101" t="s">
        <v>1378</v>
      </c>
      <c r="E69" s="1081" t="s">
        <v>1379</v>
      </c>
      <c r="F69" s="339">
        <f ca="1">F41</f>
        <v>43.75</v>
      </c>
      <c r="O69" s="1581" t="s">
        <v>1016</v>
      </c>
      <c r="P69" s="1620" t="s">
        <v>1489</v>
      </c>
      <c r="Q69" s="1573">
        <f ca="1">C39</f>
        <v>5425</v>
      </c>
      <c r="R69" s="1573" t="s">
        <v>1434</v>
      </c>
    </row>
    <row r="70" spans="1:18" s="1537" customFormat="1" ht="13.5" thickBot="1">
      <c r="A70" s="1085"/>
      <c r="B70" s="1086"/>
      <c r="C70" s="316"/>
      <c r="D70" s="1097"/>
      <c r="E70" s="1081" t="s">
        <v>1382</v>
      </c>
      <c r="F70" s="1185"/>
      <c r="O70" s="1581" t="s">
        <v>1017</v>
      </c>
      <c r="P70" s="1620" t="s">
        <v>1490</v>
      </c>
      <c r="Q70" s="1573">
        <f ca="1">C13</f>
        <v>125425</v>
      </c>
      <c r="R70" s="1573" t="s">
        <v>1434</v>
      </c>
    </row>
    <row r="71" spans="1:18" s="1537" customFormat="1" ht="13.5" thickBot="1">
      <c r="A71" s="1102" t="s">
        <v>1001</v>
      </c>
      <c r="B71" s="1103" t="s">
        <v>1392</v>
      </c>
      <c r="C71" s="342">
        <f ca="1">ROUND(C68*10000/F71,0)</f>
        <v>-14091</v>
      </c>
      <c r="D71" s="1104" t="s">
        <v>1393</v>
      </c>
      <c r="E71" s="1105" t="s">
        <v>1394</v>
      </c>
      <c r="F71" s="345">
        <f ca="1">F43</f>
        <v>160556.44</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10661</v>
      </c>
      <c r="D75" s="1537"/>
      <c r="E75" s="1537"/>
      <c r="F75" s="1537"/>
      <c r="K75" s="1555"/>
      <c r="L75" s="1537"/>
      <c r="O75" s="1571" t="s">
        <v>1014</v>
      </c>
      <c r="P75" s="1572" t="s">
        <v>1454</v>
      </c>
      <c r="Q75" s="1573">
        <f ca="1">Q65+Q66</f>
        <v>129958</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-0.96500000000000008</v>
      </c>
    </row>
    <row r="80" spans="1:18">
      <c r="B80" s="346" t="s">
        <v>1416</v>
      </c>
      <c r="C80" s="280">
        <f ca="1">ROUND(C75/C39,3)</f>
        <v>1.9650000000000001</v>
      </c>
    </row>
    <row r="81" spans="2:3">
      <c r="B81" s="276" t="s">
        <v>1417</v>
      </c>
      <c r="C81" s="244"/>
    </row>
    <row r="82" spans="2:3">
      <c r="B82" s="279" t="s">
        <v>1418</v>
      </c>
      <c r="C82" s="281">
        <f ca="1">1-C83</f>
        <v>3.5000000000000031E-2</v>
      </c>
    </row>
    <row r="83" spans="2:3">
      <c r="B83" s="279" t="s">
        <v>1419</v>
      </c>
      <c r="C83" s="280">
        <f ca="1">ROUND(C13/C40,3)</f>
        <v>0.96499999999999997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4" t="s">
        <v>1308</v>
      </c>
      <c r="C6" s="1206">
        <f ca="1">ROUND(F6*F8*F7*(1-F9),0)</f>
        <v>0</v>
      </c>
      <c r="D6" s="160" t="s">
        <v>2786</v>
      </c>
      <c r="E6" s="308" t="s">
        <v>1310</v>
      </c>
      <c r="F6" s="309">
        <f ca="1">INDIRECT("'数据-取费表'!u"&amp;$G$1)</f>
        <v>0</v>
      </c>
      <c r="G6" s="1537"/>
      <c r="H6" s="1201" t="s">
        <v>1003</v>
      </c>
      <c r="I6" s="3464" t="s">
        <v>1308</v>
      </c>
      <c r="J6" s="307">
        <f ca="1">ROUND(M6*M8*M7*(1-M9),0)</f>
        <v>0</v>
      </c>
      <c r="K6" s="1529" t="s">
        <v>2787</v>
      </c>
      <c r="L6" s="308" t="s">
        <v>1310</v>
      </c>
      <c r="M6" s="309">
        <f ca="1">INDIRECT("'数据-取费表'!z"&amp;$G$1)</f>
        <v>0</v>
      </c>
    </row>
    <row r="7" spans="1:37" ht="18" customHeight="1">
      <c r="A7" s="1205"/>
      <c r="B7" s="3465"/>
      <c r="C7" s="1207"/>
      <c r="D7" s="313"/>
      <c r="E7" s="1208" t="s">
        <v>1311</v>
      </c>
      <c r="F7" s="309">
        <f ca="1">IF(INDIRECT("'数据-取费表'!ah"&amp;$G$1)="",INDIRECT("'数据-取费表'!k"&amp;$G$1),INDIRECT("'数据-取费表'!ah"&amp;$G$1))</f>
        <v>0</v>
      </c>
      <c r="G7" s="1537"/>
      <c r="H7" s="310"/>
      <c r="I7" s="3465"/>
      <c r="J7" s="312"/>
      <c r="K7" s="313"/>
      <c r="L7" s="308" t="s">
        <v>1311</v>
      </c>
      <c r="M7" s="309">
        <f ca="1">F7</f>
        <v>0</v>
      </c>
    </row>
    <row r="8" spans="1:37" ht="18" customHeight="1">
      <c r="A8" s="310"/>
      <c r="B8" s="3465"/>
      <c r="C8" s="312"/>
      <c r="D8" s="313"/>
      <c r="E8" s="308" t="s">
        <v>1312</v>
      </c>
      <c r="F8" s="309">
        <f ca="1">INDIRECT("'数据-取费表'!ai"&amp;$G$1)</f>
        <v>0</v>
      </c>
      <c r="G8" s="1537"/>
      <c r="H8" s="310"/>
      <c r="I8" s="3465"/>
      <c r="J8" s="312"/>
      <c r="K8" s="313"/>
      <c r="L8" s="308" t="s">
        <v>1312</v>
      </c>
      <c r="M8" s="309">
        <f ca="1">INDIRECT("'数据-取费表'!ai"&amp;$G$1)</f>
        <v>0</v>
      </c>
    </row>
    <row r="9" spans="1:37" ht="18" customHeight="1">
      <c r="A9" s="310"/>
      <c r="B9" s="3466"/>
      <c r="C9" s="312"/>
      <c r="D9" s="313"/>
      <c r="E9" s="308" t="s">
        <v>1313</v>
      </c>
      <c r="F9" s="318">
        <f ca="1">INDIRECT("'数据-取费表'!w"&amp;$G$1)</f>
        <v>0</v>
      </c>
      <c r="G9" s="1537"/>
      <c r="H9" s="310"/>
      <c r="I9" s="3466"/>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62" t="s">
        <v>1453</v>
      </c>
      <c r="L53" s="3463"/>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73" t="s">
        <v>3006</v>
      </c>
      <c r="K2" s="3474"/>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75" t="s">
        <v>3016</v>
      </c>
      <c r="K3" s="3476"/>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75" t="s">
        <v>3018</v>
      </c>
      <c r="K4" s="3476"/>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81" t="s">
        <v>3022</v>
      </c>
      <c r="B6" s="3482"/>
      <c r="C6" s="3483"/>
      <c r="D6" s="3070"/>
      <c r="E6" s="3071"/>
      <c r="F6" s="3072"/>
      <c r="G6" s="3073"/>
      <c r="H6" s="3048"/>
      <c r="I6" s="3049"/>
      <c r="J6" s="3467">
        <v>1</v>
      </c>
      <c r="K6" s="3468"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67"/>
      <c r="K7" s="3469"/>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84" t="s">
        <v>3036</v>
      </c>
      <c r="C8" s="3485"/>
      <c r="D8" s="3089" t="s">
        <v>3037</v>
      </c>
      <c r="E8" s="3090" t="s">
        <v>3038</v>
      </c>
      <c r="F8" s="3091" t="s">
        <v>3039</v>
      </c>
      <c r="G8" s="3092"/>
      <c r="H8" s="3048"/>
      <c r="I8" s="3049"/>
      <c r="J8" s="3467"/>
      <c r="K8" s="3469"/>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84" t="s">
        <v>3042</v>
      </c>
      <c r="C9" s="3485"/>
      <c r="D9" s="3089">
        <f>ROUND(D6*E9,0)</f>
        <v>0</v>
      </c>
      <c r="E9" s="3093"/>
      <c r="F9" s="3094" t="s">
        <v>3043</v>
      </c>
      <c r="G9" s="3073"/>
      <c r="H9" s="3048"/>
      <c r="I9" s="3049"/>
      <c r="J9" s="3467"/>
      <c r="K9" s="3469"/>
      <c r="L9" s="3083" t="s">
        <v>3044</v>
      </c>
      <c r="M9" s="3084"/>
      <c r="N9" s="3060"/>
      <c r="O9" s="3085"/>
      <c r="P9" s="3085"/>
      <c r="Q9" s="3086">
        <v>365</v>
      </c>
      <c r="R9" s="3087">
        <f t="shared" si="0"/>
        <v>0</v>
      </c>
      <c r="S9" s="3041"/>
      <c r="T9" s="3041"/>
      <c r="U9" s="3041"/>
      <c r="V9" s="3049"/>
    </row>
    <row r="10" spans="1:22" s="3053" customFormat="1" ht="13.15" customHeight="1">
      <c r="A10" s="3088">
        <v>2</v>
      </c>
      <c r="B10" s="3484" t="s">
        <v>3045</v>
      </c>
      <c r="C10" s="3485"/>
      <c r="D10" s="3089">
        <f>ROUND(D6*E10,0)</f>
        <v>0</v>
      </c>
      <c r="E10" s="3093"/>
      <c r="F10" s="3094" t="s">
        <v>3046</v>
      </c>
      <c r="G10" s="3073"/>
      <c r="H10" s="3048"/>
      <c r="I10" s="3049"/>
      <c r="J10" s="3467"/>
      <c r="K10" s="3469"/>
      <c r="L10" s="3083" t="s">
        <v>3047</v>
      </c>
      <c r="M10" s="3084"/>
      <c r="N10" s="3060"/>
      <c r="O10" s="3085"/>
      <c r="P10" s="3085"/>
      <c r="Q10" s="3086">
        <v>365</v>
      </c>
      <c r="R10" s="3087">
        <f t="shared" si="0"/>
        <v>0</v>
      </c>
      <c r="S10" s="3041"/>
      <c r="T10" s="3041"/>
      <c r="U10" s="3041"/>
      <c r="V10" s="3049"/>
    </row>
    <row r="11" spans="1:22" s="3053" customFormat="1" ht="13.15" customHeight="1">
      <c r="A11" s="3088">
        <v>3</v>
      </c>
      <c r="B11" s="3484" t="s">
        <v>3048</v>
      </c>
      <c r="C11" s="3485"/>
      <c r="D11" s="3089">
        <f>D12+D14+D15+D16</f>
        <v>0</v>
      </c>
      <c r="E11" s="3095" t="e">
        <f>D11/D6</f>
        <v>#DIV/0!</v>
      </c>
      <c r="F11" s="3091"/>
      <c r="G11" s="3092"/>
      <c r="H11" s="3048"/>
      <c r="I11" s="3049"/>
      <c r="J11" s="3467"/>
      <c r="K11" s="3469"/>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77" t="s">
        <v>3051</v>
      </c>
      <c r="C12" s="3478"/>
      <c r="D12" s="3097">
        <f>ROUND(D13*1.2%*(1-30%),0)</f>
        <v>0</v>
      </c>
      <c r="E12" s="3098">
        <v>1.2E-2</v>
      </c>
      <c r="F12" s="3091" t="s">
        <v>3052</v>
      </c>
      <c r="G12" s="3092"/>
      <c r="H12" s="3048"/>
      <c r="I12" s="3049"/>
      <c r="J12" s="3467"/>
      <c r="K12" s="3469"/>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67"/>
      <c r="K13" s="3469"/>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77" t="s">
        <v>3057</v>
      </c>
      <c r="C14" s="3478"/>
      <c r="D14" s="3097">
        <f>ROUND(E14*B5/10000,0)</f>
        <v>0</v>
      </c>
      <c r="E14" s="3086"/>
      <c r="F14" s="3091" t="s">
        <v>3058</v>
      </c>
      <c r="G14" s="3092"/>
      <c r="H14" s="3048"/>
      <c r="I14" s="3049"/>
      <c r="J14" s="3467"/>
      <c r="K14" s="3470"/>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77" t="s">
        <v>3061</v>
      </c>
      <c r="C15" s="3478"/>
      <c r="D15" s="3097">
        <f>ROUND(D6*E15,0)</f>
        <v>0</v>
      </c>
      <c r="E15" s="3098">
        <v>5.5E-2</v>
      </c>
      <c r="F15" s="3091" t="s">
        <v>3062</v>
      </c>
      <c r="G15" s="3073"/>
      <c r="H15" s="3048"/>
      <c r="I15" s="3049"/>
      <c r="J15" s="3467">
        <v>2</v>
      </c>
      <c r="K15" s="3468"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77" t="s">
        <v>3070</v>
      </c>
      <c r="C16" s="3478"/>
      <c r="D16" s="3108">
        <f>D6*E16</f>
        <v>0</v>
      </c>
      <c r="E16" s="3109"/>
      <c r="F16" s="3094" t="s">
        <v>3071</v>
      </c>
      <c r="G16" s="3073"/>
      <c r="H16" s="3048"/>
      <c r="I16" s="3049"/>
      <c r="J16" s="3467"/>
      <c r="K16" s="3469"/>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9" t="s">
        <v>3073</v>
      </c>
      <c r="C17" s="3480"/>
      <c r="D17" s="3111">
        <f>ROUND(D6*E17,0)</f>
        <v>0</v>
      </c>
      <c r="E17" s="3112"/>
      <c r="F17" s="3113" t="s">
        <v>3074</v>
      </c>
      <c r="G17" s="3073"/>
      <c r="H17" s="3048"/>
      <c r="I17" s="3049"/>
      <c r="J17" s="3467"/>
      <c r="K17" s="3469"/>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67"/>
      <c r="K18" s="3469"/>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67"/>
      <c r="K19" s="3470"/>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7">
        <v>3</v>
      </c>
      <c r="K20" s="3468"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67"/>
      <c r="K21" s="3469"/>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67"/>
      <c r="K22" s="3469"/>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67"/>
      <c r="K23" s="3469"/>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67"/>
      <c r="K24" s="3470"/>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71">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72"/>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73" t="s">
        <v>3006</v>
      </c>
      <c r="K32" s="3474"/>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75" t="s">
        <v>3016</v>
      </c>
      <c r="K33" s="3476"/>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75" t="s">
        <v>3018</v>
      </c>
      <c r="K34" s="3476"/>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67">
        <v>1</v>
      </c>
      <c r="K36" s="3468"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67"/>
      <c r="K37" s="3469"/>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7"/>
      <c r="K38" s="3469"/>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67"/>
      <c r="K39" s="3469"/>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67"/>
      <c r="K40" s="3470"/>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1">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72"/>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129958</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75">
      <c r="A3" s="2025" t="s">
        <v>1300</v>
      </c>
      <c r="B3" s="2796">
        <f ca="1">ROUND(B2*10000/E2,0)</f>
        <v>8091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6" t="s">
        <v>2283</v>
      </c>
      <c r="C5" s="3487"/>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129958</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06" t="s">
        <v>2297</v>
      </c>
      <c r="D4" s="3507"/>
      <c r="E4" s="3508" t="s">
        <v>2298</v>
      </c>
      <c r="F4" s="3509"/>
      <c r="G4" s="3506" t="s">
        <v>2299</v>
      </c>
      <c r="H4" s="3507"/>
      <c r="I4" s="3506" t="s">
        <v>2300</v>
      </c>
      <c r="J4" s="3507"/>
      <c r="K4" s="2044" t="s">
        <v>2301</v>
      </c>
      <c r="L4" s="2913"/>
      <c r="M4" s="2914"/>
      <c r="N4" s="2914"/>
      <c r="O4" s="2914"/>
      <c r="P4" s="3510" t="s">
        <v>2302</v>
      </c>
      <c r="Q4" s="3511"/>
      <c r="R4" s="3516" t="s">
        <v>2298</v>
      </c>
      <c r="S4" s="3517"/>
      <c r="T4" s="3516" t="s">
        <v>2299</v>
      </c>
      <c r="U4" s="3517"/>
      <c r="V4" s="3522" t="s">
        <v>2300</v>
      </c>
      <c r="W4" s="3522"/>
      <c r="X4" s="1508"/>
      <c r="Y4" s="3516" t="s">
        <v>2302</v>
      </c>
      <c r="Z4" s="3517"/>
      <c r="AA4" s="3503" t="s">
        <v>2298</v>
      </c>
      <c r="AB4" s="3503" t="s">
        <v>2299</v>
      </c>
      <c r="AC4" s="3503" t="s">
        <v>2300</v>
      </c>
    </row>
    <row r="5" spans="1:29" ht="15">
      <c r="A5" s="364"/>
      <c r="B5" s="365"/>
      <c r="C5" s="3525" t="s">
        <v>2303</v>
      </c>
      <c r="D5" s="3526"/>
      <c r="E5" s="3532" t="s">
        <v>2304</v>
      </c>
      <c r="F5" s="3533"/>
      <c r="G5" s="3525" t="s">
        <v>2305</v>
      </c>
      <c r="H5" s="3526"/>
      <c r="I5" s="3525" t="s">
        <v>2306</v>
      </c>
      <c r="J5" s="3526"/>
      <c r="K5" s="2045"/>
      <c r="L5" s="2913"/>
      <c r="M5" s="2914"/>
      <c r="N5" s="2914"/>
      <c r="O5" s="2914"/>
      <c r="P5" s="3512"/>
      <c r="Q5" s="3513"/>
      <c r="R5" s="3518"/>
      <c r="S5" s="3519"/>
      <c r="T5" s="3518"/>
      <c r="U5" s="3519"/>
      <c r="V5" s="3522"/>
      <c r="W5" s="3522"/>
      <c r="X5" s="1508"/>
      <c r="Y5" s="3518"/>
      <c r="Z5" s="3519"/>
      <c r="AA5" s="3504"/>
      <c r="AB5" s="3504"/>
      <c r="AC5" s="3504"/>
    </row>
    <row r="6" spans="1:29" ht="15.75" thickBot="1">
      <c r="A6" s="366"/>
      <c r="B6" s="367"/>
      <c r="C6" s="3523" t="s">
        <v>2307</v>
      </c>
      <c r="D6" s="3524"/>
      <c r="E6" s="3530" t="s">
        <v>2307</v>
      </c>
      <c r="F6" s="3531"/>
      <c r="G6" s="3523" t="s">
        <v>2307</v>
      </c>
      <c r="H6" s="3524"/>
      <c r="I6" s="3523" t="s">
        <v>2307</v>
      </c>
      <c r="J6" s="3524"/>
      <c r="K6" s="2045" t="s">
        <v>2308</v>
      </c>
      <c r="L6" s="2913"/>
      <c r="M6" s="2914"/>
      <c r="N6" s="2914"/>
      <c r="O6" s="2914"/>
      <c r="P6" s="3514"/>
      <c r="Q6" s="3515"/>
      <c r="R6" s="3518"/>
      <c r="S6" s="3519"/>
      <c r="T6" s="3520"/>
      <c r="U6" s="3521"/>
      <c r="V6" s="3522"/>
      <c r="W6" s="3522"/>
      <c r="X6" s="1508"/>
      <c r="Y6" s="3520"/>
      <c r="Z6" s="3521"/>
      <c r="AA6" s="3505"/>
      <c r="AB6" s="3505"/>
      <c r="AC6" s="3505"/>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27" t="s">
        <v>2310</v>
      </c>
      <c r="Q7" s="3529"/>
      <c r="R7" s="710" t="s">
        <v>23</v>
      </c>
      <c r="S7" s="711">
        <f t="shared" ref="S7:S15" si="0">F7</f>
        <v>0</v>
      </c>
      <c r="T7" s="710" t="s">
        <v>23</v>
      </c>
      <c r="U7" s="711">
        <f t="shared" ref="U7:U15" si="1">H7</f>
        <v>0</v>
      </c>
      <c r="V7" s="710" t="s">
        <v>23</v>
      </c>
      <c r="W7" s="711">
        <f t="shared" ref="W7:W15" si="2">J7</f>
        <v>0</v>
      </c>
      <c r="X7" s="712"/>
      <c r="Y7" s="3527" t="s">
        <v>2310</v>
      </c>
      <c r="Z7" s="3528"/>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27" t="s">
        <v>2313</v>
      </c>
      <c r="Q8" s="3528"/>
      <c r="R8" s="710" t="s">
        <v>23</v>
      </c>
      <c r="S8" s="711">
        <f t="shared" si="0"/>
        <v>0</v>
      </c>
      <c r="T8" s="710" t="s">
        <v>23</v>
      </c>
      <c r="U8" s="711">
        <f t="shared" si="1"/>
        <v>0</v>
      </c>
      <c r="V8" s="710" t="s">
        <v>23</v>
      </c>
      <c r="W8" s="711">
        <f t="shared" si="2"/>
        <v>0</v>
      </c>
      <c r="X8" s="712"/>
      <c r="Y8" s="3527" t="s">
        <v>2313</v>
      </c>
      <c r="Z8" s="352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02"/>
      <c r="Q11" s="1496"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02"/>
      <c r="Q12" s="1496">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02"/>
      <c r="Q13" s="1496">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02"/>
      <c r="Q14" s="1496">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0" t="s">
        <v>2321</v>
      </c>
      <c r="Q15" s="1505" t="str">
        <f t="shared" si="6"/>
        <v>居住社区成熟度</v>
      </c>
      <c r="R15" s="714" t="s">
        <v>21</v>
      </c>
      <c r="S15" s="715">
        <f t="shared" si="0"/>
        <v>100</v>
      </c>
      <c r="T15" s="714" t="s">
        <v>21</v>
      </c>
      <c r="U15" s="715">
        <f t="shared" si="1"/>
        <v>100</v>
      </c>
      <c r="V15" s="714" t="s">
        <v>21</v>
      </c>
      <c r="W15" s="715">
        <f t="shared" si="2"/>
        <v>100</v>
      </c>
      <c r="X15" s="1508"/>
      <c r="Y15" s="3493"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01"/>
      <c r="Q16" s="1505"/>
      <c r="R16" s="714"/>
      <c r="S16" s="715"/>
      <c r="T16" s="714"/>
      <c r="U16" s="715"/>
      <c r="V16" s="714"/>
      <c r="W16" s="715"/>
      <c r="X16" s="1508"/>
      <c r="Y16" s="349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1"/>
      <c r="Q17" s="1505" t="str">
        <f>B17</f>
        <v>交通便捷度</v>
      </c>
      <c r="R17" s="714" t="s">
        <v>21</v>
      </c>
      <c r="S17" s="715">
        <f>F17</f>
        <v>100</v>
      </c>
      <c r="T17" s="714" t="s">
        <v>21</v>
      </c>
      <c r="U17" s="715">
        <f>H17</f>
        <v>100</v>
      </c>
      <c r="V17" s="714" t="s">
        <v>21</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01"/>
      <c r="Q18" s="1505"/>
      <c r="R18" s="714"/>
      <c r="S18" s="715"/>
      <c r="T18" s="714"/>
      <c r="U18" s="715"/>
      <c r="V18" s="714"/>
      <c r="W18" s="715"/>
      <c r="X18" s="1508"/>
      <c r="Y18" s="3494"/>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1"/>
      <c r="Q19" s="1505" t="str">
        <f>B19</f>
        <v>公共配套设施</v>
      </c>
      <c r="R19" s="714" t="s">
        <v>21</v>
      </c>
      <c r="S19" s="715">
        <f>F19</f>
        <v>100</v>
      </c>
      <c r="T19" s="714" t="s">
        <v>21</v>
      </c>
      <c r="U19" s="715">
        <f>H19</f>
        <v>100</v>
      </c>
      <c r="V19" s="714" t="s">
        <v>21</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01"/>
      <c r="Q20" s="1505"/>
      <c r="R20" s="714"/>
      <c r="S20" s="715"/>
      <c r="T20" s="714"/>
      <c r="U20" s="715"/>
      <c r="V20" s="714"/>
      <c r="W20" s="715"/>
      <c r="X20" s="1508"/>
      <c r="Y20" s="3494"/>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01"/>
      <c r="Q22" s="1505"/>
      <c r="R22" s="714"/>
      <c r="S22" s="715"/>
      <c r="T22" s="714"/>
      <c r="U22" s="715"/>
      <c r="V22" s="714"/>
      <c r="W22" s="715"/>
      <c r="X22" s="1508"/>
      <c r="Y22" s="3494"/>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1"/>
      <c r="Q23" s="1505" t="str">
        <f>B23</f>
        <v>自然及人文环境</v>
      </c>
      <c r="R23" s="714" t="s">
        <v>21</v>
      </c>
      <c r="S23" s="715">
        <f>F23</f>
        <v>100</v>
      </c>
      <c r="T23" s="714" t="s">
        <v>21</v>
      </c>
      <c r="U23" s="715">
        <f>H23</f>
        <v>100</v>
      </c>
      <c r="V23" s="714" t="s">
        <v>21</v>
      </c>
      <c r="W23" s="715">
        <f>J23</f>
        <v>100</v>
      </c>
      <c r="X23" s="1508"/>
      <c r="Y23" s="3494"/>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01"/>
      <c r="Q24" s="1505"/>
      <c r="R24" s="714"/>
      <c r="S24" s="715"/>
      <c r="T24" s="714"/>
      <c r="U24" s="715"/>
      <c r="V24" s="714"/>
      <c r="W24" s="715"/>
      <c r="X24" s="1508"/>
      <c r="Y24" s="3494"/>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4"/>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1"/>
      <c r="Q26" s="1505" t="str">
        <f t="shared" si="11"/>
        <v>朝向</v>
      </c>
      <c r="R26" s="714" t="s">
        <v>21</v>
      </c>
      <c r="S26" s="715">
        <f t="shared" si="12"/>
        <v>100</v>
      </c>
      <c r="T26" s="714" t="s">
        <v>21</v>
      </c>
      <c r="U26" s="715">
        <f t="shared" si="13"/>
        <v>100</v>
      </c>
      <c r="V26" s="714" t="s">
        <v>21</v>
      </c>
      <c r="W26" s="715">
        <f t="shared" si="14"/>
        <v>100</v>
      </c>
      <c r="X26" s="1508"/>
      <c r="Y26" s="3494"/>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1"/>
      <c r="Q27" s="1496">
        <f t="shared" si="11"/>
        <v>111</v>
      </c>
      <c r="R27" s="710" t="s">
        <v>21</v>
      </c>
      <c r="S27" s="711">
        <f t="shared" si="12"/>
        <v>100</v>
      </c>
      <c r="T27" s="710" t="s">
        <v>21</v>
      </c>
      <c r="U27" s="711">
        <f t="shared" si="13"/>
        <v>100</v>
      </c>
      <c r="V27" s="710" t="s">
        <v>21</v>
      </c>
      <c r="W27" s="711">
        <f t="shared" si="14"/>
        <v>100</v>
      </c>
      <c r="X27" s="712"/>
      <c r="Y27" s="3494"/>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1"/>
      <c r="Q28" s="1505">
        <f t="shared" si="11"/>
        <v>111</v>
      </c>
      <c r="R28" s="714" t="s">
        <v>21</v>
      </c>
      <c r="S28" s="715">
        <f t="shared" si="12"/>
        <v>100</v>
      </c>
      <c r="T28" s="714" t="s">
        <v>21</v>
      </c>
      <c r="U28" s="715">
        <f t="shared" si="13"/>
        <v>100</v>
      </c>
      <c r="V28" s="714" t="s">
        <v>21</v>
      </c>
      <c r="W28" s="715">
        <f t="shared" si="14"/>
        <v>100</v>
      </c>
      <c r="X28" s="1508"/>
      <c r="Y28" s="3494"/>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1"/>
      <c r="Q29" s="1505">
        <f t="shared" si="11"/>
        <v>111</v>
      </c>
      <c r="R29" s="714" t="s">
        <v>21</v>
      </c>
      <c r="S29" s="715">
        <f t="shared" si="12"/>
        <v>100</v>
      </c>
      <c r="T29" s="714" t="s">
        <v>21</v>
      </c>
      <c r="U29" s="715">
        <f t="shared" si="13"/>
        <v>100</v>
      </c>
      <c r="V29" s="714" t="s">
        <v>21</v>
      </c>
      <c r="W29" s="715">
        <f t="shared" si="14"/>
        <v>100</v>
      </c>
      <c r="X29" s="1508"/>
      <c r="Y29" s="3494"/>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1"/>
      <c r="Q30" s="1505">
        <f t="shared" si="11"/>
        <v>111</v>
      </c>
      <c r="R30" s="714" t="s">
        <v>21</v>
      </c>
      <c r="S30" s="715">
        <f t="shared" si="12"/>
        <v>100</v>
      </c>
      <c r="T30" s="714" t="s">
        <v>21</v>
      </c>
      <c r="U30" s="715">
        <f t="shared" si="13"/>
        <v>100</v>
      </c>
      <c r="V30" s="714" t="s">
        <v>21</v>
      </c>
      <c r="W30" s="715">
        <f t="shared" si="14"/>
        <v>100</v>
      </c>
      <c r="X30" s="1508"/>
      <c r="Y30" s="3494"/>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1"/>
      <c r="Q31" s="1505">
        <f t="shared" si="11"/>
        <v>111</v>
      </c>
      <c r="R31" s="714" t="s">
        <v>21</v>
      </c>
      <c r="S31" s="715">
        <f t="shared" si="12"/>
        <v>100</v>
      </c>
      <c r="T31" s="714" t="s">
        <v>21</v>
      </c>
      <c r="U31" s="715">
        <f t="shared" si="13"/>
        <v>100</v>
      </c>
      <c r="V31" s="714" t="s">
        <v>21</v>
      </c>
      <c r="W31" s="715">
        <f t="shared" si="14"/>
        <v>100</v>
      </c>
      <c r="X31" s="1508"/>
      <c r="Y31" s="3494"/>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5" t="s">
        <v>2326</v>
      </c>
      <c r="Q32" s="1505" t="str">
        <f t="shared" si="11"/>
        <v>建筑类型</v>
      </c>
      <c r="R32" s="714" t="s">
        <v>21</v>
      </c>
      <c r="S32" s="715">
        <f t="shared" si="12"/>
        <v>100</v>
      </c>
      <c r="T32" s="714" t="s">
        <v>21</v>
      </c>
      <c r="U32" s="715">
        <f t="shared" si="13"/>
        <v>100</v>
      </c>
      <c r="V32" s="714" t="s">
        <v>21</v>
      </c>
      <c r="W32" s="715">
        <f t="shared" si="14"/>
        <v>100</v>
      </c>
      <c r="X32" s="1508"/>
      <c r="Y32" s="3498"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6"/>
      <c r="Q34" s="1505" t="str">
        <f t="shared" si="11"/>
        <v>建筑结构</v>
      </c>
      <c r="R34" s="714" t="s">
        <v>21</v>
      </c>
      <c r="S34" s="715">
        <f t="shared" si="12"/>
        <v>100</v>
      </c>
      <c r="T34" s="714" t="s">
        <v>21</v>
      </c>
      <c r="U34" s="715">
        <f t="shared" si="13"/>
        <v>100</v>
      </c>
      <c r="V34" s="714" t="s">
        <v>21</v>
      </c>
      <c r="W34" s="715">
        <f t="shared" si="14"/>
        <v>100</v>
      </c>
      <c r="X34" s="1508"/>
      <c r="Y34" s="3498"/>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6"/>
      <c r="Q35" s="1505" t="str">
        <f t="shared" si="11"/>
        <v>建筑品质</v>
      </c>
      <c r="R35" s="714" t="s">
        <v>21</v>
      </c>
      <c r="S35" s="715">
        <f t="shared" si="12"/>
        <v>100</v>
      </c>
      <c r="T35" s="714" t="s">
        <v>21</v>
      </c>
      <c r="U35" s="715">
        <f t="shared" si="13"/>
        <v>100</v>
      </c>
      <c r="V35" s="714" t="s">
        <v>21</v>
      </c>
      <c r="W35" s="715">
        <f t="shared" si="14"/>
        <v>100</v>
      </c>
      <c r="X35" s="1508"/>
      <c r="Y35" s="3498"/>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6"/>
      <c r="Q36" s="1505" t="str">
        <f t="shared" si="11"/>
        <v>公共部分装修</v>
      </c>
      <c r="R36" s="714" t="s">
        <v>21</v>
      </c>
      <c r="S36" s="715">
        <f t="shared" si="12"/>
        <v>100</v>
      </c>
      <c r="T36" s="714" t="s">
        <v>21</v>
      </c>
      <c r="U36" s="715">
        <f t="shared" si="13"/>
        <v>100</v>
      </c>
      <c r="V36" s="714" t="s">
        <v>21</v>
      </c>
      <c r="W36" s="715">
        <f t="shared" si="14"/>
        <v>100</v>
      </c>
      <c r="X36" s="1508"/>
      <c r="Y36" s="3498"/>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6"/>
      <c r="Q37" s="1496"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6" t="s">
        <v>2326</v>
      </c>
      <c r="Q38" s="1505" t="str">
        <f t="shared" si="11"/>
        <v>物业管理</v>
      </c>
      <c r="R38" s="714" t="s">
        <v>21</v>
      </c>
      <c r="S38" s="715">
        <f t="shared" si="12"/>
        <v>100</v>
      </c>
      <c r="T38" s="714" t="s">
        <v>21</v>
      </c>
      <c r="U38" s="715">
        <f t="shared" si="13"/>
        <v>100</v>
      </c>
      <c r="V38" s="714" t="s">
        <v>21</v>
      </c>
      <c r="W38" s="715">
        <f t="shared" si="14"/>
        <v>100</v>
      </c>
      <c r="X38" s="1508"/>
      <c r="Y38" s="3498"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6"/>
      <c r="Q39" s="1505" t="str">
        <f t="shared" si="11"/>
        <v>市政基础设施</v>
      </c>
      <c r="R39" s="714" t="s">
        <v>21</v>
      </c>
      <c r="S39" s="715">
        <f t="shared" si="12"/>
        <v>100</v>
      </c>
      <c r="T39" s="714" t="s">
        <v>21</v>
      </c>
      <c r="U39" s="715">
        <f t="shared" si="13"/>
        <v>100</v>
      </c>
      <c r="V39" s="714" t="s">
        <v>21</v>
      </c>
      <c r="W39" s="715">
        <f t="shared" si="14"/>
        <v>100</v>
      </c>
      <c r="X39" s="1508"/>
      <c r="Y39" s="3498"/>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6"/>
      <c r="Q40" s="1505" t="str">
        <f t="shared" si="11"/>
        <v>房型</v>
      </c>
      <c r="R40" s="714" t="s">
        <v>21</v>
      </c>
      <c r="S40" s="715">
        <f t="shared" si="12"/>
        <v>100</v>
      </c>
      <c r="T40" s="714" t="s">
        <v>21</v>
      </c>
      <c r="U40" s="715">
        <f t="shared" si="13"/>
        <v>100</v>
      </c>
      <c r="V40" s="714" t="s">
        <v>21</v>
      </c>
      <c r="W40" s="715">
        <f t="shared" si="14"/>
        <v>100</v>
      </c>
      <c r="X40" s="1508"/>
      <c r="Y40" s="3498"/>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6"/>
      <c r="Q42" s="1505" t="str">
        <f t="shared" si="11"/>
        <v>内部装修</v>
      </c>
      <c r="R42" s="714" t="s">
        <v>21</v>
      </c>
      <c r="S42" s="715">
        <f t="shared" si="12"/>
        <v>100</v>
      </c>
      <c r="T42" s="714" t="s">
        <v>21</v>
      </c>
      <c r="U42" s="715">
        <f t="shared" si="13"/>
        <v>100</v>
      </c>
      <c r="V42" s="714" t="s">
        <v>21</v>
      </c>
      <c r="W42" s="715">
        <f t="shared" si="14"/>
        <v>100</v>
      </c>
      <c r="X42" s="1508"/>
      <c r="Y42" s="3498"/>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6"/>
      <c r="Q43" s="1505" t="str">
        <f t="shared" si="11"/>
        <v>内部装修维护情况</v>
      </c>
      <c r="R43" s="714" t="s">
        <v>21</v>
      </c>
      <c r="S43" s="715">
        <f t="shared" si="12"/>
        <v>100</v>
      </c>
      <c r="T43" s="714" t="s">
        <v>21</v>
      </c>
      <c r="U43" s="715">
        <f t="shared" si="13"/>
        <v>100</v>
      </c>
      <c r="V43" s="714" t="s">
        <v>21</v>
      </c>
      <c r="W43" s="715">
        <f t="shared" si="14"/>
        <v>100</v>
      </c>
      <c r="X43" s="1508"/>
      <c r="Y43" s="3498"/>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6"/>
      <c r="Q44" s="1496">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6"/>
      <c r="Q45" s="1505">
        <f t="shared" si="11"/>
        <v>111</v>
      </c>
      <c r="R45" s="714" t="s">
        <v>21</v>
      </c>
      <c r="S45" s="715">
        <f t="shared" si="12"/>
        <v>100</v>
      </c>
      <c r="T45" s="714" t="s">
        <v>21</v>
      </c>
      <c r="U45" s="715">
        <f t="shared" si="13"/>
        <v>100</v>
      </c>
      <c r="V45" s="714" t="s">
        <v>21</v>
      </c>
      <c r="W45" s="715">
        <f t="shared" si="14"/>
        <v>100</v>
      </c>
      <c r="X45" s="1508"/>
      <c r="Y45" s="3498"/>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7"/>
      <c r="Q46" s="1505">
        <f t="shared" si="11"/>
        <v>111</v>
      </c>
      <c r="R46" s="714" t="s">
        <v>20</v>
      </c>
      <c r="S46" s="715">
        <f t="shared" si="12"/>
        <v>100</v>
      </c>
      <c r="T46" s="714" t="s">
        <v>20</v>
      </c>
      <c r="U46" s="715">
        <f t="shared" si="13"/>
        <v>100</v>
      </c>
      <c r="V46" s="714" t="s">
        <v>20</v>
      </c>
      <c r="W46" s="715">
        <f t="shared" si="14"/>
        <v>100</v>
      </c>
      <c r="X46" s="1508"/>
      <c r="Y46" s="3499"/>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22" t="s">
        <v>2409</v>
      </c>
      <c r="AC4" s="3503" t="s">
        <v>2410</v>
      </c>
    </row>
    <row r="5" spans="1:29" ht="15">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22"/>
      <c r="AC5" s="3504"/>
    </row>
    <row r="6" spans="1:29" ht="15.7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22"/>
      <c r="AC6" s="3505"/>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02"/>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02"/>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02"/>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02"/>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0" t="s">
        <v>2321</v>
      </c>
      <c r="Q15" s="1505" t="str">
        <f t="shared" si="6"/>
        <v>商业繁华度</v>
      </c>
      <c r="R15" s="714" t="s">
        <v>17</v>
      </c>
      <c r="S15" s="715">
        <f t="shared" si="0"/>
        <v>100</v>
      </c>
      <c r="T15" s="714" t="s">
        <v>17</v>
      </c>
      <c r="U15" s="715">
        <f t="shared" si="1"/>
        <v>100</v>
      </c>
      <c r="V15" s="714" t="s">
        <v>17</v>
      </c>
      <c r="W15" s="715">
        <f t="shared" si="2"/>
        <v>100</v>
      </c>
      <c r="X15" s="1508"/>
      <c r="Y15" s="349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01"/>
      <c r="Q16" s="1505"/>
      <c r="R16" s="714"/>
      <c r="S16" s="715"/>
      <c r="T16" s="714"/>
      <c r="U16" s="715"/>
      <c r="V16" s="714"/>
      <c r="W16" s="715"/>
      <c r="X16" s="1508"/>
      <c r="Y16" s="3494"/>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1"/>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01"/>
      <c r="Q18" s="1505"/>
      <c r="R18" s="714"/>
      <c r="S18" s="715"/>
      <c r="T18" s="714"/>
      <c r="U18" s="715"/>
      <c r="V18" s="714"/>
      <c r="W18" s="715"/>
      <c r="X18" s="1508"/>
      <c r="Y18" s="3494"/>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1"/>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01"/>
      <c r="Q20" s="1505"/>
      <c r="R20" s="714"/>
      <c r="S20" s="715"/>
      <c r="T20" s="714"/>
      <c r="U20" s="715"/>
      <c r="V20" s="714"/>
      <c r="W20" s="715"/>
      <c r="X20" s="1508"/>
      <c r="Y20" s="3494"/>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01"/>
      <c r="Q22" s="1505"/>
      <c r="R22" s="714"/>
      <c r="S22" s="715"/>
      <c r="T22" s="714"/>
      <c r="U22" s="715"/>
      <c r="V22" s="714"/>
      <c r="W22" s="715"/>
      <c r="X22" s="1508"/>
      <c r="Y22" s="3494"/>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1"/>
      <c r="Q23" s="1505" t="str">
        <f>B23</f>
        <v>自然及人文环境</v>
      </c>
      <c r="R23" s="714" t="s">
        <v>17</v>
      </c>
      <c r="S23" s="715">
        <f>F23</f>
        <v>100</v>
      </c>
      <c r="T23" s="714" t="s">
        <v>17</v>
      </c>
      <c r="U23" s="715">
        <f>H23</f>
        <v>100</v>
      </c>
      <c r="V23" s="714" t="s">
        <v>17</v>
      </c>
      <c r="W23" s="715">
        <f>J23</f>
        <v>100</v>
      </c>
      <c r="X23" s="1508"/>
      <c r="Y23" s="349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01"/>
      <c r="Q24" s="1505"/>
      <c r="R24" s="714"/>
      <c r="S24" s="715"/>
      <c r="T24" s="714"/>
      <c r="U24" s="715"/>
      <c r="V24" s="714"/>
      <c r="W24" s="715"/>
      <c r="X24" s="1508"/>
      <c r="Y24" s="349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1"/>
      <c r="Q25" s="1505" t="str">
        <f t="shared" ref="Q25:Q46" si="11">B25</f>
        <v>临街状况</v>
      </c>
      <c r="R25" s="714" t="s">
        <v>17</v>
      </c>
      <c r="S25" s="715">
        <f>F25</f>
        <v>100</v>
      </c>
      <c r="T25" s="714" t="s">
        <v>17</v>
      </c>
      <c r="U25" s="715">
        <f>H25</f>
        <v>100</v>
      </c>
      <c r="V25" s="714" t="s">
        <v>17</v>
      </c>
      <c r="W25" s="715">
        <f>J25</f>
        <v>100</v>
      </c>
      <c r="X25" s="1508"/>
      <c r="Y25" s="3494"/>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1"/>
      <c r="Q26" s="1505" t="str">
        <f t="shared" si="11"/>
        <v>平面位置/可视性</v>
      </c>
      <c r="R26" s="714" t="s">
        <v>17</v>
      </c>
      <c r="S26" s="715">
        <f>F26</f>
        <v>100</v>
      </c>
      <c r="T26" s="714" t="s">
        <v>17</v>
      </c>
      <c r="U26" s="715">
        <f>H26</f>
        <v>100</v>
      </c>
      <c r="V26" s="714" t="s">
        <v>17</v>
      </c>
      <c r="W26" s="715">
        <f>J26</f>
        <v>100</v>
      </c>
      <c r="X26" s="1508"/>
      <c r="Y26" s="3494"/>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1"/>
      <c r="Q27" s="1496" t="str">
        <f t="shared" si="11"/>
        <v>人流量</v>
      </c>
      <c r="R27" s="710" t="s">
        <v>17</v>
      </c>
      <c r="S27" s="711">
        <f>F27</f>
        <v>100</v>
      </c>
      <c r="T27" s="710" t="s">
        <v>17</v>
      </c>
      <c r="U27" s="711">
        <f>H27</f>
        <v>100</v>
      </c>
      <c r="V27" s="710" t="s">
        <v>17</v>
      </c>
      <c r="W27" s="711">
        <f>J27</f>
        <v>100</v>
      </c>
      <c r="X27" s="712"/>
      <c r="Y27" s="349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4"/>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1"/>
      <c r="Q29" s="1505">
        <f t="shared" si="11"/>
        <v>111</v>
      </c>
      <c r="R29" s="714" t="s">
        <v>17</v>
      </c>
      <c r="S29" s="715">
        <f t="shared" si="12"/>
        <v>100</v>
      </c>
      <c r="T29" s="714" t="s">
        <v>17</v>
      </c>
      <c r="U29" s="715">
        <f t="shared" si="13"/>
        <v>100</v>
      </c>
      <c r="V29" s="714" t="s">
        <v>17</v>
      </c>
      <c r="W29" s="715">
        <f t="shared" si="14"/>
        <v>100</v>
      </c>
      <c r="X29" s="1508"/>
      <c r="Y29" s="3494"/>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1"/>
      <c r="Q30" s="1505">
        <f t="shared" si="11"/>
        <v>111</v>
      </c>
      <c r="R30" s="714" t="s">
        <v>17</v>
      </c>
      <c r="S30" s="715">
        <f t="shared" si="12"/>
        <v>100</v>
      </c>
      <c r="T30" s="714" t="s">
        <v>17</v>
      </c>
      <c r="U30" s="715">
        <f t="shared" si="13"/>
        <v>100</v>
      </c>
      <c r="V30" s="714" t="s">
        <v>17</v>
      </c>
      <c r="W30" s="715">
        <f t="shared" si="14"/>
        <v>100</v>
      </c>
      <c r="X30" s="1508"/>
      <c r="Y30" s="3494"/>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1"/>
      <c r="Q31" s="1505">
        <f t="shared" si="11"/>
        <v>111</v>
      </c>
      <c r="R31" s="714" t="s">
        <v>17</v>
      </c>
      <c r="S31" s="715">
        <f t="shared" si="12"/>
        <v>100</v>
      </c>
      <c r="T31" s="714" t="s">
        <v>17</v>
      </c>
      <c r="U31" s="715">
        <f t="shared" si="13"/>
        <v>100</v>
      </c>
      <c r="V31" s="714" t="s">
        <v>17</v>
      </c>
      <c r="W31" s="715">
        <f t="shared" si="14"/>
        <v>100</v>
      </c>
      <c r="X31" s="1508"/>
      <c r="Y31" s="3494"/>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5" t="s">
        <v>2326</v>
      </c>
      <c r="Q32" s="1505" t="str">
        <f t="shared" si="11"/>
        <v>商业类型</v>
      </c>
      <c r="R32" s="714" t="s">
        <v>17</v>
      </c>
      <c r="S32" s="715">
        <f t="shared" si="12"/>
        <v>100</v>
      </c>
      <c r="T32" s="714" t="s">
        <v>17</v>
      </c>
      <c r="U32" s="715">
        <f t="shared" si="13"/>
        <v>100</v>
      </c>
      <c r="V32" s="714" t="s">
        <v>17</v>
      </c>
      <c r="W32" s="715">
        <f t="shared" si="14"/>
        <v>100</v>
      </c>
      <c r="X32" s="1508"/>
      <c r="Y32" s="3498"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6"/>
      <c r="Q34" s="1505" t="str">
        <f t="shared" si="11"/>
        <v>建筑结构</v>
      </c>
      <c r="R34" s="714" t="s">
        <v>17</v>
      </c>
      <c r="S34" s="715">
        <f t="shared" si="12"/>
        <v>100</v>
      </c>
      <c r="T34" s="714" t="s">
        <v>17</v>
      </c>
      <c r="U34" s="715">
        <f t="shared" si="13"/>
        <v>100</v>
      </c>
      <c r="V34" s="714" t="s">
        <v>17</v>
      </c>
      <c r="W34" s="715">
        <f t="shared" si="14"/>
        <v>100</v>
      </c>
      <c r="X34" s="1508"/>
      <c r="Y34" s="3498"/>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6"/>
      <c r="Q35" s="1505" t="str">
        <f t="shared" si="11"/>
        <v>公共部分装修</v>
      </c>
      <c r="R35" s="714" t="s">
        <v>17</v>
      </c>
      <c r="S35" s="715">
        <f t="shared" si="12"/>
        <v>100</v>
      </c>
      <c r="T35" s="714" t="s">
        <v>17</v>
      </c>
      <c r="U35" s="715">
        <f t="shared" si="13"/>
        <v>100</v>
      </c>
      <c r="V35" s="714" t="s">
        <v>17</v>
      </c>
      <c r="W35" s="715">
        <f t="shared" si="14"/>
        <v>100</v>
      </c>
      <c r="X35" s="1508"/>
      <c r="Y35" s="3498"/>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6"/>
      <c r="Q36" s="1505" t="str">
        <f t="shared" si="11"/>
        <v>成新度</v>
      </c>
      <c r="R36" s="714" t="s">
        <v>17</v>
      </c>
      <c r="S36" s="715" t="e">
        <f t="shared" si="12"/>
        <v>#N/A</v>
      </c>
      <c r="T36" s="714" t="s">
        <v>17</v>
      </c>
      <c r="U36" s="715" t="e">
        <f t="shared" si="13"/>
        <v>#N/A</v>
      </c>
      <c r="V36" s="714" t="s">
        <v>17</v>
      </c>
      <c r="W36" s="715" t="e">
        <f t="shared" si="14"/>
        <v>#N/A</v>
      </c>
      <c r="X36" s="1508"/>
      <c r="Y36" s="3498"/>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6"/>
      <c r="Q37" s="1496"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6" t="s">
        <v>2326</v>
      </c>
      <c r="Q38" s="1505" t="str">
        <f t="shared" si="11"/>
        <v>业态</v>
      </c>
      <c r="R38" s="714" t="s">
        <v>17</v>
      </c>
      <c r="S38" s="715">
        <f t="shared" si="12"/>
        <v>100</v>
      </c>
      <c r="T38" s="714" t="s">
        <v>17</v>
      </c>
      <c r="U38" s="715">
        <f t="shared" si="13"/>
        <v>100</v>
      </c>
      <c r="V38" s="714" t="s">
        <v>17</v>
      </c>
      <c r="W38" s="715">
        <f t="shared" si="14"/>
        <v>100</v>
      </c>
      <c r="X38" s="1508"/>
      <c r="Y38" s="3498"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6"/>
      <c r="Q39" s="1505" t="str">
        <f t="shared" si="11"/>
        <v>层高</v>
      </c>
      <c r="R39" s="714" t="s">
        <v>17</v>
      </c>
      <c r="S39" s="715">
        <f t="shared" si="12"/>
        <v>100</v>
      </c>
      <c r="T39" s="714" t="s">
        <v>17</v>
      </c>
      <c r="U39" s="715">
        <f t="shared" si="13"/>
        <v>100</v>
      </c>
      <c r="V39" s="714" t="s">
        <v>17</v>
      </c>
      <c r="W39" s="715">
        <f t="shared" si="14"/>
        <v>100</v>
      </c>
      <c r="X39" s="1508"/>
      <c r="Y39" s="3498"/>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6"/>
      <c r="Q40" s="1505" t="str">
        <f t="shared" si="11"/>
        <v>单套建筑面积</v>
      </c>
      <c r="R40" s="714" t="s">
        <v>17</v>
      </c>
      <c r="S40" s="715">
        <f t="shared" si="12"/>
        <v>100</v>
      </c>
      <c r="T40" s="714" t="s">
        <v>17</v>
      </c>
      <c r="U40" s="715">
        <f t="shared" si="13"/>
        <v>100</v>
      </c>
      <c r="V40" s="714" t="s">
        <v>17</v>
      </c>
      <c r="W40" s="715">
        <f t="shared" si="14"/>
        <v>100</v>
      </c>
      <c r="X40" s="1508"/>
      <c r="Y40" s="3498"/>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6"/>
      <c r="Q42" s="1505" t="str">
        <f t="shared" si="11"/>
        <v>内部装修</v>
      </c>
      <c r="R42" s="714" t="s">
        <v>17</v>
      </c>
      <c r="S42" s="715">
        <f t="shared" si="12"/>
        <v>100</v>
      </c>
      <c r="T42" s="714" t="s">
        <v>17</v>
      </c>
      <c r="U42" s="715">
        <f t="shared" si="13"/>
        <v>100</v>
      </c>
      <c r="V42" s="714" t="s">
        <v>17</v>
      </c>
      <c r="W42" s="715">
        <f t="shared" si="14"/>
        <v>100</v>
      </c>
      <c r="X42" s="1508"/>
      <c r="Y42" s="3498"/>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6"/>
      <c r="Q43" s="1505" t="str">
        <f t="shared" si="11"/>
        <v>内部装修维护情况</v>
      </c>
      <c r="R43" s="714" t="s">
        <v>17</v>
      </c>
      <c r="S43" s="715">
        <f t="shared" si="12"/>
        <v>100</v>
      </c>
      <c r="T43" s="714" t="s">
        <v>17</v>
      </c>
      <c r="U43" s="715">
        <f t="shared" si="13"/>
        <v>100</v>
      </c>
      <c r="V43" s="714" t="s">
        <v>17</v>
      </c>
      <c r="W43" s="715">
        <f t="shared" si="14"/>
        <v>100</v>
      </c>
      <c r="X43" s="1508"/>
      <c r="Y43" s="3498"/>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6"/>
      <c r="Q44" s="1496">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6"/>
      <c r="Q45" s="1505">
        <f t="shared" si="11"/>
        <v>111</v>
      </c>
      <c r="R45" s="714" t="s">
        <v>17</v>
      </c>
      <c r="S45" s="715">
        <f t="shared" si="12"/>
        <v>100</v>
      </c>
      <c r="T45" s="714" t="s">
        <v>17</v>
      </c>
      <c r="U45" s="715">
        <f t="shared" si="13"/>
        <v>100</v>
      </c>
      <c r="V45" s="714" t="s">
        <v>17</v>
      </c>
      <c r="W45" s="715">
        <f t="shared" si="14"/>
        <v>100</v>
      </c>
      <c r="X45" s="1508"/>
      <c r="Y45" s="3498"/>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7"/>
      <c r="Q46" s="1505">
        <f t="shared" si="11"/>
        <v>111</v>
      </c>
      <c r="R46" s="714" t="s">
        <v>17</v>
      </c>
      <c r="S46" s="715">
        <f t="shared" si="12"/>
        <v>100</v>
      </c>
      <c r="T46" s="714" t="s">
        <v>17</v>
      </c>
      <c r="U46" s="715">
        <f t="shared" si="13"/>
        <v>100</v>
      </c>
      <c r="V46" s="714" t="s">
        <v>17</v>
      </c>
      <c r="W46" s="715">
        <f t="shared" si="14"/>
        <v>100</v>
      </c>
      <c r="X46" s="1508"/>
      <c r="Y46" s="3499"/>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91" t="str">
        <f>A47</f>
        <v>成交单价（元/平方米）</v>
      </c>
      <c r="Q47" s="3491"/>
      <c r="R47" s="3522">
        <f>E47</f>
        <v>0</v>
      </c>
      <c r="S47" s="3522"/>
      <c r="T47" s="3522">
        <f>G47</f>
        <v>0</v>
      </c>
      <c r="U47" s="3522"/>
      <c r="V47" s="3522">
        <f>I47</f>
        <v>0</v>
      </c>
      <c r="W47" s="3522"/>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40" t="s">
        <v>2412</v>
      </c>
      <c r="Q4" s="3541"/>
      <c r="R4" s="3544" t="s">
        <v>2408</v>
      </c>
      <c r="S4" s="3545"/>
      <c r="T4" s="3544" t="s">
        <v>2409</v>
      </c>
      <c r="U4" s="3545"/>
      <c r="V4" s="3546" t="s">
        <v>2410</v>
      </c>
      <c r="W4" s="3546"/>
      <c r="X4" s="2113"/>
      <c r="Y4" s="3544" t="s">
        <v>2412</v>
      </c>
      <c r="Z4" s="3545"/>
      <c r="AA4" s="3548" t="s">
        <v>2408</v>
      </c>
      <c r="AB4" s="3548" t="s">
        <v>2409</v>
      </c>
      <c r="AC4" s="3537" t="s">
        <v>2410</v>
      </c>
    </row>
    <row r="5" spans="1:29" ht="15">
      <c r="A5" s="364"/>
      <c r="B5" s="365"/>
      <c r="C5" s="3525" t="s">
        <v>2303</v>
      </c>
      <c r="D5" s="3526"/>
      <c r="E5" s="3532" t="s">
        <v>2304</v>
      </c>
      <c r="F5" s="3533"/>
      <c r="G5" s="3525" t="s">
        <v>2305</v>
      </c>
      <c r="H5" s="3526"/>
      <c r="I5" s="3525" t="s">
        <v>2306</v>
      </c>
      <c r="J5" s="3526"/>
      <c r="K5" s="567"/>
      <c r="L5" s="2913"/>
      <c r="M5" s="2914"/>
      <c r="N5" s="2914"/>
      <c r="O5" s="2914"/>
      <c r="P5" s="3542"/>
      <c r="Q5" s="3513"/>
      <c r="R5" s="3518"/>
      <c r="S5" s="3519"/>
      <c r="T5" s="3518"/>
      <c r="U5" s="3519"/>
      <c r="V5" s="3522"/>
      <c r="W5" s="3522"/>
      <c r="X5" s="1508"/>
      <c r="Y5" s="3518"/>
      <c r="Z5" s="3519"/>
      <c r="AA5" s="3504"/>
      <c r="AB5" s="3504"/>
      <c r="AC5" s="3538"/>
    </row>
    <row r="6" spans="1:29" ht="15.75" thickBot="1">
      <c r="A6" s="366"/>
      <c r="B6" s="367"/>
      <c r="C6" s="3523" t="s">
        <v>2307</v>
      </c>
      <c r="D6" s="3524"/>
      <c r="E6" s="3530" t="s">
        <v>2307</v>
      </c>
      <c r="F6" s="3531"/>
      <c r="G6" s="3523" t="s">
        <v>2307</v>
      </c>
      <c r="H6" s="3524"/>
      <c r="I6" s="3523" t="s">
        <v>2307</v>
      </c>
      <c r="J6" s="3524"/>
      <c r="K6" s="567" t="s">
        <v>2308</v>
      </c>
      <c r="L6" s="2913"/>
      <c r="M6" s="2914"/>
      <c r="N6" s="2914"/>
      <c r="O6" s="2914"/>
      <c r="P6" s="3543"/>
      <c r="Q6" s="3515"/>
      <c r="R6" s="3518"/>
      <c r="S6" s="3519"/>
      <c r="T6" s="3520"/>
      <c r="U6" s="3521"/>
      <c r="V6" s="3522"/>
      <c r="W6" s="3522"/>
      <c r="X6" s="1508"/>
      <c r="Y6" s="3520"/>
      <c r="Z6" s="3521"/>
      <c r="AA6" s="3505"/>
      <c r="AB6" s="3505"/>
      <c r="AC6" s="3539"/>
    </row>
    <row r="7" spans="1:29" s="113" customFormat="1" ht="15.7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7" t="s">
        <v>2313</v>
      </c>
      <c r="Q8" s="3528"/>
      <c r="R8" s="710" t="s">
        <v>17</v>
      </c>
      <c r="S8" s="711">
        <f t="shared" si="0"/>
        <v>0</v>
      </c>
      <c r="T8" s="710" t="s">
        <v>17</v>
      </c>
      <c r="U8" s="711">
        <f t="shared" si="1"/>
        <v>0</v>
      </c>
      <c r="V8" s="710" t="s">
        <v>17</v>
      </c>
      <c r="W8" s="711">
        <f t="shared" si="2"/>
        <v>0</v>
      </c>
      <c r="X8" s="712"/>
      <c r="Y8" s="3527" t="s">
        <v>2313</v>
      </c>
      <c r="Z8" s="3528"/>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02"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02"/>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02"/>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02"/>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02"/>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02"/>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0" t="s">
        <v>2321</v>
      </c>
      <c r="Q15" s="1505" t="str">
        <f t="shared" si="6"/>
        <v>办公集聚程度</v>
      </c>
      <c r="R15" s="714" t="s">
        <v>17</v>
      </c>
      <c r="S15" s="715">
        <f t="shared" si="0"/>
        <v>100</v>
      </c>
      <c r="T15" s="714" t="s">
        <v>17</v>
      </c>
      <c r="U15" s="715">
        <f t="shared" si="1"/>
        <v>100</v>
      </c>
      <c r="V15" s="714" t="s">
        <v>17</v>
      </c>
      <c r="W15" s="715">
        <f t="shared" si="2"/>
        <v>100</v>
      </c>
      <c r="X15" s="1508"/>
      <c r="Y15" s="3493"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01"/>
      <c r="Q16" s="1505"/>
      <c r="R16" s="714"/>
      <c r="S16" s="715"/>
      <c r="T16" s="714"/>
      <c r="U16" s="715"/>
      <c r="V16" s="714"/>
      <c r="W16" s="715"/>
      <c r="X16" s="1508"/>
      <c r="Y16" s="3494"/>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1"/>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1"/>
      <c r="Q18" s="1505"/>
      <c r="R18" s="714"/>
      <c r="S18" s="715"/>
      <c r="T18" s="714"/>
      <c r="U18" s="715"/>
      <c r="V18" s="714"/>
      <c r="W18" s="715"/>
      <c r="X18" s="1508"/>
      <c r="Y18" s="3494"/>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1"/>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1"/>
      <c r="Q20" s="1505"/>
      <c r="R20" s="714"/>
      <c r="S20" s="715"/>
      <c r="T20" s="714"/>
      <c r="U20" s="715"/>
      <c r="V20" s="714"/>
      <c r="W20" s="715"/>
      <c r="X20" s="1508"/>
      <c r="Y20" s="3494"/>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1"/>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1"/>
      <c r="Q22" s="1505"/>
      <c r="R22" s="714"/>
      <c r="S22" s="715"/>
      <c r="T22" s="714"/>
      <c r="U22" s="715"/>
      <c r="V22" s="714"/>
      <c r="W22" s="715"/>
      <c r="X22" s="1508"/>
      <c r="Y22" s="3494"/>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1"/>
      <c r="Q23" s="1505" t="str">
        <f>B23</f>
        <v>环境质量</v>
      </c>
      <c r="R23" s="714" t="s">
        <v>17</v>
      </c>
      <c r="S23" s="715">
        <f>F23</f>
        <v>100</v>
      </c>
      <c r="T23" s="714" t="s">
        <v>17</v>
      </c>
      <c r="U23" s="715">
        <f>H23</f>
        <v>100</v>
      </c>
      <c r="V23" s="714" t="s">
        <v>17</v>
      </c>
      <c r="W23" s="715">
        <f>J23</f>
        <v>100</v>
      </c>
      <c r="X23" s="1508"/>
      <c r="Y23" s="3494"/>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1"/>
      <c r="Q24" s="1505"/>
      <c r="R24" s="714"/>
      <c r="S24" s="715"/>
      <c r="T24" s="714"/>
      <c r="U24" s="715"/>
      <c r="V24" s="714"/>
      <c r="W24" s="715"/>
      <c r="X24" s="1508"/>
      <c r="Y24" s="3494"/>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1"/>
      <c r="Q25" s="1505" t="str">
        <f>B25</f>
        <v>毗邻道路的类型与等级</v>
      </c>
      <c r="R25" s="714" t="s">
        <v>17</v>
      </c>
      <c r="S25" s="715">
        <f>F25</f>
        <v>100</v>
      </c>
      <c r="T25" s="714" t="s">
        <v>17</v>
      </c>
      <c r="U25" s="715">
        <f>H25</f>
        <v>100</v>
      </c>
      <c r="V25" s="714" t="s">
        <v>17</v>
      </c>
      <c r="W25" s="715">
        <f>J25</f>
        <v>100</v>
      </c>
      <c r="X25" s="1508"/>
      <c r="Y25" s="3494"/>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01"/>
      <c r="Q26" s="1505"/>
      <c r="R26" s="714"/>
      <c r="S26" s="715"/>
      <c r="T26" s="714"/>
      <c r="U26" s="715"/>
      <c r="V26" s="714"/>
      <c r="W26" s="715"/>
      <c r="X26" s="1508"/>
      <c r="Y26" s="3494"/>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1"/>
      <c r="Q27" s="1505" t="str">
        <f t="shared" ref="Q27:Q47" si="11">B27</f>
        <v>楼层</v>
      </c>
      <c r="R27" s="714" t="s">
        <v>17</v>
      </c>
      <c r="S27" s="715">
        <f>F27</f>
        <v>100</v>
      </c>
      <c r="T27" s="714" t="s">
        <v>17</v>
      </c>
      <c r="U27" s="715">
        <f>H27</f>
        <v>100</v>
      </c>
      <c r="V27" s="714" t="s">
        <v>17</v>
      </c>
      <c r="W27" s="715">
        <f>J27</f>
        <v>100</v>
      </c>
      <c r="X27" s="1508"/>
      <c r="Y27" s="3494"/>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1"/>
      <c r="Q28" s="1496" t="str">
        <f t="shared" si="11"/>
        <v>朝向</v>
      </c>
      <c r="R28" s="710" t="s">
        <v>17</v>
      </c>
      <c r="S28" s="711">
        <f>F28</f>
        <v>100</v>
      </c>
      <c r="T28" s="710" t="s">
        <v>17</v>
      </c>
      <c r="U28" s="711">
        <f>H28</f>
        <v>100</v>
      </c>
      <c r="V28" s="710" t="s">
        <v>17</v>
      </c>
      <c r="W28" s="711">
        <f>J28</f>
        <v>100</v>
      </c>
      <c r="X28" s="712"/>
      <c r="Y28" s="3494"/>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1"/>
      <c r="Q29" s="1505">
        <f t="shared" si="11"/>
        <v>111</v>
      </c>
      <c r="R29" s="714" t="s">
        <v>17</v>
      </c>
      <c r="S29" s="715">
        <f t="shared" ref="S29:S47" si="12">F29</f>
        <v>100</v>
      </c>
      <c r="T29" s="714" t="s">
        <v>17</v>
      </c>
      <c r="U29" s="715">
        <f t="shared" ref="U29:U47" si="13">H29</f>
        <v>100</v>
      </c>
      <c r="V29" s="714" t="s">
        <v>17</v>
      </c>
      <c r="W29" s="715">
        <f t="shared" ref="W29:W47" si="14">J29</f>
        <v>100</v>
      </c>
      <c r="X29" s="1508"/>
      <c r="Y29" s="3494"/>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1"/>
      <c r="Q30" s="1505">
        <f t="shared" si="11"/>
        <v>111</v>
      </c>
      <c r="R30" s="714" t="s">
        <v>17</v>
      </c>
      <c r="S30" s="715">
        <f t="shared" si="12"/>
        <v>100</v>
      </c>
      <c r="T30" s="714" t="s">
        <v>17</v>
      </c>
      <c r="U30" s="715">
        <f t="shared" si="13"/>
        <v>100</v>
      </c>
      <c r="V30" s="714" t="s">
        <v>17</v>
      </c>
      <c r="W30" s="715">
        <f t="shared" si="14"/>
        <v>100</v>
      </c>
      <c r="X30" s="1508"/>
      <c r="Y30" s="3494"/>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1"/>
      <c r="Q31" s="1505">
        <f t="shared" si="11"/>
        <v>111</v>
      </c>
      <c r="R31" s="714" t="s">
        <v>17</v>
      </c>
      <c r="S31" s="715">
        <f t="shared" si="12"/>
        <v>100</v>
      </c>
      <c r="T31" s="714" t="s">
        <v>17</v>
      </c>
      <c r="U31" s="715">
        <f t="shared" si="13"/>
        <v>100</v>
      </c>
      <c r="V31" s="714" t="s">
        <v>17</v>
      </c>
      <c r="W31" s="715">
        <f t="shared" si="14"/>
        <v>100</v>
      </c>
      <c r="X31" s="1508"/>
      <c r="Y31" s="3494"/>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1"/>
      <c r="Q32" s="1505">
        <f t="shared" si="11"/>
        <v>111</v>
      </c>
      <c r="R32" s="714" t="s">
        <v>17</v>
      </c>
      <c r="S32" s="715">
        <f t="shared" si="12"/>
        <v>100</v>
      </c>
      <c r="T32" s="714" t="s">
        <v>17</v>
      </c>
      <c r="U32" s="715">
        <f t="shared" si="13"/>
        <v>100</v>
      </c>
      <c r="V32" s="714" t="s">
        <v>17</v>
      </c>
      <c r="W32" s="715">
        <f t="shared" si="14"/>
        <v>100</v>
      </c>
      <c r="X32" s="1508"/>
      <c r="Y32" s="3494"/>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5" t="s">
        <v>2326</v>
      </c>
      <c r="Q33" s="1505" t="str">
        <f t="shared" si="11"/>
        <v>建筑类型</v>
      </c>
      <c r="R33" s="714" t="s">
        <v>17</v>
      </c>
      <c r="S33" s="715">
        <f t="shared" si="12"/>
        <v>100</v>
      </c>
      <c r="T33" s="714" t="s">
        <v>17</v>
      </c>
      <c r="U33" s="715">
        <f t="shared" si="13"/>
        <v>100</v>
      </c>
      <c r="V33" s="714" t="s">
        <v>17</v>
      </c>
      <c r="W33" s="715">
        <f t="shared" si="14"/>
        <v>100</v>
      </c>
      <c r="X33" s="1508"/>
      <c r="Y33" s="3498"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6"/>
      <c r="Q35" s="1505" t="str">
        <f t="shared" si="11"/>
        <v>建筑结构</v>
      </c>
      <c r="R35" s="714" t="s">
        <v>17</v>
      </c>
      <c r="S35" s="715">
        <f t="shared" si="12"/>
        <v>100</v>
      </c>
      <c r="T35" s="714" t="s">
        <v>17</v>
      </c>
      <c r="U35" s="715">
        <f t="shared" si="13"/>
        <v>100</v>
      </c>
      <c r="V35" s="714" t="s">
        <v>17</v>
      </c>
      <c r="W35" s="715">
        <f t="shared" si="14"/>
        <v>100</v>
      </c>
      <c r="X35" s="1508"/>
      <c r="Y35" s="3498"/>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6"/>
      <c r="Q36" s="1505" t="str">
        <f t="shared" si="11"/>
        <v>公共部分装修</v>
      </c>
      <c r="R36" s="714" t="s">
        <v>17</v>
      </c>
      <c r="S36" s="715">
        <f t="shared" si="12"/>
        <v>100</v>
      </c>
      <c r="T36" s="714" t="s">
        <v>17</v>
      </c>
      <c r="U36" s="715">
        <f t="shared" si="13"/>
        <v>100</v>
      </c>
      <c r="V36" s="714" t="s">
        <v>17</v>
      </c>
      <c r="W36" s="715">
        <f t="shared" si="14"/>
        <v>100</v>
      </c>
      <c r="X36" s="1508"/>
      <c r="Y36" s="3498"/>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6"/>
      <c r="Q37" s="1505" t="str">
        <f t="shared" si="11"/>
        <v>成新度</v>
      </c>
      <c r="R37" s="714" t="s">
        <v>17</v>
      </c>
      <c r="S37" s="715" t="e">
        <f t="shared" si="12"/>
        <v>#N/A</v>
      </c>
      <c r="T37" s="714" t="s">
        <v>17</v>
      </c>
      <c r="U37" s="715" t="e">
        <f t="shared" si="13"/>
        <v>#N/A</v>
      </c>
      <c r="V37" s="714" t="s">
        <v>17</v>
      </c>
      <c r="W37" s="715" t="e">
        <f t="shared" si="14"/>
        <v>#N/A</v>
      </c>
      <c r="X37" s="1508"/>
      <c r="Y37" s="3498"/>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6"/>
      <c r="Q38" s="1496"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6" t="s">
        <v>2326</v>
      </c>
      <c r="Q39" s="1505" t="str">
        <f t="shared" si="11"/>
        <v>物业管理</v>
      </c>
      <c r="R39" s="714" t="s">
        <v>17</v>
      </c>
      <c r="S39" s="715">
        <f t="shared" si="12"/>
        <v>100</v>
      </c>
      <c r="T39" s="714" t="s">
        <v>17</v>
      </c>
      <c r="U39" s="715">
        <f t="shared" si="13"/>
        <v>100</v>
      </c>
      <c r="V39" s="714" t="s">
        <v>17</v>
      </c>
      <c r="W39" s="715">
        <f t="shared" si="14"/>
        <v>100</v>
      </c>
      <c r="X39" s="1508"/>
      <c r="Y39" s="3498"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6"/>
      <c r="Q40" s="1505" t="str">
        <f t="shared" si="11"/>
        <v>市政基础设施</v>
      </c>
      <c r="R40" s="714" t="s">
        <v>17</v>
      </c>
      <c r="S40" s="715">
        <f t="shared" si="12"/>
        <v>100</v>
      </c>
      <c r="T40" s="714" t="s">
        <v>17</v>
      </c>
      <c r="U40" s="715">
        <f t="shared" si="13"/>
        <v>100</v>
      </c>
      <c r="V40" s="714" t="s">
        <v>17</v>
      </c>
      <c r="W40" s="715">
        <f t="shared" si="14"/>
        <v>100</v>
      </c>
      <c r="X40" s="1508"/>
      <c r="Y40" s="3498"/>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6"/>
      <c r="Q41" s="1505" t="str">
        <f t="shared" si="11"/>
        <v>层高</v>
      </c>
      <c r="R41" s="714" t="s">
        <v>17</v>
      </c>
      <c r="S41" s="715">
        <f t="shared" si="12"/>
        <v>100</v>
      </c>
      <c r="T41" s="714" t="s">
        <v>17</v>
      </c>
      <c r="U41" s="715">
        <f t="shared" si="13"/>
        <v>100</v>
      </c>
      <c r="V41" s="714" t="s">
        <v>17</v>
      </c>
      <c r="W41" s="715">
        <f t="shared" si="14"/>
        <v>100</v>
      </c>
      <c r="X41" s="1508"/>
      <c r="Y41" s="3498"/>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6"/>
      <c r="Q43" s="1505" t="str">
        <f t="shared" si="11"/>
        <v>内部装修</v>
      </c>
      <c r="R43" s="714" t="s">
        <v>17</v>
      </c>
      <c r="S43" s="715">
        <f t="shared" si="12"/>
        <v>100</v>
      </c>
      <c r="T43" s="714" t="s">
        <v>17</v>
      </c>
      <c r="U43" s="715">
        <f t="shared" si="13"/>
        <v>100</v>
      </c>
      <c r="V43" s="714" t="s">
        <v>17</v>
      </c>
      <c r="W43" s="715">
        <f t="shared" si="14"/>
        <v>100</v>
      </c>
      <c r="X43" s="1508"/>
      <c r="Y43" s="3498"/>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6"/>
      <c r="Q44" s="1505" t="str">
        <f t="shared" si="11"/>
        <v>内部装修维护情况</v>
      </c>
      <c r="R44" s="714" t="s">
        <v>17</v>
      </c>
      <c r="S44" s="715">
        <f t="shared" si="12"/>
        <v>100</v>
      </c>
      <c r="T44" s="714" t="s">
        <v>17</v>
      </c>
      <c r="U44" s="715">
        <f t="shared" si="13"/>
        <v>100</v>
      </c>
      <c r="V44" s="714" t="s">
        <v>17</v>
      </c>
      <c r="W44" s="715">
        <f t="shared" si="14"/>
        <v>100</v>
      </c>
      <c r="X44" s="1508"/>
      <c r="Y44" s="3498"/>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6"/>
      <c r="Q45" s="1496">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6"/>
      <c r="Q46" s="1505">
        <f t="shared" si="11"/>
        <v>111</v>
      </c>
      <c r="R46" s="714" t="s">
        <v>17</v>
      </c>
      <c r="S46" s="715">
        <f t="shared" si="12"/>
        <v>100</v>
      </c>
      <c r="T46" s="714" t="s">
        <v>17</v>
      </c>
      <c r="U46" s="715">
        <f t="shared" si="13"/>
        <v>100</v>
      </c>
      <c r="V46" s="714" t="s">
        <v>17</v>
      </c>
      <c r="W46" s="715">
        <f t="shared" si="14"/>
        <v>100</v>
      </c>
      <c r="X46" s="1508"/>
      <c r="Y46" s="3498"/>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7"/>
      <c r="Q47" s="1505">
        <f t="shared" si="11"/>
        <v>111</v>
      </c>
      <c r="R47" s="714" t="s">
        <v>17</v>
      </c>
      <c r="S47" s="715">
        <f t="shared" si="12"/>
        <v>100</v>
      </c>
      <c r="T47" s="714" t="s">
        <v>17</v>
      </c>
      <c r="U47" s="715">
        <f t="shared" si="13"/>
        <v>100</v>
      </c>
      <c r="V47" s="714" t="s">
        <v>17</v>
      </c>
      <c r="W47" s="715">
        <f t="shared" si="14"/>
        <v>100</v>
      </c>
      <c r="X47" s="1508"/>
      <c r="Y47" s="3499"/>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02"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02"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1044"/>
      <c r="M4" s="1045"/>
      <c r="N4" s="1045"/>
      <c r="O4" s="1045"/>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ht="15">
      <c r="A5" s="364"/>
      <c r="B5" s="365"/>
      <c r="C5" s="3525" t="s">
        <v>2303</v>
      </c>
      <c r="D5" s="3526"/>
      <c r="E5" s="3532" t="s">
        <v>2304</v>
      </c>
      <c r="F5" s="3533"/>
      <c r="G5" s="3525" t="s">
        <v>2305</v>
      </c>
      <c r="H5" s="3526"/>
      <c r="I5" s="3525" t="s">
        <v>2306</v>
      </c>
      <c r="J5" s="3526"/>
      <c r="K5" s="567"/>
      <c r="L5" s="1044"/>
      <c r="M5" s="1045"/>
      <c r="N5" s="1045"/>
      <c r="O5" s="1045"/>
      <c r="P5" s="3512"/>
      <c r="Q5" s="3513"/>
      <c r="R5" s="3518"/>
      <c r="S5" s="3519"/>
      <c r="T5" s="3518"/>
      <c r="U5" s="3519"/>
      <c r="V5" s="3522"/>
      <c r="W5" s="3522"/>
      <c r="X5" s="1508"/>
      <c r="Y5" s="3518"/>
      <c r="Z5" s="3519"/>
      <c r="AA5" s="3504"/>
      <c r="AB5" s="3504"/>
      <c r="AC5" s="3504"/>
    </row>
    <row r="6" spans="1:29" ht="15.75" thickBot="1">
      <c r="A6" s="366"/>
      <c r="B6" s="367"/>
      <c r="C6" s="3523" t="s">
        <v>2307</v>
      </c>
      <c r="D6" s="3524"/>
      <c r="E6" s="3530" t="s">
        <v>2307</v>
      </c>
      <c r="F6" s="3531"/>
      <c r="G6" s="3523" t="s">
        <v>2307</v>
      </c>
      <c r="H6" s="3524"/>
      <c r="I6" s="3523" t="s">
        <v>2307</v>
      </c>
      <c r="J6" s="3524"/>
      <c r="K6" s="567" t="s">
        <v>2308</v>
      </c>
      <c r="L6" s="1044"/>
      <c r="M6" s="1045"/>
      <c r="N6" s="1045"/>
      <c r="O6" s="1045"/>
      <c r="P6" s="3514"/>
      <c r="Q6" s="3515"/>
      <c r="R6" s="3518"/>
      <c r="S6" s="3519"/>
      <c r="T6" s="3520"/>
      <c r="U6" s="3521"/>
      <c r="V6" s="3522"/>
      <c r="W6" s="3522"/>
      <c r="X6" s="1508"/>
      <c r="Y6" s="3520"/>
      <c r="Z6" s="3521"/>
      <c r="AA6" s="3505"/>
      <c r="AB6" s="3505"/>
      <c r="AC6" s="3505"/>
    </row>
    <row r="7" spans="1:29" s="113" customFormat="1" ht="15.7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7" t="s">
        <v>2313</v>
      </c>
      <c r="Q8" s="3528"/>
      <c r="R8" s="710" t="s">
        <v>17</v>
      </c>
      <c r="S8" s="711">
        <f t="shared" si="0"/>
        <v>0</v>
      </c>
      <c r="T8" s="710" t="s">
        <v>17</v>
      </c>
      <c r="U8" s="711">
        <f t="shared" si="1"/>
        <v>0</v>
      </c>
      <c r="V8" s="710" t="s">
        <v>17</v>
      </c>
      <c r="W8" s="711">
        <f t="shared" si="2"/>
        <v>0</v>
      </c>
      <c r="X8" s="712"/>
      <c r="Y8" s="3527" t="s">
        <v>2313</v>
      </c>
      <c r="Z8" s="352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1"/>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3" t="s">
        <v>2321</v>
      </c>
      <c r="Q15" s="1505" t="str">
        <f t="shared" si="6"/>
        <v>产业集聚程度</v>
      </c>
      <c r="R15" s="714" t="s">
        <v>17</v>
      </c>
      <c r="S15" s="715">
        <f t="shared" si="0"/>
        <v>100</v>
      </c>
      <c r="T15" s="714" t="s">
        <v>17</v>
      </c>
      <c r="U15" s="715">
        <f t="shared" si="1"/>
        <v>100</v>
      </c>
      <c r="V15" s="714" t="s">
        <v>17</v>
      </c>
      <c r="W15" s="715">
        <f t="shared" si="2"/>
        <v>100</v>
      </c>
      <c r="X15" s="1508"/>
      <c r="Y15" s="349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4"/>
      <c r="Q16" s="1505"/>
      <c r="R16" s="714"/>
      <c r="S16" s="715"/>
      <c r="T16" s="714"/>
      <c r="U16" s="715"/>
      <c r="V16" s="714"/>
      <c r="W16" s="715"/>
      <c r="X16" s="1508"/>
      <c r="Y16" s="3494"/>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4"/>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4"/>
      <c r="Q18" s="1505"/>
      <c r="R18" s="714"/>
      <c r="S18" s="715"/>
      <c r="T18" s="714"/>
      <c r="U18" s="715"/>
      <c r="V18" s="714"/>
      <c r="W18" s="715"/>
      <c r="X18" s="1508"/>
      <c r="Y18" s="3494"/>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4"/>
      <c r="Q19" s="1505" t="str">
        <f>B19</f>
        <v>公共配套设施</v>
      </c>
      <c r="R19" s="714" t="s">
        <v>17</v>
      </c>
      <c r="S19" s="715">
        <f>F19</f>
        <v>100</v>
      </c>
      <c r="T19" s="714" t="s">
        <v>17</v>
      </c>
      <c r="U19" s="715">
        <f>H19</f>
        <v>100</v>
      </c>
      <c r="V19" s="714" t="s">
        <v>17</v>
      </c>
      <c r="W19" s="715">
        <f>J19</f>
        <v>100</v>
      </c>
      <c r="X19" s="1508"/>
      <c r="Y19" s="349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4"/>
      <c r="Q20" s="1505"/>
      <c r="R20" s="714"/>
      <c r="S20" s="715"/>
      <c r="T20" s="714"/>
      <c r="U20" s="715"/>
      <c r="V20" s="714"/>
      <c r="W20" s="715"/>
      <c r="X20" s="1508"/>
      <c r="Y20" s="3494"/>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4"/>
      <c r="Q21" s="1505" t="str">
        <f>B21</f>
        <v>基础设施水平</v>
      </c>
      <c r="R21" s="714" t="s">
        <v>17</v>
      </c>
      <c r="S21" s="715">
        <f>F21</f>
        <v>100</v>
      </c>
      <c r="T21" s="714" t="s">
        <v>17</v>
      </c>
      <c r="U21" s="715">
        <f>H21</f>
        <v>100</v>
      </c>
      <c r="V21" s="714" t="s">
        <v>17</v>
      </c>
      <c r="W21" s="715">
        <f>J21</f>
        <v>100</v>
      </c>
      <c r="X21" s="1508"/>
      <c r="Y21" s="3494"/>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4"/>
      <c r="Q22" s="1505"/>
      <c r="R22" s="714"/>
      <c r="S22" s="715"/>
      <c r="T22" s="714"/>
      <c r="U22" s="715"/>
      <c r="V22" s="714"/>
      <c r="W22" s="715"/>
      <c r="X22" s="1508"/>
      <c r="Y22" s="3494"/>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4"/>
      <c r="Q23" s="1505" t="str">
        <f>B23</f>
        <v>环境质量</v>
      </c>
      <c r="R23" s="714" t="s">
        <v>17</v>
      </c>
      <c r="S23" s="715">
        <f>F23</f>
        <v>100</v>
      </c>
      <c r="T23" s="714" t="s">
        <v>17</v>
      </c>
      <c r="U23" s="715">
        <f>H23</f>
        <v>100</v>
      </c>
      <c r="V23" s="714" t="s">
        <v>17</v>
      </c>
      <c r="W23" s="715">
        <f>J23</f>
        <v>100</v>
      </c>
      <c r="X23" s="1508"/>
      <c r="Y23" s="3494"/>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4"/>
      <c r="Q24" s="1505"/>
      <c r="R24" s="714"/>
      <c r="S24" s="715"/>
      <c r="T24" s="714"/>
      <c r="U24" s="715"/>
      <c r="V24" s="714"/>
      <c r="W24" s="715"/>
      <c r="X24" s="1508"/>
      <c r="Y24" s="3494"/>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4"/>
      <c r="Q25" s="1505">
        <f>B25</f>
        <v>111</v>
      </c>
      <c r="R25" s="714" t="s">
        <v>17</v>
      </c>
      <c r="S25" s="715">
        <f>F25</f>
        <v>100</v>
      </c>
      <c r="T25" s="714" t="s">
        <v>17</v>
      </c>
      <c r="U25" s="715">
        <f>H25</f>
        <v>100</v>
      </c>
      <c r="V25" s="714" t="s">
        <v>17</v>
      </c>
      <c r="W25" s="715">
        <f>J25</f>
        <v>100</v>
      </c>
      <c r="X25" s="1508"/>
      <c r="Y25" s="3494"/>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4"/>
      <c r="Q26" s="1505">
        <f t="shared" ref="Q26:Q40" si="11">B26</f>
        <v>111</v>
      </c>
      <c r="R26" s="714" t="s">
        <v>17</v>
      </c>
      <c r="S26" s="715">
        <f>F26</f>
        <v>100</v>
      </c>
      <c r="T26" s="714" t="s">
        <v>17</v>
      </c>
      <c r="U26" s="715">
        <f>H26</f>
        <v>100</v>
      </c>
      <c r="V26" s="714" t="s">
        <v>17</v>
      </c>
      <c r="W26" s="715">
        <f>J26</f>
        <v>100</v>
      </c>
      <c r="X26" s="1508"/>
      <c r="Y26" s="3494"/>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4"/>
      <c r="Q27" s="1496">
        <f t="shared" si="11"/>
        <v>111</v>
      </c>
      <c r="R27" s="710" t="s">
        <v>17</v>
      </c>
      <c r="S27" s="711">
        <f>F27</f>
        <v>100</v>
      </c>
      <c r="T27" s="710" t="s">
        <v>17</v>
      </c>
      <c r="U27" s="711">
        <f>H27</f>
        <v>100</v>
      </c>
      <c r="V27" s="710" t="s">
        <v>17</v>
      </c>
      <c r="W27" s="711">
        <f>J27</f>
        <v>100</v>
      </c>
      <c r="X27" s="712"/>
      <c r="Y27" s="3494"/>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4"/>
      <c r="Q28" s="1505">
        <f t="shared" si="11"/>
        <v>111</v>
      </c>
      <c r="R28" s="714" t="s">
        <v>17</v>
      </c>
      <c r="S28" s="715">
        <f t="shared" ref="S28:S40" si="12">F28</f>
        <v>100</v>
      </c>
      <c r="T28" s="714" t="s">
        <v>17</v>
      </c>
      <c r="U28" s="715">
        <f t="shared" ref="U28:U40" si="13">H28</f>
        <v>100</v>
      </c>
      <c r="V28" s="714" t="s">
        <v>17</v>
      </c>
      <c r="W28" s="715">
        <f t="shared" ref="W28:W40" si="14">J28</f>
        <v>100</v>
      </c>
      <c r="X28" s="1508"/>
      <c r="Y28" s="3494"/>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9" t="s">
        <v>2326</v>
      </c>
      <c r="Q29" s="1505" t="str">
        <f t="shared" si="11"/>
        <v>建筑类型</v>
      </c>
      <c r="R29" s="714" t="s">
        <v>17</v>
      </c>
      <c r="S29" s="715">
        <f t="shared" si="12"/>
        <v>100</v>
      </c>
      <c r="T29" s="714" t="s">
        <v>17</v>
      </c>
      <c r="U29" s="715">
        <f t="shared" si="13"/>
        <v>100</v>
      </c>
      <c r="V29" s="714" t="s">
        <v>17</v>
      </c>
      <c r="W29" s="715">
        <f t="shared" si="14"/>
        <v>100</v>
      </c>
      <c r="X29" s="1508"/>
      <c r="Y29" s="3498"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8"/>
      <c r="Q31" s="1505" t="str">
        <f t="shared" si="11"/>
        <v>建筑结构</v>
      </c>
      <c r="R31" s="714" t="s">
        <v>17</v>
      </c>
      <c r="S31" s="715">
        <f t="shared" si="12"/>
        <v>100</v>
      </c>
      <c r="T31" s="714" t="s">
        <v>17</v>
      </c>
      <c r="U31" s="715">
        <f t="shared" si="13"/>
        <v>100</v>
      </c>
      <c r="V31" s="714" t="s">
        <v>17</v>
      </c>
      <c r="W31" s="715">
        <f t="shared" si="14"/>
        <v>100</v>
      </c>
      <c r="X31" s="1508"/>
      <c r="Y31" s="3498"/>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8"/>
      <c r="Q32" s="1505" t="str">
        <f t="shared" si="11"/>
        <v>公共部分装修</v>
      </c>
      <c r="R32" s="714" t="s">
        <v>17</v>
      </c>
      <c r="S32" s="715">
        <f t="shared" si="12"/>
        <v>100</v>
      </c>
      <c r="T32" s="714" t="s">
        <v>17</v>
      </c>
      <c r="U32" s="715">
        <f t="shared" si="13"/>
        <v>100</v>
      </c>
      <c r="V32" s="714" t="s">
        <v>17</v>
      </c>
      <c r="W32" s="715">
        <f t="shared" si="14"/>
        <v>100</v>
      </c>
      <c r="X32" s="1508"/>
      <c r="Y32" s="3498"/>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8"/>
      <c r="Q33" s="1505" t="str">
        <f t="shared" si="11"/>
        <v>成新度</v>
      </c>
      <c r="R33" s="714" t="s">
        <v>17</v>
      </c>
      <c r="S33" s="715" t="e">
        <f t="shared" si="12"/>
        <v>#N/A</v>
      </c>
      <c r="T33" s="714" t="s">
        <v>17</v>
      </c>
      <c r="U33" s="715" t="e">
        <f t="shared" si="13"/>
        <v>#N/A</v>
      </c>
      <c r="V33" s="714" t="s">
        <v>17</v>
      </c>
      <c r="W33" s="715" t="e">
        <f t="shared" si="14"/>
        <v>#N/A</v>
      </c>
      <c r="X33" s="1508"/>
      <c r="Y33" s="3498"/>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8"/>
      <c r="Q34" s="1496"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8" t="s">
        <v>2326</v>
      </c>
      <c r="Q35" s="1505" t="str">
        <f t="shared" si="11"/>
        <v>市政基础设施</v>
      </c>
      <c r="R35" s="714" t="s">
        <v>17</v>
      </c>
      <c r="S35" s="715">
        <f t="shared" si="12"/>
        <v>100</v>
      </c>
      <c r="T35" s="714" t="s">
        <v>17</v>
      </c>
      <c r="U35" s="715">
        <f t="shared" si="13"/>
        <v>100</v>
      </c>
      <c r="V35" s="714" t="s">
        <v>17</v>
      </c>
      <c r="W35" s="715">
        <f t="shared" si="14"/>
        <v>100</v>
      </c>
      <c r="X35" s="1508"/>
      <c r="Y35" s="3498"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8"/>
      <c r="Q36" s="1505" t="str">
        <f t="shared" si="11"/>
        <v>内部装修</v>
      </c>
      <c r="R36" s="714" t="s">
        <v>17</v>
      </c>
      <c r="S36" s="715">
        <f t="shared" si="12"/>
        <v>100</v>
      </c>
      <c r="T36" s="714" t="s">
        <v>17</v>
      </c>
      <c r="U36" s="715">
        <f t="shared" si="13"/>
        <v>100</v>
      </c>
      <c r="V36" s="714" t="s">
        <v>17</v>
      </c>
      <c r="W36" s="715">
        <f t="shared" si="14"/>
        <v>100</v>
      </c>
      <c r="X36" s="1508"/>
      <c r="Y36" s="3498"/>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8"/>
      <c r="Q37" s="1505" t="str">
        <f t="shared" si="11"/>
        <v>内部装修状况</v>
      </c>
      <c r="R37" s="714" t="s">
        <v>17</v>
      </c>
      <c r="S37" s="715">
        <f t="shared" si="12"/>
        <v>100</v>
      </c>
      <c r="T37" s="714" t="s">
        <v>17</v>
      </c>
      <c r="U37" s="715">
        <f t="shared" si="13"/>
        <v>100</v>
      </c>
      <c r="V37" s="714" t="s">
        <v>17</v>
      </c>
      <c r="W37" s="715">
        <f t="shared" si="14"/>
        <v>100</v>
      </c>
      <c r="X37" s="1508"/>
      <c r="Y37" s="3498"/>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8"/>
      <c r="Q39" s="1505">
        <f t="shared" si="11"/>
        <v>111</v>
      </c>
      <c r="R39" s="714" t="s">
        <v>17</v>
      </c>
      <c r="S39" s="715">
        <f t="shared" si="12"/>
        <v>100</v>
      </c>
      <c r="T39" s="714" t="s">
        <v>17</v>
      </c>
      <c r="U39" s="715">
        <f t="shared" si="13"/>
        <v>100</v>
      </c>
      <c r="V39" s="714" t="s">
        <v>17</v>
      </c>
      <c r="W39" s="715">
        <f t="shared" si="14"/>
        <v>100</v>
      </c>
      <c r="X39" s="1508"/>
      <c r="Y39" s="3498"/>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9"/>
      <c r="Q40" s="1505">
        <f t="shared" si="11"/>
        <v>111</v>
      </c>
      <c r="R40" s="714" t="s">
        <v>17</v>
      </c>
      <c r="S40" s="715">
        <f t="shared" si="12"/>
        <v>100</v>
      </c>
      <c r="T40" s="714" t="s">
        <v>17</v>
      </c>
      <c r="U40" s="715">
        <f t="shared" si="13"/>
        <v>100</v>
      </c>
      <c r="V40" s="714" t="s">
        <v>17</v>
      </c>
      <c r="W40" s="715">
        <f t="shared" si="14"/>
        <v>100</v>
      </c>
      <c r="X40" s="1508"/>
      <c r="Y40" s="3499"/>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2022年2月9日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ht="15">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29" ht="15.7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7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27" t="s">
        <v>2310</v>
      </c>
      <c r="Q7" s="3529"/>
      <c r="R7" s="710" t="s">
        <v>17</v>
      </c>
      <c r="S7" s="711">
        <f t="shared" ref="S7:S14" si="0">F7</f>
        <v>0</v>
      </c>
      <c r="T7" s="710" t="s">
        <v>17</v>
      </c>
      <c r="U7" s="711">
        <f t="shared" ref="U7:U14" si="1">H7</f>
        <v>0</v>
      </c>
      <c r="V7" s="710" t="s">
        <v>17</v>
      </c>
      <c r="W7" s="711">
        <f t="shared" ref="W7:W14" si="2">J7</f>
        <v>0</v>
      </c>
      <c r="X7" s="712"/>
      <c r="Y7" s="3527" t="s">
        <v>2310</v>
      </c>
      <c r="Z7" s="352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1" t="s">
        <v>2316</v>
      </c>
      <c r="Q9" s="1496" t="str">
        <f t="shared" ref="Q9:Q14" si="6">B9</f>
        <v>用途</v>
      </c>
      <c r="R9" s="710" t="s">
        <v>17</v>
      </c>
      <c r="S9" s="711">
        <f t="shared" si="0"/>
        <v>100</v>
      </c>
      <c r="T9" s="710" t="s">
        <v>17</v>
      </c>
      <c r="U9" s="711">
        <f t="shared" si="1"/>
        <v>100</v>
      </c>
      <c r="V9" s="710" t="s">
        <v>17</v>
      </c>
      <c r="W9" s="711">
        <f t="shared" si="2"/>
        <v>100</v>
      </c>
      <c r="X9" s="712"/>
      <c r="Y9" s="336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1"/>
      <c r="Q11" s="1496">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3" t="s">
        <v>2321</v>
      </c>
      <c r="Q14" s="1505" t="str">
        <f t="shared" si="6"/>
        <v>交通便捷度</v>
      </c>
      <c r="R14" s="714" t="s">
        <v>17</v>
      </c>
      <c r="S14" s="715">
        <f t="shared" si="0"/>
        <v>100</v>
      </c>
      <c r="T14" s="714" t="s">
        <v>17</v>
      </c>
      <c r="U14" s="715">
        <f t="shared" si="1"/>
        <v>100</v>
      </c>
      <c r="V14" s="714" t="s">
        <v>17</v>
      </c>
      <c r="W14" s="715">
        <f t="shared" si="2"/>
        <v>100</v>
      </c>
      <c r="X14" s="1508"/>
      <c r="Y14" s="349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4"/>
      <c r="Q15" s="1505"/>
      <c r="R15" s="714"/>
      <c r="S15" s="715"/>
      <c r="T15" s="714"/>
      <c r="U15" s="715"/>
      <c r="V15" s="714"/>
      <c r="W15" s="715"/>
      <c r="X15" s="1508"/>
      <c r="Y15" s="3494"/>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4"/>
      <c r="Q16" s="1505" t="str">
        <f>B16</f>
        <v>公共配套设施</v>
      </c>
      <c r="R16" s="714" t="s">
        <v>17</v>
      </c>
      <c r="S16" s="715">
        <f>F16</f>
        <v>100</v>
      </c>
      <c r="T16" s="714" t="s">
        <v>17</v>
      </c>
      <c r="U16" s="715">
        <f>H16</f>
        <v>100</v>
      </c>
      <c r="V16" s="714" t="s">
        <v>17</v>
      </c>
      <c r="W16" s="715">
        <f>J16</f>
        <v>100</v>
      </c>
      <c r="X16" s="1508"/>
      <c r="Y16" s="349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4"/>
      <c r="Q17" s="1505"/>
      <c r="R17" s="714"/>
      <c r="S17" s="715"/>
      <c r="T17" s="714"/>
      <c r="U17" s="715"/>
      <c r="V17" s="714"/>
      <c r="W17" s="715"/>
      <c r="X17" s="1508"/>
      <c r="Y17" s="3494"/>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4"/>
      <c r="Q18" s="1505" t="str">
        <f>B18</f>
        <v>基础设施水平</v>
      </c>
      <c r="R18" s="714" t="s">
        <v>17</v>
      </c>
      <c r="S18" s="715">
        <f>F18</f>
        <v>100</v>
      </c>
      <c r="T18" s="714" t="s">
        <v>17</v>
      </c>
      <c r="U18" s="715">
        <f>H18</f>
        <v>100</v>
      </c>
      <c r="V18" s="714" t="s">
        <v>17</v>
      </c>
      <c r="W18" s="715">
        <f>J18</f>
        <v>100</v>
      </c>
      <c r="X18" s="1508"/>
      <c r="Y18" s="349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4"/>
      <c r="Q19" s="1505"/>
      <c r="R19" s="714"/>
      <c r="S19" s="715"/>
      <c r="T19" s="714"/>
      <c r="U19" s="715"/>
      <c r="V19" s="714"/>
      <c r="W19" s="715"/>
      <c r="X19" s="1508"/>
      <c r="Y19" s="3494"/>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4"/>
      <c r="Q20" s="1505" t="str">
        <f>B20</f>
        <v>自然及人文环境</v>
      </c>
      <c r="R20" s="714" t="s">
        <v>17</v>
      </c>
      <c r="S20" s="715">
        <f>F20</f>
        <v>100</v>
      </c>
      <c r="T20" s="714" t="s">
        <v>17</v>
      </c>
      <c r="U20" s="715">
        <f>H20</f>
        <v>100</v>
      </c>
      <c r="V20" s="714" t="s">
        <v>17</v>
      </c>
      <c r="W20" s="715">
        <f>J20</f>
        <v>100</v>
      </c>
      <c r="X20" s="1508"/>
      <c r="Y20" s="349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4"/>
      <c r="Q21" s="1505"/>
      <c r="R21" s="714"/>
      <c r="S21" s="715"/>
      <c r="T21" s="714"/>
      <c r="U21" s="715"/>
      <c r="V21" s="714"/>
      <c r="W21" s="715"/>
      <c r="X21" s="1508"/>
      <c r="Y21" s="349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4"/>
      <c r="Q22" s="1505" t="str">
        <f>B22</f>
        <v>楼层</v>
      </c>
      <c r="R22" s="714" t="s">
        <v>17</v>
      </c>
      <c r="S22" s="715">
        <f>F22</f>
        <v>100</v>
      </c>
      <c r="T22" s="714" t="s">
        <v>17</v>
      </c>
      <c r="U22" s="715">
        <f>H22</f>
        <v>100</v>
      </c>
      <c r="V22" s="714" t="s">
        <v>17</v>
      </c>
      <c r="W22" s="715">
        <f>J22</f>
        <v>100</v>
      </c>
      <c r="X22" s="1508"/>
      <c r="Y22" s="349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4"/>
      <c r="Q23" s="1505">
        <f>B23</f>
        <v>111</v>
      </c>
      <c r="R23" s="714" t="s">
        <v>17</v>
      </c>
      <c r="S23" s="715">
        <f>F23</f>
        <v>100</v>
      </c>
      <c r="T23" s="714" t="s">
        <v>17</v>
      </c>
      <c r="U23" s="715">
        <f>H23</f>
        <v>100</v>
      </c>
      <c r="V23" s="714" t="s">
        <v>17</v>
      </c>
      <c r="W23" s="715">
        <f>J23</f>
        <v>100</v>
      </c>
      <c r="X23" s="1508"/>
      <c r="Y23" s="349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4"/>
      <c r="Q24" s="1505">
        <f t="shared" ref="Q24:Q36" si="11">B24</f>
        <v>111</v>
      </c>
      <c r="R24" s="714" t="s">
        <v>17</v>
      </c>
      <c r="S24" s="715">
        <f>F24</f>
        <v>100</v>
      </c>
      <c r="T24" s="714" t="s">
        <v>17</v>
      </c>
      <c r="U24" s="715">
        <f>H24</f>
        <v>100</v>
      </c>
      <c r="V24" s="714" t="s">
        <v>17</v>
      </c>
      <c r="W24" s="715">
        <f>J24</f>
        <v>100</v>
      </c>
      <c r="X24" s="1508"/>
      <c r="Y24" s="349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4"/>
      <c r="Q25" s="1496">
        <f t="shared" si="11"/>
        <v>111</v>
      </c>
      <c r="R25" s="710" t="s">
        <v>17</v>
      </c>
      <c r="S25" s="711">
        <f>F25</f>
        <v>100</v>
      </c>
      <c r="T25" s="710" t="s">
        <v>17</v>
      </c>
      <c r="U25" s="711">
        <f>H25</f>
        <v>100</v>
      </c>
      <c r="V25" s="710" t="s">
        <v>17</v>
      </c>
      <c r="W25" s="711">
        <f>J25</f>
        <v>100</v>
      </c>
      <c r="X25" s="712"/>
      <c r="Y25" s="3494"/>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9"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8"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8"/>
      <c r="Q28" s="1505" t="str">
        <f t="shared" si="11"/>
        <v>公共部分装修</v>
      </c>
      <c r="R28" s="714" t="s">
        <v>17</v>
      </c>
      <c r="S28" s="715">
        <f t="shared" si="12"/>
        <v>100</v>
      </c>
      <c r="T28" s="714" t="s">
        <v>17</v>
      </c>
      <c r="U28" s="715">
        <f t="shared" si="13"/>
        <v>100</v>
      </c>
      <c r="V28" s="714" t="s">
        <v>17</v>
      </c>
      <c r="W28" s="715">
        <f t="shared" si="14"/>
        <v>100</v>
      </c>
      <c r="X28" s="1508"/>
      <c r="Y28" s="3498"/>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8"/>
      <c r="Q29" s="1505" t="str">
        <f t="shared" si="11"/>
        <v>成新率</v>
      </c>
      <c r="R29" s="714" t="s">
        <v>17</v>
      </c>
      <c r="S29" s="715" t="e">
        <f t="shared" si="12"/>
        <v>#N/A</v>
      </c>
      <c r="T29" s="714" t="s">
        <v>17</v>
      </c>
      <c r="U29" s="715" t="e">
        <f t="shared" si="13"/>
        <v>#N/A</v>
      </c>
      <c r="V29" s="714" t="s">
        <v>17</v>
      </c>
      <c r="W29" s="715" t="e">
        <f t="shared" si="14"/>
        <v>#N/A</v>
      </c>
      <c r="X29" s="1508"/>
      <c r="Y29" s="3498"/>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8"/>
      <c r="Q30" s="1505" t="str">
        <f t="shared" si="11"/>
        <v>物业等级</v>
      </c>
      <c r="R30" s="714" t="s">
        <v>17</v>
      </c>
      <c r="S30" s="715">
        <f t="shared" si="12"/>
        <v>100</v>
      </c>
      <c r="T30" s="714" t="s">
        <v>17</v>
      </c>
      <c r="U30" s="715">
        <f t="shared" si="13"/>
        <v>100</v>
      </c>
      <c r="V30" s="714" t="s">
        <v>17</v>
      </c>
      <c r="W30" s="715">
        <f t="shared" si="14"/>
        <v>100</v>
      </c>
      <c r="X30" s="1508"/>
      <c r="Y30" s="3498"/>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8"/>
      <c r="Q31" s="1496"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8" t="s">
        <v>2326</v>
      </c>
      <c r="Q32" s="1505" t="str">
        <f t="shared" si="11"/>
        <v>车位类型</v>
      </c>
      <c r="R32" s="714" t="s">
        <v>17</v>
      </c>
      <c r="S32" s="715">
        <f t="shared" si="12"/>
        <v>100</v>
      </c>
      <c r="T32" s="714" t="s">
        <v>17</v>
      </c>
      <c r="U32" s="715">
        <f t="shared" si="13"/>
        <v>100</v>
      </c>
      <c r="V32" s="714" t="s">
        <v>17</v>
      </c>
      <c r="W32" s="715">
        <f t="shared" si="14"/>
        <v>100</v>
      </c>
      <c r="X32" s="1508"/>
      <c r="Y32" s="3498"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8"/>
      <c r="Q33" s="1505" t="str">
        <f t="shared" si="11"/>
        <v>是否直接入户</v>
      </c>
      <c r="R33" s="714" t="s">
        <v>17</v>
      </c>
      <c r="S33" s="715">
        <f t="shared" si="12"/>
        <v>100</v>
      </c>
      <c r="T33" s="714" t="s">
        <v>17</v>
      </c>
      <c r="U33" s="715">
        <f t="shared" si="13"/>
        <v>100</v>
      </c>
      <c r="V33" s="714" t="s">
        <v>17</v>
      </c>
      <c r="W33" s="715">
        <f t="shared" si="14"/>
        <v>100</v>
      </c>
      <c r="X33" s="1508"/>
      <c r="Y33" s="349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8"/>
      <c r="Q34" s="1505">
        <f t="shared" si="11"/>
        <v>111</v>
      </c>
      <c r="R34" s="714" t="s">
        <v>17</v>
      </c>
      <c r="S34" s="715">
        <f t="shared" si="12"/>
        <v>100</v>
      </c>
      <c r="T34" s="714" t="s">
        <v>17</v>
      </c>
      <c r="U34" s="715">
        <f t="shared" si="13"/>
        <v>100</v>
      </c>
      <c r="V34" s="714" t="s">
        <v>17</v>
      </c>
      <c r="W34" s="715">
        <f t="shared" si="14"/>
        <v>100</v>
      </c>
      <c r="X34" s="1508"/>
      <c r="Y34" s="349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8"/>
      <c r="Q36" s="1505">
        <f t="shared" si="11"/>
        <v>111</v>
      </c>
      <c r="R36" s="714" t="s">
        <v>17</v>
      </c>
      <c r="S36" s="715">
        <f t="shared" si="12"/>
        <v>100</v>
      </c>
      <c r="T36" s="714" t="s">
        <v>17</v>
      </c>
      <c r="U36" s="715">
        <f t="shared" si="13"/>
        <v>100</v>
      </c>
      <c r="V36" s="714" t="s">
        <v>17</v>
      </c>
      <c r="W36" s="715">
        <f t="shared" si="14"/>
        <v>100</v>
      </c>
      <c r="X36" s="1508"/>
      <c r="Y36" s="3498"/>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8" t="str">
        <f>A39</f>
        <v>估价对象XX用房的比较价值（楼面单价，元/平方米）</v>
      </c>
      <c r="Q39" s="3489"/>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ht="15">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29" ht="15.7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7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27" t="s">
        <v>2310</v>
      </c>
      <c r="Q7" s="3529"/>
      <c r="R7" s="710" t="s">
        <v>17</v>
      </c>
      <c r="S7" s="711">
        <f t="shared" ref="S7:S14" si="0">F7</f>
        <v>0</v>
      </c>
      <c r="T7" s="710" t="s">
        <v>17</v>
      </c>
      <c r="U7" s="711">
        <f t="shared" ref="U7:U14" si="1">H7</f>
        <v>0</v>
      </c>
      <c r="V7" s="710" t="s">
        <v>17</v>
      </c>
      <c r="W7" s="711">
        <f t="shared" ref="W7:W14" si="2">J7</f>
        <v>0</v>
      </c>
      <c r="X7" s="712"/>
      <c r="Y7" s="3527" t="s">
        <v>2310</v>
      </c>
      <c r="Z7" s="352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1" t="s">
        <v>2316</v>
      </c>
      <c r="Q9" s="1496" t="str">
        <f t="shared" ref="Q9:Q14" si="6">B9</f>
        <v>用途</v>
      </c>
      <c r="R9" s="710" t="s">
        <v>17</v>
      </c>
      <c r="S9" s="711">
        <f t="shared" si="0"/>
        <v>100</v>
      </c>
      <c r="T9" s="710" t="s">
        <v>17</v>
      </c>
      <c r="U9" s="711">
        <f t="shared" si="1"/>
        <v>100</v>
      </c>
      <c r="V9" s="710" t="s">
        <v>17</v>
      </c>
      <c r="W9" s="711">
        <f t="shared" si="2"/>
        <v>100</v>
      </c>
      <c r="X9" s="712"/>
      <c r="Y9" s="336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1"/>
      <c r="Q10" s="1496"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1"/>
      <c r="Q11" s="1496">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3" t="s">
        <v>2321</v>
      </c>
      <c r="Q14" s="1505" t="str">
        <f t="shared" si="6"/>
        <v>交通便捷度</v>
      </c>
      <c r="R14" s="714" t="s">
        <v>17</v>
      </c>
      <c r="S14" s="715">
        <f t="shared" si="0"/>
        <v>100</v>
      </c>
      <c r="T14" s="714" t="s">
        <v>17</v>
      </c>
      <c r="U14" s="715">
        <f t="shared" si="1"/>
        <v>100</v>
      </c>
      <c r="V14" s="714" t="s">
        <v>17</v>
      </c>
      <c r="W14" s="715">
        <f t="shared" si="2"/>
        <v>100</v>
      </c>
      <c r="X14" s="1508"/>
      <c r="Y14" s="349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4"/>
      <c r="Q15" s="1505"/>
      <c r="R15" s="714"/>
      <c r="S15" s="715"/>
      <c r="T15" s="714"/>
      <c r="U15" s="715"/>
      <c r="V15" s="714"/>
      <c r="W15" s="715"/>
      <c r="X15" s="1508"/>
      <c r="Y15" s="3494"/>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4"/>
      <c r="Q16" s="1505" t="str">
        <f>B16</f>
        <v>公共配套设施</v>
      </c>
      <c r="R16" s="714" t="s">
        <v>17</v>
      </c>
      <c r="S16" s="715">
        <f>F16</f>
        <v>100</v>
      </c>
      <c r="T16" s="714" t="s">
        <v>17</v>
      </c>
      <c r="U16" s="715">
        <f>H16</f>
        <v>100</v>
      </c>
      <c r="V16" s="714" t="s">
        <v>17</v>
      </c>
      <c r="W16" s="715">
        <f>J16</f>
        <v>100</v>
      </c>
      <c r="X16" s="1508"/>
      <c r="Y16" s="349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4"/>
      <c r="Q17" s="1505"/>
      <c r="R17" s="714"/>
      <c r="S17" s="715"/>
      <c r="T17" s="714"/>
      <c r="U17" s="715"/>
      <c r="V17" s="714"/>
      <c r="W17" s="715"/>
      <c r="X17" s="1508"/>
      <c r="Y17" s="3494"/>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4"/>
      <c r="Q18" s="1505" t="str">
        <f>B18</f>
        <v>基础设施水平</v>
      </c>
      <c r="R18" s="714" t="s">
        <v>17</v>
      </c>
      <c r="S18" s="715">
        <f>F18</f>
        <v>100</v>
      </c>
      <c r="T18" s="714" t="s">
        <v>17</v>
      </c>
      <c r="U18" s="715">
        <f>H18</f>
        <v>100</v>
      </c>
      <c r="V18" s="714" t="s">
        <v>17</v>
      </c>
      <c r="W18" s="715">
        <f>J18</f>
        <v>100</v>
      </c>
      <c r="X18" s="1508"/>
      <c r="Y18" s="3494"/>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4"/>
      <c r="Q19" s="1505"/>
      <c r="R19" s="714"/>
      <c r="S19" s="715"/>
      <c r="T19" s="714"/>
      <c r="U19" s="715"/>
      <c r="V19" s="714"/>
      <c r="W19" s="715"/>
      <c r="X19" s="1508"/>
      <c r="Y19" s="3494"/>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4"/>
      <c r="Q20" s="1505" t="str">
        <f>B20</f>
        <v>自然及人文环境</v>
      </c>
      <c r="R20" s="714" t="s">
        <v>17</v>
      </c>
      <c r="S20" s="715">
        <f>F20</f>
        <v>100</v>
      </c>
      <c r="T20" s="714" t="s">
        <v>17</v>
      </c>
      <c r="U20" s="715">
        <f>H20</f>
        <v>100</v>
      </c>
      <c r="V20" s="714" t="s">
        <v>17</v>
      </c>
      <c r="W20" s="715">
        <f>J20</f>
        <v>100</v>
      </c>
      <c r="X20" s="1508"/>
      <c r="Y20" s="349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4"/>
      <c r="Q21" s="1505"/>
      <c r="R21" s="714"/>
      <c r="S21" s="715"/>
      <c r="T21" s="714"/>
      <c r="U21" s="715"/>
      <c r="V21" s="714"/>
      <c r="W21" s="715"/>
      <c r="X21" s="1508"/>
      <c r="Y21" s="349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4"/>
      <c r="Q22" s="1505" t="str">
        <f>B22</f>
        <v>楼层</v>
      </c>
      <c r="R22" s="714" t="s">
        <v>17</v>
      </c>
      <c r="S22" s="715">
        <f>F22</f>
        <v>100</v>
      </c>
      <c r="T22" s="714" t="s">
        <v>17</v>
      </c>
      <c r="U22" s="715">
        <f>H22</f>
        <v>100</v>
      </c>
      <c r="V22" s="714" t="s">
        <v>17</v>
      </c>
      <c r="W22" s="715">
        <f>J22</f>
        <v>100</v>
      </c>
      <c r="X22" s="1508"/>
      <c r="Y22" s="349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4"/>
      <c r="Q23" s="1505">
        <f>B23</f>
        <v>111</v>
      </c>
      <c r="R23" s="714" t="s">
        <v>17</v>
      </c>
      <c r="S23" s="715">
        <f>F23</f>
        <v>100</v>
      </c>
      <c r="T23" s="714" t="s">
        <v>17</v>
      </c>
      <c r="U23" s="715">
        <f>H23</f>
        <v>100</v>
      </c>
      <c r="V23" s="714" t="s">
        <v>17</v>
      </c>
      <c r="W23" s="715">
        <f>J23</f>
        <v>100</v>
      </c>
      <c r="X23" s="1508"/>
      <c r="Y23" s="349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4"/>
      <c r="Q24" s="1505">
        <f t="shared" ref="Q24:Q34" si="11">B24</f>
        <v>111</v>
      </c>
      <c r="R24" s="714" t="s">
        <v>17</v>
      </c>
      <c r="S24" s="715">
        <f>F24</f>
        <v>100</v>
      </c>
      <c r="T24" s="714" t="s">
        <v>17</v>
      </c>
      <c r="U24" s="715">
        <f>H24</f>
        <v>100</v>
      </c>
      <c r="V24" s="714" t="s">
        <v>17</v>
      </c>
      <c r="W24" s="715">
        <f>J24</f>
        <v>100</v>
      </c>
      <c r="X24" s="1508"/>
      <c r="Y24" s="3494"/>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4"/>
      <c r="Q25" s="1496">
        <f t="shared" si="11"/>
        <v>111</v>
      </c>
      <c r="R25" s="710" t="s">
        <v>17</v>
      </c>
      <c r="S25" s="711">
        <f>F25</f>
        <v>100</v>
      </c>
      <c r="T25" s="710" t="s">
        <v>17</v>
      </c>
      <c r="U25" s="711">
        <f>H25</f>
        <v>100</v>
      </c>
      <c r="V25" s="710" t="s">
        <v>17</v>
      </c>
      <c r="W25" s="711">
        <f>J25</f>
        <v>100</v>
      </c>
      <c r="X25" s="712"/>
      <c r="Y25" s="3494"/>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9"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8"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8"/>
      <c r="Q28" s="1505" t="str">
        <f t="shared" si="11"/>
        <v>物业等级</v>
      </c>
      <c r="R28" s="714" t="s">
        <v>17</v>
      </c>
      <c r="S28" s="715">
        <f t="shared" si="12"/>
        <v>100</v>
      </c>
      <c r="T28" s="714" t="s">
        <v>17</v>
      </c>
      <c r="U28" s="715">
        <f t="shared" si="13"/>
        <v>100</v>
      </c>
      <c r="V28" s="714" t="s">
        <v>17</v>
      </c>
      <c r="W28" s="715">
        <f t="shared" si="14"/>
        <v>100</v>
      </c>
      <c r="X28" s="1508"/>
      <c r="Y28" s="3498"/>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8"/>
      <c r="Q29" s="1505" t="str">
        <f t="shared" si="11"/>
        <v>有无电梯</v>
      </c>
      <c r="R29" s="714" t="s">
        <v>17</v>
      </c>
      <c r="S29" s="715">
        <f t="shared" si="12"/>
        <v>100</v>
      </c>
      <c r="T29" s="714" t="s">
        <v>17</v>
      </c>
      <c r="U29" s="715">
        <f t="shared" si="13"/>
        <v>100</v>
      </c>
      <c r="V29" s="714" t="s">
        <v>17</v>
      </c>
      <c r="W29" s="715">
        <f t="shared" si="14"/>
        <v>100</v>
      </c>
      <c r="X29" s="1508"/>
      <c r="Y29" s="3498"/>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8"/>
      <c r="Q30" s="1505" t="str">
        <f t="shared" si="11"/>
        <v>建筑面积</v>
      </c>
      <c r="R30" s="714" t="s">
        <v>17</v>
      </c>
      <c r="S30" s="715" t="e">
        <f t="shared" si="12"/>
        <v>#N/A</v>
      </c>
      <c r="T30" s="714" t="s">
        <v>17</v>
      </c>
      <c r="U30" s="715" t="e">
        <f t="shared" si="13"/>
        <v>#N/A</v>
      </c>
      <c r="V30" s="714" t="s">
        <v>17</v>
      </c>
      <c r="W30" s="715" t="e">
        <f t="shared" si="14"/>
        <v>#N/A</v>
      </c>
      <c r="X30" s="1508"/>
      <c r="Y30" s="3498"/>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8"/>
      <c r="Q31" s="1496"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8" t="s">
        <v>2326</v>
      </c>
      <c r="Q32" s="1505">
        <f t="shared" si="11"/>
        <v>111</v>
      </c>
      <c r="R32" s="714" t="s">
        <v>17</v>
      </c>
      <c r="S32" s="715">
        <f t="shared" si="12"/>
        <v>100</v>
      </c>
      <c r="T32" s="714" t="s">
        <v>17</v>
      </c>
      <c r="U32" s="715">
        <f t="shared" si="13"/>
        <v>100</v>
      </c>
      <c r="V32" s="714" t="s">
        <v>17</v>
      </c>
      <c r="W32" s="715">
        <f t="shared" si="14"/>
        <v>100</v>
      </c>
      <c r="X32" s="1508"/>
      <c r="Y32" s="3498"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8"/>
      <c r="Q33" s="1505">
        <f t="shared" si="11"/>
        <v>111</v>
      </c>
      <c r="R33" s="714" t="s">
        <v>17</v>
      </c>
      <c r="S33" s="715">
        <f t="shared" si="12"/>
        <v>100</v>
      </c>
      <c r="T33" s="714" t="s">
        <v>17</v>
      </c>
      <c r="U33" s="715">
        <f t="shared" si="13"/>
        <v>100</v>
      </c>
      <c r="V33" s="714" t="s">
        <v>17</v>
      </c>
      <c r="W33" s="715">
        <f t="shared" si="14"/>
        <v>100</v>
      </c>
      <c r="X33" s="1508"/>
      <c r="Y33" s="3498"/>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8"/>
      <c r="Q34" s="1505">
        <f t="shared" si="11"/>
        <v>111</v>
      </c>
      <c r="R34" s="714" t="s">
        <v>17</v>
      </c>
      <c r="S34" s="715">
        <f t="shared" si="12"/>
        <v>100</v>
      </c>
      <c r="T34" s="714" t="s">
        <v>17</v>
      </c>
      <c r="U34" s="715">
        <f t="shared" si="13"/>
        <v>100</v>
      </c>
      <c r="V34" s="714" t="s">
        <v>17</v>
      </c>
      <c r="W34" s="715">
        <f t="shared" si="14"/>
        <v>100</v>
      </c>
      <c r="X34" s="1508"/>
      <c r="Y34" s="3498"/>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8" t="str">
        <f>A37</f>
        <v>估价对象XX用房的比较价值（楼面单价，元/平方米）</v>
      </c>
      <c r="Q37" s="3489"/>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30" ht="15">
      <c r="A5" s="364"/>
      <c r="B5" s="365"/>
      <c r="C5" s="3525" t="s">
        <v>2303</v>
      </c>
      <c r="D5" s="3526"/>
      <c r="E5" s="3532" t="s">
        <v>2304</v>
      </c>
      <c r="F5" s="3533"/>
      <c r="G5" s="3525" t="s">
        <v>2305</v>
      </c>
      <c r="H5" s="3526"/>
      <c r="I5" s="3525" t="s">
        <v>2306</v>
      </c>
      <c r="J5" s="3526"/>
      <c r="K5" s="567"/>
      <c r="L5" s="2913"/>
      <c r="M5" s="2914"/>
      <c r="N5" s="2914"/>
      <c r="O5" s="2914"/>
      <c r="P5" s="3512"/>
      <c r="Q5" s="3513"/>
      <c r="R5" s="3518"/>
      <c r="S5" s="3519"/>
      <c r="T5" s="3518"/>
      <c r="U5" s="3519"/>
      <c r="V5" s="3522"/>
      <c r="W5" s="3522"/>
      <c r="X5" s="1508"/>
      <c r="Y5" s="3518"/>
      <c r="Z5" s="3519"/>
      <c r="AA5" s="3504"/>
      <c r="AB5" s="3504"/>
      <c r="AC5" s="3504"/>
    </row>
    <row r="6" spans="1:30" ht="15.75" thickBot="1">
      <c r="A6" s="366"/>
      <c r="B6" s="367"/>
      <c r="C6" s="3523" t="s">
        <v>2307</v>
      </c>
      <c r="D6" s="3524"/>
      <c r="E6" s="3530" t="s">
        <v>2307</v>
      </c>
      <c r="F6" s="3531"/>
      <c r="G6" s="3523" t="s">
        <v>2307</v>
      </c>
      <c r="H6" s="3524"/>
      <c r="I6" s="3523" t="s">
        <v>2307</v>
      </c>
      <c r="J6" s="3524"/>
      <c r="K6" s="567" t="s">
        <v>2308</v>
      </c>
      <c r="L6" s="2913"/>
      <c r="M6" s="2914"/>
      <c r="N6" s="2914"/>
      <c r="O6" s="2914"/>
      <c r="P6" s="3514"/>
      <c r="Q6" s="3515"/>
      <c r="R6" s="3518"/>
      <c r="S6" s="3519"/>
      <c r="T6" s="3520"/>
      <c r="U6" s="3521"/>
      <c r="V6" s="3522"/>
      <c r="W6" s="3522"/>
      <c r="X6" s="1508"/>
      <c r="Y6" s="3520"/>
      <c r="Z6" s="3521"/>
      <c r="AA6" s="3505"/>
      <c r="AB6" s="3505"/>
      <c r="AC6" s="3505"/>
    </row>
    <row r="7" spans="1:30" s="113" customFormat="1" ht="15.7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527" t="s">
        <v>2310</v>
      </c>
      <c r="Q7" s="3529"/>
      <c r="R7" s="710" t="s">
        <v>17</v>
      </c>
      <c r="S7" s="711">
        <f t="shared" ref="S7:S15" si="0">F7</f>
        <v>0</v>
      </c>
      <c r="T7" s="710" t="s">
        <v>17</v>
      </c>
      <c r="U7" s="711">
        <f t="shared" ref="U7:U15" si="1">H7</f>
        <v>0</v>
      </c>
      <c r="V7" s="710" t="s">
        <v>17</v>
      </c>
      <c r="W7" s="711">
        <f t="shared" ref="W7:W15" si="2">J7</f>
        <v>0</v>
      </c>
      <c r="X7" s="712"/>
      <c r="Y7" s="3527" t="s">
        <v>2310</v>
      </c>
      <c r="Z7" s="352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527" t="s">
        <v>2313</v>
      </c>
      <c r="Q8" s="3528"/>
      <c r="R8" s="710" t="s">
        <v>17</v>
      </c>
      <c r="S8" s="711">
        <f t="shared" si="0"/>
        <v>0</v>
      </c>
      <c r="T8" s="710" t="s">
        <v>17</v>
      </c>
      <c r="U8" s="711">
        <f t="shared" si="1"/>
        <v>0</v>
      </c>
      <c r="V8" s="710" t="s">
        <v>17</v>
      </c>
      <c r="W8" s="711">
        <f t="shared" si="2"/>
        <v>0</v>
      </c>
      <c r="X8" s="712"/>
      <c r="Y8" s="3527" t="s">
        <v>2313</v>
      </c>
      <c r="Z8" s="3528"/>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491"/>
      <c r="Q10" s="1496"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1"/>
      <c r="Q11" s="1496"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1"/>
      <c r="Q12" s="1496"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3" t="s">
        <v>2321</v>
      </c>
      <c r="Q15" s="1505" t="str">
        <f t="shared" si="6"/>
        <v>居住社区成熟度</v>
      </c>
      <c r="R15" s="714" t="s">
        <v>17</v>
      </c>
      <c r="S15" s="715">
        <f t="shared" si="0"/>
        <v>100</v>
      </c>
      <c r="T15" s="714" t="s">
        <v>17</v>
      </c>
      <c r="U15" s="715">
        <f t="shared" si="1"/>
        <v>100</v>
      </c>
      <c r="V15" s="714" t="s">
        <v>17</v>
      </c>
      <c r="W15" s="715">
        <f t="shared" si="2"/>
        <v>100</v>
      </c>
      <c r="X15" s="1508"/>
      <c r="Y15" s="3493"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4"/>
      <c r="Q16" s="1505"/>
      <c r="R16" s="714"/>
      <c r="S16" s="715"/>
      <c r="T16" s="714"/>
      <c r="U16" s="715"/>
      <c r="V16" s="714"/>
      <c r="W16" s="715"/>
      <c r="X16" s="1508"/>
      <c r="Y16" s="3494"/>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4"/>
      <c r="Q17" s="1505" t="str">
        <f>B17</f>
        <v>商业繁华度</v>
      </c>
      <c r="R17" s="714" t="s">
        <v>17</v>
      </c>
      <c r="S17" s="715">
        <f>F17</f>
        <v>100</v>
      </c>
      <c r="T17" s="714" t="s">
        <v>17</v>
      </c>
      <c r="U17" s="715">
        <f>H17</f>
        <v>100</v>
      </c>
      <c r="V17" s="714" t="s">
        <v>17</v>
      </c>
      <c r="W17" s="715">
        <f>J17</f>
        <v>100</v>
      </c>
      <c r="X17" s="1508"/>
      <c r="Y17" s="3494"/>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94"/>
      <c r="Q18" s="1505"/>
      <c r="R18" s="714"/>
      <c r="S18" s="715"/>
      <c r="T18" s="714"/>
      <c r="U18" s="715"/>
      <c r="V18" s="714"/>
      <c r="W18" s="715"/>
      <c r="X18" s="1508"/>
      <c r="Y18" s="3494"/>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4"/>
      <c r="Q19" s="1505" t="str">
        <f>B19</f>
        <v>办公集聚程度</v>
      </c>
      <c r="R19" s="714" t="s">
        <v>17</v>
      </c>
      <c r="S19" s="715">
        <f>F19</f>
        <v>100</v>
      </c>
      <c r="T19" s="714" t="s">
        <v>17</v>
      </c>
      <c r="U19" s="715">
        <f>H19</f>
        <v>100</v>
      </c>
      <c r="V19" s="714" t="s">
        <v>17</v>
      </c>
      <c r="W19" s="715">
        <f>J19</f>
        <v>100</v>
      </c>
      <c r="X19" s="1508"/>
      <c r="Y19" s="349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4"/>
      <c r="Q20" s="1505"/>
      <c r="R20" s="714"/>
      <c r="S20" s="715"/>
      <c r="T20" s="714"/>
      <c r="U20" s="715"/>
      <c r="V20" s="714"/>
      <c r="W20" s="715"/>
      <c r="X20" s="1508"/>
      <c r="Y20" s="3494"/>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4"/>
      <c r="Q21" s="1505" t="str">
        <f>B21</f>
        <v>交通便捷度</v>
      </c>
      <c r="R21" s="714" t="s">
        <v>17</v>
      </c>
      <c r="S21" s="715">
        <f>F21</f>
        <v>100</v>
      </c>
      <c r="T21" s="714" t="s">
        <v>17</v>
      </c>
      <c r="U21" s="715">
        <f>H21</f>
        <v>100</v>
      </c>
      <c r="V21" s="714" t="s">
        <v>17</v>
      </c>
      <c r="W21" s="715">
        <f>J21</f>
        <v>100</v>
      </c>
      <c r="X21" s="1508"/>
      <c r="Y21" s="3494"/>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94"/>
      <c r="Q22" s="1505"/>
      <c r="R22" s="714"/>
      <c r="S22" s="715"/>
      <c r="T22" s="714"/>
      <c r="U22" s="715"/>
      <c r="V22" s="714"/>
      <c r="W22" s="715"/>
      <c r="X22" s="1508"/>
      <c r="Y22" s="3494"/>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4"/>
      <c r="Q23" s="1505" t="str">
        <f t="shared" ref="Q23:Q37" si="8">B23</f>
        <v>区域土地利用方向</v>
      </c>
      <c r="R23" s="714" t="s">
        <v>17</v>
      </c>
      <c r="S23" s="715">
        <f>F23</f>
        <v>100</v>
      </c>
      <c r="T23" s="714" t="s">
        <v>17</v>
      </c>
      <c r="U23" s="715">
        <f>H23</f>
        <v>100</v>
      </c>
      <c r="V23" s="714" t="s">
        <v>17</v>
      </c>
      <c r="W23" s="715">
        <f>J23</f>
        <v>100</v>
      </c>
      <c r="X23" s="1508"/>
      <c r="Y23" s="3494"/>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94"/>
      <c r="Q24" s="1505"/>
      <c r="R24" s="714"/>
      <c r="S24" s="715"/>
      <c r="T24" s="714"/>
      <c r="U24" s="715"/>
      <c r="V24" s="714"/>
      <c r="W24" s="715"/>
      <c r="X24" s="1508"/>
      <c r="Y24" s="3494"/>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4"/>
      <c r="Q25" s="1505" t="str">
        <f t="shared" si="8"/>
        <v>自然及人文环境状况</v>
      </c>
      <c r="R25" s="714" t="s">
        <v>17</v>
      </c>
      <c r="S25" s="715">
        <f>F25</f>
        <v>100</v>
      </c>
      <c r="T25" s="714" t="s">
        <v>17</v>
      </c>
      <c r="U25" s="715">
        <f>H25</f>
        <v>100</v>
      </c>
      <c r="V25" s="714" t="s">
        <v>17</v>
      </c>
      <c r="W25" s="715">
        <f>J25</f>
        <v>100</v>
      </c>
      <c r="X25" s="1508"/>
      <c r="Y25" s="3494"/>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94"/>
      <c r="Q26" s="1505"/>
      <c r="R26" s="714"/>
      <c r="S26" s="715"/>
      <c r="T26" s="714"/>
      <c r="U26" s="715"/>
      <c r="V26" s="714"/>
      <c r="W26" s="715"/>
      <c r="X26" s="1508"/>
      <c r="Y26" s="3494"/>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4"/>
      <c r="Q27" s="1496" t="str">
        <f t="shared" si="8"/>
        <v>公共配套设施</v>
      </c>
      <c r="R27" s="710" t="s">
        <v>17</v>
      </c>
      <c r="S27" s="711">
        <f>F27</f>
        <v>100</v>
      </c>
      <c r="T27" s="710" t="s">
        <v>17</v>
      </c>
      <c r="U27" s="711">
        <f>H27</f>
        <v>100</v>
      </c>
      <c r="V27" s="710" t="s">
        <v>17</v>
      </c>
      <c r="W27" s="711">
        <f>J27</f>
        <v>100</v>
      </c>
      <c r="X27" s="712"/>
      <c r="Y27" s="3494"/>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94"/>
      <c r="Q28" s="1496"/>
      <c r="R28" s="710"/>
      <c r="S28" s="711"/>
      <c r="T28" s="710"/>
      <c r="U28" s="711"/>
      <c r="V28" s="710"/>
      <c r="W28" s="711"/>
      <c r="X28" s="712"/>
      <c r="Y28" s="3494"/>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4"/>
      <c r="Q29" s="1496" t="str">
        <f t="shared" ref="Q29" si="9">B29</f>
        <v>基础设施水平</v>
      </c>
      <c r="R29" s="710" t="s">
        <v>17</v>
      </c>
      <c r="S29" s="711">
        <f>F29</f>
        <v>100</v>
      </c>
      <c r="T29" s="710" t="s">
        <v>17</v>
      </c>
      <c r="U29" s="711">
        <f>H29</f>
        <v>100</v>
      </c>
      <c r="V29" s="710" t="s">
        <v>17</v>
      </c>
      <c r="W29" s="711">
        <f>J29</f>
        <v>100</v>
      </c>
      <c r="X29" s="712"/>
      <c r="Y29" s="3494"/>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94"/>
      <c r="Q30" s="1496"/>
      <c r="R30" s="710"/>
      <c r="S30" s="711"/>
      <c r="T30" s="710"/>
      <c r="U30" s="711"/>
      <c r="V30" s="710"/>
      <c r="W30" s="711"/>
      <c r="X30" s="712"/>
      <c r="Y30" s="3494"/>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4"/>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4"/>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4"/>
      <c r="Q32" s="1505" t="str">
        <f t="shared" si="8"/>
        <v>毗邻道路的类型与等级</v>
      </c>
      <c r="R32" s="714" t="s">
        <v>17</v>
      </c>
      <c r="S32" s="715">
        <f t="shared" si="10"/>
        <v>100</v>
      </c>
      <c r="T32" s="714" t="s">
        <v>17</v>
      </c>
      <c r="U32" s="715">
        <f t="shared" si="11"/>
        <v>100</v>
      </c>
      <c r="V32" s="714" t="s">
        <v>17</v>
      </c>
      <c r="W32" s="715">
        <f t="shared" si="12"/>
        <v>100</v>
      </c>
      <c r="X32" s="1508"/>
      <c r="Y32" s="3494"/>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94"/>
      <c r="Q33" s="1505"/>
      <c r="R33" s="714"/>
      <c r="S33" s="715"/>
      <c r="T33" s="714"/>
      <c r="U33" s="715"/>
      <c r="V33" s="714"/>
      <c r="W33" s="715"/>
      <c r="X33" s="1508"/>
      <c r="Y33" s="3494"/>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4"/>
      <c r="Q34" s="1505" t="str">
        <f t="shared" si="8"/>
        <v>土地级别</v>
      </c>
      <c r="R34" s="714" t="s">
        <v>17</v>
      </c>
      <c r="S34" s="715">
        <f t="shared" si="10"/>
        <v>100</v>
      </c>
      <c r="T34" s="714" t="s">
        <v>17</v>
      </c>
      <c r="U34" s="715">
        <f t="shared" si="11"/>
        <v>100</v>
      </c>
      <c r="V34" s="714" t="s">
        <v>17</v>
      </c>
      <c r="W34" s="715">
        <f t="shared" si="12"/>
        <v>100</v>
      </c>
      <c r="X34" s="1508"/>
      <c r="Y34" s="3494"/>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4"/>
      <c r="Q35" s="1505">
        <f t="shared" si="8"/>
        <v>111</v>
      </c>
      <c r="R35" s="714" t="s">
        <v>17</v>
      </c>
      <c r="S35" s="715">
        <f t="shared" si="10"/>
        <v>100</v>
      </c>
      <c r="T35" s="714" t="s">
        <v>17</v>
      </c>
      <c r="U35" s="715">
        <f t="shared" si="11"/>
        <v>100</v>
      </c>
      <c r="V35" s="714" t="s">
        <v>17</v>
      </c>
      <c r="W35" s="715">
        <f t="shared" si="12"/>
        <v>100</v>
      </c>
      <c r="X35" s="1508"/>
      <c r="Y35" s="3494"/>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9" t="s">
        <v>2326</v>
      </c>
      <c r="Q36" s="1505">
        <f t="shared" si="8"/>
        <v>111</v>
      </c>
      <c r="R36" s="714" t="s">
        <v>17</v>
      </c>
      <c r="S36" s="715">
        <f t="shared" si="10"/>
        <v>100</v>
      </c>
      <c r="T36" s="714" t="s">
        <v>17</v>
      </c>
      <c r="U36" s="715">
        <f t="shared" si="11"/>
        <v>100</v>
      </c>
      <c r="V36" s="714" t="s">
        <v>17</v>
      </c>
      <c r="W36" s="715">
        <f t="shared" si="12"/>
        <v>100</v>
      </c>
      <c r="X36" s="1508"/>
      <c r="Y36" s="3498"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8"/>
      <c r="Q37" s="1505">
        <f t="shared" si="8"/>
        <v>111</v>
      </c>
      <c r="R37" s="717" t="s">
        <v>17</v>
      </c>
      <c r="S37" s="718">
        <f t="shared" si="10"/>
        <v>100</v>
      </c>
      <c r="T37" s="717" t="s">
        <v>17</v>
      </c>
      <c r="U37" s="718">
        <f t="shared" si="11"/>
        <v>100</v>
      </c>
      <c r="V37" s="717" t="s">
        <v>17</v>
      </c>
      <c r="W37" s="718">
        <f t="shared" si="12"/>
        <v>100</v>
      </c>
      <c r="X37" s="719"/>
      <c r="Y37" s="3498"/>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8"/>
      <c r="Q38" s="1505" t="str">
        <f>B38</f>
        <v>宗地面积</v>
      </c>
      <c r="R38" s="714" t="s">
        <v>17</v>
      </c>
      <c r="S38" s="715" t="e">
        <f t="shared" si="10"/>
        <v>#N/A</v>
      </c>
      <c r="T38" s="714" t="s">
        <v>17</v>
      </c>
      <c r="U38" s="715" t="e">
        <f t="shared" si="11"/>
        <v>#N/A</v>
      </c>
      <c r="V38" s="714" t="s">
        <v>17</v>
      </c>
      <c r="W38" s="715" t="e">
        <f t="shared" si="12"/>
        <v>#N/A</v>
      </c>
      <c r="X38" s="1508"/>
      <c r="Y38" s="3498"/>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8"/>
      <c r="Q39" s="1505" t="str">
        <f t="shared" ref="Q39:Q45" si="14">B39</f>
        <v>宗地形状</v>
      </c>
      <c r="R39" s="714" t="s">
        <v>17</v>
      </c>
      <c r="S39" s="715">
        <f t="shared" si="10"/>
        <v>100</v>
      </c>
      <c r="T39" s="714" t="s">
        <v>17</v>
      </c>
      <c r="U39" s="715">
        <f t="shared" si="11"/>
        <v>100</v>
      </c>
      <c r="V39" s="714" t="s">
        <v>17</v>
      </c>
      <c r="W39" s="715">
        <f t="shared" si="12"/>
        <v>100</v>
      </c>
      <c r="X39" s="1508"/>
      <c r="Y39" s="3498"/>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8"/>
      <c r="Q40" s="1505" t="str">
        <f t="shared" si="14"/>
        <v>临街宽度及深度</v>
      </c>
      <c r="R40" s="714" t="s">
        <v>17</v>
      </c>
      <c r="S40" s="715">
        <f t="shared" si="10"/>
        <v>100</v>
      </c>
      <c r="T40" s="714" t="s">
        <v>17</v>
      </c>
      <c r="U40" s="715">
        <f t="shared" si="11"/>
        <v>100</v>
      </c>
      <c r="V40" s="714" t="s">
        <v>17</v>
      </c>
      <c r="W40" s="715">
        <f t="shared" si="12"/>
        <v>100</v>
      </c>
      <c r="X40" s="1508"/>
      <c r="Y40" s="3498"/>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8"/>
      <c r="Q41" s="1505"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8" t="s">
        <v>2326</v>
      </c>
      <c r="Q42" s="1505" t="str">
        <f t="shared" si="14"/>
        <v>工程地质条件</v>
      </c>
      <c r="R42" s="714" t="s">
        <v>17</v>
      </c>
      <c r="S42" s="715">
        <f t="shared" si="10"/>
        <v>100</v>
      </c>
      <c r="T42" s="714" t="s">
        <v>17</v>
      </c>
      <c r="U42" s="715">
        <f t="shared" si="11"/>
        <v>100</v>
      </c>
      <c r="V42" s="714" t="s">
        <v>17</v>
      </c>
      <c r="W42" s="715">
        <f t="shared" si="12"/>
        <v>100</v>
      </c>
      <c r="X42" s="1508"/>
      <c r="Y42" s="3498"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8"/>
      <c r="Q43" s="1505">
        <f t="shared" si="14"/>
        <v>111</v>
      </c>
      <c r="R43" s="714" t="s">
        <v>17</v>
      </c>
      <c r="S43" s="715">
        <f t="shared" si="10"/>
        <v>100</v>
      </c>
      <c r="T43" s="714" t="s">
        <v>17</v>
      </c>
      <c r="U43" s="715">
        <f t="shared" si="11"/>
        <v>100</v>
      </c>
      <c r="V43" s="714" t="s">
        <v>17</v>
      </c>
      <c r="W43" s="715">
        <f t="shared" si="12"/>
        <v>100</v>
      </c>
      <c r="X43" s="1508"/>
      <c r="Y43" s="3498"/>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8"/>
      <c r="Q44" s="1505">
        <f t="shared" si="14"/>
        <v>111</v>
      </c>
      <c r="R44" s="714" t="s">
        <v>17</v>
      </c>
      <c r="S44" s="715">
        <f t="shared" si="10"/>
        <v>100</v>
      </c>
      <c r="T44" s="714" t="s">
        <v>17</v>
      </c>
      <c r="U44" s="715">
        <f t="shared" si="11"/>
        <v>100</v>
      </c>
      <c r="V44" s="714" t="s">
        <v>17</v>
      </c>
      <c r="W44" s="715">
        <f t="shared" si="12"/>
        <v>100</v>
      </c>
      <c r="X44" s="1508"/>
      <c r="Y44" s="3498"/>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8"/>
      <c r="Q45" s="1505">
        <f t="shared" si="14"/>
        <v>111</v>
      </c>
      <c r="R45" s="717" t="s">
        <v>17</v>
      </c>
      <c r="S45" s="718">
        <f t="shared" si="10"/>
        <v>100</v>
      </c>
      <c r="T45" s="717" t="s">
        <v>17</v>
      </c>
      <c r="U45" s="718">
        <f t="shared" si="11"/>
        <v>100</v>
      </c>
      <c r="V45" s="717" t="s">
        <v>17</v>
      </c>
      <c r="W45" s="718">
        <f t="shared" si="12"/>
        <v>100</v>
      </c>
      <c r="X45" s="719"/>
      <c r="Y45" s="3498"/>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91" t="str">
        <f>A46</f>
        <v>成交单价</v>
      </c>
      <c r="Q46" s="3491"/>
      <c r="R46" s="3522">
        <f>E46</f>
        <v>0</v>
      </c>
      <c r="S46" s="3522"/>
      <c r="T46" s="3522">
        <f>G46</f>
        <v>0</v>
      </c>
      <c r="U46" s="3522"/>
      <c r="V46" s="3522">
        <f>I46</f>
        <v>0</v>
      </c>
      <c r="W46" s="3522"/>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491" t="str">
        <f>A47</f>
        <v>比较价值（元/平方米）</v>
      </c>
      <c r="Q47" s="3491"/>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8" t="str">
        <f>A48</f>
        <v>估价对象XX用房的比较价值（楼面单价，元/平方米）</v>
      </c>
      <c r="Q48" s="3489"/>
      <c r="R48" s="3552" t="e">
        <f>ROUND(IF(D47="简单平均",AVERAGE(R47:W47),R47*F47+T47*H47+V47*J47),0)</f>
        <v>#DIV/0!</v>
      </c>
      <c r="S48" s="3552"/>
      <c r="T48" s="3552"/>
      <c r="U48" s="3552"/>
      <c r="V48" s="3552"/>
      <c r="W48" s="3552"/>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06" t="s">
        <v>2525</v>
      </c>
      <c r="H55" s="3553"/>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502"/>
      <c r="H56" s="3491"/>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54"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54"/>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54"/>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54"/>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0.2</v>
      </c>
      <c r="D63" s="1076">
        <v>0.25</v>
      </c>
      <c r="E63" s="223">
        <f>'数据-汇总表'!E13</f>
        <v>34590.520000000004</v>
      </c>
      <c r="F63" s="1017" t="e">
        <f t="shared" si="15"/>
        <v>#DIV/0!</v>
      </c>
      <c r="G63" s="1023" t="s">
        <v>2539</v>
      </c>
      <c r="H63" s="1018" t="str">
        <f>IF(G63="商业",项目基本情况!B37,IF(G63="办公",项目基本情况!C37,IF(G63="住宅",项目基本情况!D37,项目基本情况!E37)))</f>
        <v>七级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G58" sqref="G5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87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14926</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929</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6" t="s">
        <v>2407</v>
      </c>
      <c r="D4" s="3507"/>
      <c r="E4" s="3508" t="s">
        <v>2408</v>
      </c>
      <c r="F4" s="3509"/>
      <c r="G4" s="3506" t="s">
        <v>2409</v>
      </c>
      <c r="H4" s="3507"/>
      <c r="I4" s="3506" t="s">
        <v>2410</v>
      </c>
      <c r="J4" s="3507"/>
      <c r="K4" s="567" t="s">
        <v>2411</v>
      </c>
      <c r="L4" s="2913"/>
      <c r="M4" s="2914"/>
      <c r="N4" s="2914"/>
      <c r="O4" s="2914"/>
      <c r="P4" s="3510" t="s">
        <v>2412</v>
      </c>
      <c r="Q4" s="3511"/>
      <c r="R4" s="3516" t="s">
        <v>2408</v>
      </c>
      <c r="S4" s="3517"/>
      <c r="T4" s="3516" t="s">
        <v>2409</v>
      </c>
      <c r="U4" s="3517"/>
      <c r="V4" s="3522" t="s">
        <v>2410</v>
      </c>
      <c r="W4" s="3522"/>
      <c r="X4" s="1508"/>
      <c r="Y4" s="3516" t="s">
        <v>2412</v>
      </c>
      <c r="Z4" s="3517"/>
      <c r="AA4" s="3503" t="s">
        <v>2408</v>
      </c>
      <c r="AB4" s="3504" t="s">
        <v>2409</v>
      </c>
      <c r="AC4" s="3503" t="s">
        <v>2410</v>
      </c>
    </row>
    <row r="5" spans="1:29" ht="15">
      <c r="A5" s="364"/>
      <c r="B5" s="365"/>
      <c r="C5" s="3525" t="s">
        <v>2303</v>
      </c>
      <c r="D5" s="3526"/>
      <c r="E5" s="3532" t="str">
        <f>'案例 '!A19</f>
        <v>北京经济技术开发区路东区A12-1地块工业项目国有建设用地使用权挂牌出让公告</v>
      </c>
      <c r="F5" s="3533"/>
      <c r="G5" s="3525" t="str">
        <f>'案例 '!A25</f>
        <v>北京经济技术开发区路东区E7M1地块工业项目</v>
      </c>
      <c r="H5" s="3526"/>
      <c r="I5" s="3525" t="str">
        <f>案例2022!F54</f>
        <v xml:space="preserve"> 北京经济技术开发区河西区X61M4地块</v>
      </c>
      <c r="J5" s="3526"/>
      <c r="K5" s="567"/>
      <c r="L5" s="2913"/>
      <c r="M5" s="2914"/>
      <c r="N5" s="2914"/>
      <c r="O5" s="2914"/>
      <c r="P5" s="3512"/>
      <c r="Q5" s="3513"/>
      <c r="R5" s="3518"/>
      <c r="S5" s="3519"/>
      <c r="T5" s="3518"/>
      <c r="U5" s="3519"/>
      <c r="V5" s="3522"/>
      <c r="W5" s="3522"/>
      <c r="X5" s="1508"/>
      <c r="Y5" s="3518"/>
      <c r="Z5" s="3519"/>
      <c r="AA5" s="3504"/>
      <c r="AB5" s="3504"/>
      <c r="AC5" s="3504"/>
    </row>
    <row r="6" spans="1:29" ht="15.75" thickBot="1">
      <c r="A6" s="366"/>
      <c r="B6" s="367"/>
      <c r="C6" s="3555" t="s">
        <v>2558</v>
      </c>
      <c r="D6" s="3556"/>
      <c r="E6" s="3557" t="s">
        <v>2558</v>
      </c>
      <c r="F6" s="3558"/>
      <c r="G6" s="3555" t="s">
        <v>2558</v>
      </c>
      <c r="H6" s="3556"/>
      <c r="I6" s="3555" t="s">
        <v>2558</v>
      </c>
      <c r="J6" s="3556"/>
      <c r="K6" s="567" t="s">
        <v>2308</v>
      </c>
      <c r="L6" s="2913"/>
      <c r="M6" s="2914"/>
      <c r="N6" s="2914"/>
      <c r="O6" s="2914"/>
      <c r="P6" s="3514"/>
      <c r="Q6" s="3515"/>
      <c r="R6" s="3518"/>
      <c r="S6" s="3519"/>
      <c r="T6" s="3520"/>
      <c r="U6" s="3521"/>
      <c r="V6" s="3522"/>
      <c r="W6" s="3522"/>
      <c r="X6" s="1508"/>
      <c r="Y6" s="3520"/>
      <c r="Z6" s="3521"/>
      <c r="AA6" s="3505"/>
      <c r="AB6" s="3505"/>
      <c r="AC6" s="3505"/>
    </row>
    <row r="7" spans="1:29" s="113" customFormat="1" ht="15.7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43824</v>
      </c>
      <c r="J7" s="371">
        <f>SUMIF(65:65,YEAR(I7)&amp;"-"&amp;INT((MONTH(I7)+2)/3),66:66)</f>
        <v>95.5</v>
      </c>
      <c r="K7" s="568"/>
      <c r="L7" s="2915"/>
      <c r="M7" s="2916"/>
      <c r="N7" s="2916"/>
      <c r="O7" s="2916"/>
      <c r="P7" s="3527" t="s">
        <v>2310</v>
      </c>
      <c r="Q7" s="3529"/>
      <c r="R7" s="710" t="s">
        <v>17</v>
      </c>
      <c r="S7" s="711">
        <f t="shared" ref="S7:S15" si="0">F7</f>
        <v>97</v>
      </c>
      <c r="T7" s="710" t="s">
        <v>17</v>
      </c>
      <c r="U7" s="711">
        <f t="shared" ref="U7:U15" si="1">H7</f>
        <v>96</v>
      </c>
      <c r="V7" s="710" t="s">
        <v>17</v>
      </c>
      <c r="W7" s="711">
        <f t="shared" ref="W7:W15" si="2">J7</f>
        <v>95.5</v>
      </c>
      <c r="X7" s="712"/>
      <c r="Y7" s="3527" t="s">
        <v>2310</v>
      </c>
      <c r="Z7" s="3528"/>
      <c r="AA7" s="713">
        <f>D7/F7</f>
        <v>1.0309278350515463</v>
      </c>
      <c r="AB7" s="713">
        <f>D7/H7</f>
        <v>1.0416666666666667</v>
      </c>
      <c r="AC7" s="713">
        <f>D7/J7</f>
        <v>1.0471204188481675</v>
      </c>
    </row>
    <row r="8" spans="1:29" s="113" customFormat="1" ht="15.7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527" t="s">
        <v>2313</v>
      </c>
      <c r="Q8" s="3528"/>
      <c r="R8" s="710" t="s">
        <v>17</v>
      </c>
      <c r="S8" s="711">
        <f t="shared" si="0"/>
        <v>100</v>
      </c>
      <c r="T8" s="710" t="s">
        <v>17</v>
      </c>
      <c r="U8" s="711">
        <f t="shared" si="1"/>
        <v>100</v>
      </c>
      <c r="V8" s="710" t="s">
        <v>17</v>
      </c>
      <c r="W8" s="711">
        <f t="shared" si="2"/>
        <v>100</v>
      </c>
      <c r="X8" s="712"/>
      <c r="Y8" s="3527" t="s">
        <v>2313</v>
      </c>
      <c r="Z8" s="3528"/>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91" t="s">
        <v>2316</v>
      </c>
      <c r="Q9" s="1496" t="str">
        <f t="shared" ref="Q9:Q15" si="6">B9</f>
        <v>用途</v>
      </c>
      <c r="R9" s="710" t="s">
        <v>17</v>
      </c>
      <c r="S9" s="711">
        <f t="shared" si="0"/>
        <v>100</v>
      </c>
      <c r="T9" s="710" t="s">
        <v>17</v>
      </c>
      <c r="U9" s="711">
        <f t="shared" si="1"/>
        <v>100</v>
      </c>
      <c r="V9" s="710" t="s">
        <v>17</v>
      </c>
      <c r="W9" s="711">
        <f t="shared" si="2"/>
        <v>100</v>
      </c>
      <c r="X9" s="712"/>
      <c r="Y9" s="3363" t="s">
        <v>2317</v>
      </c>
      <c r="Z9" s="55" t="str">
        <f t="shared" ref="Z9:Z15" si="7">Q9</f>
        <v>用途</v>
      </c>
      <c r="AA9" s="713">
        <f t="shared" si="3"/>
        <v>1</v>
      </c>
      <c r="AB9" s="713">
        <f t="shared" si="4"/>
        <v>1</v>
      </c>
      <c r="AC9" s="713">
        <f t="shared" si="5"/>
        <v>1</v>
      </c>
    </row>
    <row r="10" spans="1:29" s="386" customFormat="1" ht="27">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491"/>
      <c r="Q10" s="1496" t="str">
        <f t="shared" si="6"/>
        <v>土地使用年限（年）</v>
      </c>
      <c r="R10" s="710" t="s">
        <v>17</v>
      </c>
      <c r="S10" s="711">
        <f t="shared" si="0"/>
        <v>104</v>
      </c>
      <c r="T10" s="710" t="s">
        <v>17</v>
      </c>
      <c r="U10" s="711">
        <f t="shared" si="1"/>
        <v>104</v>
      </c>
      <c r="V10" s="710" t="s">
        <v>17</v>
      </c>
      <c r="W10" s="711">
        <f t="shared" si="2"/>
        <v>104</v>
      </c>
      <c r="X10" s="712"/>
      <c r="Y10" s="3363"/>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2</v>
      </c>
      <c r="J11" s="132">
        <f>LOOKUP(I11,75:75,76:76)-LOOKUP(C11,75:75,76:76)+100</f>
        <v>98</v>
      </c>
      <c r="K11" s="629">
        <v>2</v>
      </c>
      <c r="L11" s="2919"/>
      <c r="M11" s="2914"/>
      <c r="N11" s="2914"/>
      <c r="O11" s="2972"/>
      <c r="P11" s="3491"/>
      <c r="Q11" s="1496" t="str">
        <f t="shared" si="6"/>
        <v>容积率</v>
      </c>
      <c r="R11" s="710" t="s">
        <v>17</v>
      </c>
      <c r="S11" s="711">
        <f t="shared" si="0"/>
        <v>98</v>
      </c>
      <c r="T11" s="710" t="s">
        <v>17</v>
      </c>
      <c r="U11" s="711">
        <f t="shared" si="1"/>
        <v>100</v>
      </c>
      <c r="V11" s="710" t="s">
        <v>17</v>
      </c>
      <c r="W11" s="711">
        <f t="shared" si="2"/>
        <v>98</v>
      </c>
      <c r="X11" s="712"/>
      <c r="Y11" s="3363"/>
      <c r="Z11" s="55" t="str">
        <f t="shared" si="7"/>
        <v>容积率</v>
      </c>
      <c r="AA11" s="713">
        <f t="shared" si="3"/>
        <v>1.0204081632653061</v>
      </c>
      <c r="AB11" s="713">
        <f t="shared" si="4"/>
        <v>1</v>
      </c>
      <c r="AC11" s="713">
        <f t="shared" si="5"/>
        <v>1.0204081632653061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1"/>
      <c r="Q12" s="1496">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1"/>
      <c r="Q13" s="1496">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1"/>
      <c r="Q14" s="1496">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493" t="s">
        <v>2321</v>
      </c>
      <c r="Q15" s="1505" t="str">
        <f t="shared" si="6"/>
        <v>产业集聚程度</v>
      </c>
      <c r="R15" s="714" t="s">
        <v>17</v>
      </c>
      <c r="S15" s="715">
        <f t="shared" si="0"/>
        <v>100</v>
      </c>
      <c r="T15" s="714" t="s">
        <v>17</v>
      </c>
      <c r="U15" s="715">
        <f t="shared" si="1"/>
        <v>100</v>
      </c>
      <c r="V15" s="714" t="s">
        <v>17</v>
      </c>
      <c r="W15" s="715">
        <f t="shared" si="2"/>
        <v>100</v>
      </c>
      <c r="X15" s="1508"/>
      <c r="Y15" s="3493"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494"/>
      <c r="Q16" s="1505"/>
      <c r="R16" s="714"/>
      <c r="S16" s="715"/>
      <c r="T16" s="714"/>
      <c r="U16" s="715"/>
      <c r="V16" s="714"/>
      <c r="W16" s="715"/>
      <c r="X16" s="1508"/>
      <c r="Y16" s="3494"/>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94"/>
      <c r="Q17" s="1505" t="str">
        <f>B17</f>
        <v>交通便捷度</v>
      </c>
      <c r="R17" s="714" t="s">
        <v>17</v>
      </c>
      <c r="S17" s="715">
        <f>F17</f>
        <v>100</v>
      </c>
      <c r="T17" s="714" t="s">
        <v>17</v>
      </c>
      <c r="U17" s="715">
        <f>H17</f>
        <v>100</v>
      </c>
      <c r="V17" s="714" t="s">
        <v>17</v>
      </c>
      <c r="W17" s="715">
        <f>J17</f>
        <v>100</v>
      </c>
      <c r="X17" s="1508"/>
      <c r="Y17" s="3494"/>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494"/>
      <c r="Q18" s="1505"/>
      <c r="R18" s="714"/>
      <c r="S18" s="715"/>
      <c r="T18" s="714"/>
      <c r="U18" s="715"/>
      <c r="V18" s="714"/>
      <c r="W18" s="715"/>
      <c r="X18" s="1508"/>
      <c r="Y18" s="3494"/>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94"/>
      <c r="Q19" s="1505" t="str">
        <f t="shared" ref="Q19:Q33" si="8">B19</f>
        <v>区域土地利用方向</v>
      </c>
      <c r="R19" s="714" t="s">
        <v>17</v>
      </c>
      <c r="S19" s="715">
        <f>F19</f>
        <v>100</v>
      </c>
      <c r="T19" s="714" t="s">
        <v>17</v>
      </c>
      <c r="U19" s="715">
        <f>H19</f>
        <v>100</v>
      </c>
      <c r="V19" s="714" t="s">
        <v>17</v>
      </c>
      <c r="W19" s="715">
        <f>J19</f>
        <v>100</v>
      </c>
      <c r="X19" s="1508"/>
      <c r="Y19" s="3494"/>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494"/>
      <c r="Q20" s="1505"/>
      <c r="R20" s="714"/>
      <c r="S20" s="715"/>
      <c r="T20" s="714"/>
      <c r="U20" s="715"/>
      <c r="V20" s="714"/>
      <c r="W20" s="715"/>
      <c r="X20" s="1508"/>
      <c r="Y20" s="3494"/>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494"/>
      <c r="Q21" s="1505" t="str">
        <f t="shared" si="8"/>
        <v>环境状况</v>
      </c>
      <c r="R21" s="714" t="s">
        <v>17</v>
      </c>
      <c r="S21" s="715">
        <f>F21</f>
        <v>100</v>
      </c>
      <c r="T21" s="714" t="s">
        <v>17</v>
      </c>
      <c r="U21" s="715">
        <f>H21</f>
        <v>100</v>
      </c>
      <c r="V21" s="714" t="s">
        <v>17</v>
      </c>
      <c r="W21" s="715">
        <f>J21</f>
        <v>100</v>
      </c>
      <c r="X21" s="1508"/>
      <c r="Y21" s="3494"/>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494"/>
      <c r="Q22" s="1505"/>
      <c r="R22" s="714"/>
      <c r="S22" s="715"/>
      <c r="T22" s="714"/>
      <c r="U22" s="715"/>
      <c r="V22" s="714"/>
      <c r="W22" s="715"/>
      <c r="X22" s="1508"/>
      <c r="Y22" s="3494"/>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494"/>
      <c r="Q23" s="1496" t="str">
        <f t="shared" si="8"/>
        <v>公共配套设施</v>
      </c>
      <c r="R23" s="710" t="s">
        <v>17</v>
      </c>
      <c r="S23" s="711">
        <f>F23</f>
        <v>100</v>
      </c>
      <c r="T23" s="710" t="s">
        <v>17</v>
      </c>
      <c r="U23" s="711">
        <f>H23</f>
        <v>100</v>
      </c>
      <c r="V23" s="710" t="s">
        <v>17</v>
      </c>
      <c r="W23" s="711">
        <f>J23</f>
        <v>100</v>
      </c>
      <c r="X23" s="712"/>
      <c r="Y23" s="3494"/>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494"/>
      <c r="Q24" s="1496"/>
      <c r="R24" s="710"/>
      <c r="S24" s="711"/>
      <c r="T24" s="710"/>
      <c r="U24" s="711"/>
      <c r="V24" s="710"/>
      <c r="W24" s="711"/>
      <c r="X24" s="712"/>
      <c r="Y24" s="3494"/>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94"/>
      <c r="Q25" s="1496" t="str">
        <f t="shared" ref="Q25" si="9">B25</f>
        <v>基础设施水平</v>
      </c>
      <c r="R25" s="710" t="s">
        <v>17</v>
      </c>
      <c r="S25" s="711">
        <f>F25</f>
        <v>100</v>
      </c>
      <c r="T25" s="710" t="s">
        <v>17</v>
      </c>
      <c r="U25" s="711">
        <f>H25</f>
        <v>100</v>
      </c>
      <c r="V25" s="710" t="s">
        <v>17</v>
      </c>
      <c r="W25" s="711">
        <f>J25</f>
        <v>100</v>
      </c>
      <c r="X25" s="712"/>
      <c r="Y25" s="3494"/>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494"/>
      <c r="Q26" s="1496"/>
      <c r="R26" s="710"/>
      <c r="S26" s="711"/>
      <c r="T26" s="710"/>
      <c r="U26" s="711"/>
      <c r="V26" s="710"/>
      <c r="W26" s="711"/>
      <c r="X26" s="712"/>
      <c r="Y26" s="349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4"/>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4"/>
      <c r="Q28" s="1505" t="str">
        <f t="shared" si="8"/>
        <v>毗邻道路的类型与等级</v>
      </c>
      <c r="R28" s="714" t="s">
        <v>17</v>
      </c>
      <c r="S28" s="715">
        <f t="shared" si="10"/>
        <v>100</v>
      </c>
      <c r="T28" s="714" t="s">
        <v>17</v>
      </c>
      <c r="U28" s="715">
        <f t="shared" si="11"/>
        <v>100</v>
      </c>
      <c r="V28" s="714" t="s">
        <v>17</v>
      </c>
      <c r="W28" s="715">
        <f t="shared" si="12"/>
        <v>100</v>
      </c>
      <c r="X28" s="1508"/>
      <c r="Y28" s="349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4"/>
      <c r="Q29" s="1505"/>
      <c r="R29" s="714"/>
      <c r="S29" s="715"/>
      <c r="T29" s="714"/>
      <c r="U29" s="715"/>
      <c r="V29" s="714"/>
      <c r="W29" s="715"/>
      <c r="X29" s="1508"/>
      <c r="Y29" s="3494"/>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4"/>
      <c r="Q30" s="1505" t="str">
        <f t="shared" si="8"/>
        <v>土地级别</v>
      </c>
      <c r="R30" s="714" t="s">
        <v>17</v>
      </c>
      <c r="S30" s="715">
        <f t="shared" si="10"/>
        <v>100</v>
      </c>
      <c r="T30" s="714" t="s">
        <v>17</v>
      </c>
      <c r="U30" s="715">
        <f t="shared" si="11"/>
        <v>100</v>
      </c>
      <c r="V30" s="714" t="s">
        <v>17</v>
      </c>
      <c r="W30" s="715">
        <f t="shared" si="12"/>
        <v>100</v>
      </c>
      <c r="X30" s="1508"/>
      <c r="Y30" s="3494"/>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4"/>
      <c r="Q31" s="1505">
        <f t="shared" si="8"/>
        <v>111</v>
      </c>
      <c r="R31" s="714" t="s">
        <v>17</v>
      </c>
      <c r="S31" s="715">
        <f t="shared" si="10"/>
        <v>100</v>
      </c>
      <c r="T31" s="714" t="s">
        <v>17</v>
      </c>
      <c r="U31" s="715">
        <f t="shared" si="11"/>
        <v>100</v>
      </c>
      <c r="V31" s="714" t="s">
        <v>17</v>
      </c>
      <c r="W31" s="715">
        <f t="shared" si="12"/>
        <v>100</v>
      </c>
      <c r="X31" s="1508"/>
      <c r="Y31" s="3494"/>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9" t="s">
        <v>2326</v>
      </c>
      <c r="Q32" s="1505">
        <f t="shared" si="8"/>
        <v>111</v>
      </c>
      <c r="R32" s="714" t="s">
        <v>17</v>
      </c>
      <c r="S32" s="715">
        <f t="shared" si="10"/>
        <v>100</v>
      </c>
      <c r="T32" s="714" t="s">
        <v>17</v>
      </c>
      <c r="U32" s="715">
        <f t="shared" si="11"/>
        <v>100</v>
      </c>
      <c r="V32" s="714" t="s">
        <v>17</v>
      </c>
      <c r="W32" s="715">
        <f t="shared" si="12"/>
        <v>100</v>
      </c>
      <c r="X32" s="1508"/>
      <c r="Y32" s="3498"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8"/>
      <c r="Q33" s="1505">
        <f t="shared" si="8"/>
        <v>111</v>
      </c>
      <c r="R33" s="717" t="s">
        <v>17</v>
      </c>
      <c r="S33" s="718">
        <f t="shared" si="10"/>
        <v>100</v>
      </c>
      <c r="T33" s="717" t="s">
        <v>17</v>
      </c>
      <c r="U33" s="718">
        <f t="shared" si="11"/>
        <v>100</v>
      </c>
      <c r="V33" s="717" t="s">
        <v>17</v>
      </c>
      <c r="W33" s="718">
        <f t="shared" si="12"/>
        <v>100</v>
      </c>
      <c r="X33" s="719"/>
      <c r="Y33" s="3498"/>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10730.4</v>
      </c>
      <c r="J34" s="426">
        <f>LOOKUP(I34,108:108,109:109)-LOOKUP(C34,108:108,109:109)+100</f>
        <v>96</v>
      </c>
      <c r="K34" s="570"/>
      <c r="L34" s="2920"/>
      <c r="M34" s="2914"/>
      <c r="N34" s="2914"/>
      <c r="O34" s="2972"/>
      <c r="P34" s="3498"/>
      <c r="Q34" s="1505" t="str">
        <f>B34</f>
        <v>宗地面积</v>
      </c>
      <c r="R34" s="714" t="s">
        <v>17</v>
      </c>
      <c r="S34" s="715">
        <f t="shared" si="10"/>
        <v>96</v>
      </c>
      <c r="T34" s="714" t="s">
        <v>17</v>
      </c>
      <c r="U34" s="715">
        <f t="shared" si="11"/>
        <v>97</v>
      </c>
      <c r="V34" s="714" t="s">
        <v>17</v>
      </c>
      <c r="W34" s="715">
        <f t="shared" si="12"/>
        <v>96</v>
      </c>
      <c r="X34" s="1508"/>
      <c r="Y34" s="3498"/>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498"/>
      <c r="Q35" s="1505" t="str">
        <f t="shared" ref="Q35:Q40" si="14">B35</f>
        <v>宗地形状</v>
      </c>
      <c r="R35" s="714" t="s">
        <v>17</v>
      </c>
      <c r="S35" s="715">
        <f t="shared" si="10"/>
        <v>100</v>
      </c>
      <c r="T35" s="714" t="s">
        <v>17</v>
      </c>
      <c r="U35" s="715">
        <f t="shared" si="11"/>
        <v>100</v>
      </c>
      <c r="V35" s="714" t="s">
        <v>17</v>
      </c>
      <c r="W35" s="715">
        <f t="shared" si="12"/>
        <v>100</v>
      </c>
      <c r="X35" s="1508"/>
      <c r="Y35" s="3498"/>
      <c r="Z35" s="1509" t="str">
        <f t="shared" si="13"/>
        <v>宗地形状</v>
      </c>
      <c r="AA35" s="1506">
        <f t="shared" si="3"/>
        <v>1</v>
      </c>
      <c r="AB35" s="1506">
        <f t="shared" si="4"/>
        <v>1</v>
      </c>
      <c r="AC35" s="1506">
        <f t="shared" si="5"/>
        <v>1</v>
      </c>
    </row>
    <row r="36" spans="1:31" s="113" customFormat="1" ht="15">
      <c r="A36" s="432"/>
      <c r="B36" s="381" t="s">
        <v>2515</v>
      </c>
      <c r="C36" s="2135" t="s">
        <v>3362</v>
      </c>
      <c r="D36" s="132">
        <v>100</v>
      </c>
      <c r="E36" s="2135" t="s">
        <v>3362</v>
      </c>
      <c r="F36" s="394">
        <f>SUMIF(112:112,E36,113:113)-SUMIF(112:112,C36,113:113)+100</f>
        <v>100</v>
      </c>
      <c r="G36" s="2135" t="s">
        <v>3362</v>
      </c>
      <c r="H36" s="394">
        <f>SUMIF(112:112,G36,113:113)-SUMIF(112:112,C36,113:113)+100</f>
        <v>100</v>
      </c>
      <c r="I36" s="2135" t="s">
        <v>3363</v>
      </c>
      <c r="J36" s="394">
        <f>SUMIF(112:112,I36,113:113)-SUMIF(112:112,C36,113:113)+100</f>
        <v>98</v>
      </c>
      <c r="K36" s="569">
        <v>2</v>
      </c>
      <c r="L36" s="2915"/>
      <c r="M36" s="2916"/>
      <c r="N36" s="2916"/>
      <c r="O36" s="2970"/>
      <c r="P36" s="3498"/>
      <c r="Q36" s="1505" t="str">
        <f t="shared" si="14"/>
        <v>宗地开发程度</v>
      </c>
      <c r="R36" s="710" t="s">
        <v>17</v>
      </c>
      <c r="S36" s="711">
        <f t="shared" si="10"/>
        <v>100</v>
      </c>
      <c r="T36" s="710" t="s">
        <v>17</v>
      </c>
      <c r="U36" s="711">
        <f t="shared" si="11"/>
        <v>100</v>
      </c>
      <c r="V36" s="710" t="s">
        <v>17</v>
      </c>
      <c r="W36" s="711">
        <f t="shared" si="12"/>
        <v>98</v>
      </c>
      <c r="X36" s="712"/>
      <c r="Y36" s="3498"/>
      <c r="Z36" s="55" t="str">
        <f t="shared" si="13"/>
        <v>宗地开发程度</v>
      </c>
      <c r="AA36" s="713">
        <f t="shared" si="3"/>
        <v>1</v>
      </c>
      <c r="AB36" s="713">
        <f t="shared" si="4"/>
        <v>1</v>
      </c>
      <c r="AC36" s="713">
        <f t="shared" si="5"/>
        <v>1.0204081632653061</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498" t="s">
        <v>2326</v>
      </c>
      <c r="Q37" s="1505" t="str">
        <f t="shared" si="14"/>
        <v>工程地质条件</v>
      </c>
      <c r="R37" s="714" t="s">
        <v>17</v>
      </c>
      <c r="S37" s="715">
        <f t="shared" si="10"/>
        <v>100</v>
      </c>
      <c r="T37" s="714" t="s">
        <v>17</v>
      </c>
      <c r="U37" s="715">
        <f t="shared" si="11"/>
        <v>100</v>
      </c>
      <c r="V37" s="714" t="s">
        <v>17</v>
      </c>
      <c r="W37" s="715">
        <f t="shared" si="12"/>
        <v>100</v>
      </c>
      <c r="X37" s="1508"/>
      <c r="Y37" s="3498"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8"/>
      <c r="Q38" s="1505">
        <f t="shared" si="14"/>
        <v>111</v>
      </c>
      <c r="R38" s="714" t="s">
        <v>17</v>
      </c>
      <c r="S38" s="715">
        <f t="shared" si="10"/>
        <v>100</v>
      </c>
      <c r="T38" s="714" t="s">
        <v>17</v>
      </c>
      <c r="U38" s="715">
        <f t="shared" si="11"/>
        <v>100</v>
      </c>
      <c r="V38" s="714" t="s">
        <v>17</v>
      </c>
      <c r="W38" s="715">
        <f t="shared" si="12"/>
        <v>100</v>
      </c>
      <c r="X38" s="1508"/>
      <c r="Y38" s="3498"/>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8"/>
      <c r="Q39" s="1505">
        <f t="shared" si="14"/>
        <v>111</v>
      </c>
      <c r="R39" s="714" t="s">
        <v>17</v>
      </c>
      <c r="S39" s="715">
        <f t="shared" si="10"/>
        <v>100</v>
      </c>
      <c r="T39" s="714" t="s">
        <v>17</v>
      </c>
      <c r="U39" s="715">
        <f t="shared" si="11"/>
        <v>100</v>
      </c>
      <c r="V39" s="714" t="s">
        <v>17</v>
      </c>
      <c r="W39" s="715">
        <f t="shared" si="12"/>
        <v>100</v>
      </c>
      <c r="X39" s="1508"/>
      <c r="Y39" s="3498"/>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8"/>
      <c r="Q40" s="1505">
        <f t="shared" si="14"/>
        <v>111</v>
      </c>
      <c r="R40" s="717" t="s">
        <v>17</v>
      </c>
      <c r="S40" s="718">
        <f t="shared" si="10"/>
        <v>100</v>
      </c>
      <c r="T40" s="717" t="s">
        <v>17</v>
      </c>
      <c r="U40" s="718">
        <f t="shared" si="11"/>
        <v>100</v>
      </c>
      <c r="V40" s="717" t="s">
        <v>17</v>
      </c>
      <c r="W40" s="718">
        <f t="shared" si="12"/>
        <v>100</v>
      </c>
      <c r="X40" s="719"/>
      <c r="Y40" s="3498"/>
      <c r="Z40" s="720">
        <f t="shared" si="13"/>
        <v>111</v>
      </c>
      <c r="AA40" s="1506">
        <f t="shared" si="3"/>
        <v>1</v>
      </c>
      <c r="AB40" s="1506">
        <f t="shared" si="4"/>
        <v>1</v>
      </c>
      <c r="AC40" s="1506">
        <f t="shared" si="5"/>
        <v>1</v>
      </c>
    </row>
    <row r="41" spans="1:31" ht="15">
      <c r="A41" s="438" t="s">
        <v>2481</v>
      </c>
      <c r="B41" s="2137" t="s">
        <v>3372</v>
      </c>
      <c r="C41" s="638" t="s">
        <v>1</v>
      </c>
      <c r="D41" s="440"/>
      <c r="E41" s="441">
        <f>案例2022!X55</f>
        <v>1103</v>
      </c>
      <c r="F41" s="442"/>
      <c r="G41" s="443">
        <f>案例2022!X56</f>
        <v>1103</v>
      </c>
      <c r="H41" s="444"/>
      <c r="I41" s="441">
        <f>案例2022!X55</f>
        <v>1103</v>
      </c>
      <c r="J41" s="444"/>
      <c r="K41" s="723"/>
      <c r="L41" s="2922"/>
      <c r="M41" s="2914"/>
      <c r="N41" s="2914"/>
      <c r="O41" s="2923"/>
      <c r="P41" s="3491" t="str">
        <f>A41</f>
        <v>成交单价</v>
      </c>
      <c r="Q41" s="3491"/>
      <c r="R41" s="3522">
        <f>E41</f>
        <v>1103</v>
      </c>
      <c r="S41" s="3522"/>
      <c r="T41" s="3522">
        <f>G41</f>
        <v>1103</v>
      </c>
      <c r="U41" s="3522"/>
      <c r="V41" s="3522">
        <f>I41</f>
        <v>1103</v>
      </c>
      <c r="W41" s="3522"/>
      <c r="X41" s="699"/>
      <c r="Y41" s="721"/>
      <c r="Z41" s="699"/>
      <c r="AA41" s="699"/>
      <c r="AB41" s="699"/>
      <c r="AC41" s="699"/>
    </row>
    <row r="42" spans="1:31" ht="15.75" thickBot="1">
      <c r="A42" s="445" t="s">
        <v>2430</v>
      </c>
      <c r="B42" s="639"/>
      <c r="C42" s="448">
        <f>R43</f>
        <v>1169</v>
      </c>
      <c r="D42" s="2507" t="s">
        <v>2819</v>
      </c>
      <c r="E42" s="448">
        <f>R42</f>
        <v>1162</v>
      </c>
      <c r="F42" s="2508"/>
      <c r="G42" s="447">
        <f>T42</f>
        <v>1139</v>
      </c>
      <c r="H42" s="2508"/>
      <c r="I42" s="448">
        <f>V42</f>
        <v>1205</v>
      </c>
      <c r="J42" s="2508"/>
      <c r="K42" s="2510">
        <f>F42+H42+J42</f>
        <v>0</v>
      </c>
      <c r="L42" s="2922"/>
      <c r="M42" s="2914"/>
      <c r="N42" s="2914"/>
      <c r="O42" s="2923"/>
      <c r="P42" s="3491" t="str">
        <f>A42</f>
        <v>比较价值（元/平方米）</v>
      </c>
      <c r="Q42" s="3491"/>
      <c r="R42" s="3551">
        <f>ROUND(PRODUCT(R41,AA7:AA40),0)</f>
        <v>1162</v>
      </c>
      <c r="S42" s="3551"/>
      <c r="T42" s="3551">
        <f>ROUND(PRODUCT(T41,AB7:AB40),0)</f>
        <v>1139</v>
      </c>
      <c r="U42" s="3551"/>
      <c r="V42" s="3551">
        <f>ROUND(PRODUCT(V41,AC7:AC40),0)</f>
        <v>1205</v>
      </c>
      <c r="W42" s="3551"/>
      <c r="X42" s="699"/>
      <c r="Y42" s="699"/>
      <c r="Z42" s="699"/>
      <c r="AA42" s="699"/>
      <c r="AB42" s="699"/>
      <c r="AC42" s="699"/>
    </row>
    <row r="43" spans="1:31" ht="15.75" thickBot="1">
      <c r="A43" s="449" t="s">
        <v>2431</v>
      </c>
      <c r="B43" s="450"/>
      <c r="C43" s="451">
        <f>R43</f>
        <v>1169</v>
      </c>
      <c r="D43" s="451"/>
      <c r="E43" s="451"/>
      <c r="F43" s="451"/>
      <c r="G43" s="451"/>
      <c r="H43" s="451"/>
      <c r="I43" s="451"/>
      <c r="J43" s="451"/>
      <c r="K43" s="724"/>
      <c r="L43" s="2922"/>
      <c r="M43" s="2914"/>
      <c r="N43" s="2914"/>
      <c r="O43" s="2923"/>
      <c r="P43" s="3488" t="str">
        <f>A43</f>
        <v>估价对象XX用房的比较价值（楼面单价，元/平方米）</v>
      </c>
      <c r="Q43" s="3489"/>
      <c r="R43" s="3552">
        <f>ROUND(IF(D42="简单平均",AVERAGE(R42:W42),R42*F42+T42*H42+V42*J42),0)</f>
        <v>1169</v>
      </c>
      <c r="S43" s="3552"/>
      <c r="T43" s="3552"/>
      <c r="U43" s="3552"/>
      <c r="V43" s="3552"/>
      <c r="W43" s="3552"/>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5.3490480507706328E-2</v>
      </c>
      <c r="F46" s="457" t="str">
        <f>IF(OR(E46&gt;=0.3,E46&lt;=-0.3),"超过30%","")</f>
        <v/>
      </c>
      <c r="G46" s="456">
        <f>IF(G41&lt;G42,G42/G41-1,G41/G42-1)</f>
        <v>3.2638259292837812E-2</v>
      </c>
      <c r="H46" s="457" t="str">
        <f>IF(OR(G46&gt;=0.3,G46&lt;=-0.3),"超过30%","")</f>
        <v/>
      </c>
      <c r="I46" s="456">
        <f>IF(I41&lt;I42,I42/I41-1,I41/I42-1)</f>
        <v>9.2475067996373506E-2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2.019315188762083E-2</v>
      </c>
      <c r="F47" s="457" t="str">
        <f>IF(OR(E47&gt;=0.2,E47&lt;=-0.2),"超过20%","")</f>
        <v/>
      </c>
      <c r="G47" s="456">
        <f>IF(G42&lt;I42,I42/G42-1,G42/I42-1)</f>
        <v>5.7945566286216055E-2</v>
      </c>
      <c r="H47" s="457" t="str">
        <f>IF(OR(G47&gt;=0.2,G47&lt;=-0.2),"超过20%","")</f>
        <v/>
      </c>
      <c r="I47" s="456">
        <f>IF(I42&lt;E42,E42/I42-1,I42/E42-1)</f>
        <v>3.7005163511187655E-2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06" t="s">
        <v>2525</v>
      </c>
      <c r="H50" s="3553"/>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1169</v>
      </c>
      <c r="C51" s="646">
        <v>1</v>
      </c>
      <c r="D51" s="1075">
        <v>1</v>
      </c>
      <c r="E51" s="646">
        <f>'数据-汇总表'!E8+'数据-汇总表'!E9</f>
        <v>125965.92</v>
      </c>
      <c r="F51" s="647">
        <f t="shared" ref="F51:F60" si="15">ROUND(B51*E51/10000,0)</f>
        <v>14725</v>
      </c>
      <c r="G51" s="3502"/>
      <c r="H51" s="3491"/>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54"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54"/>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54"/>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54"/>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73</v>
      </c>
      <c r="C57" s="176">
        <f t="shared" si="16"/>
        <v>0.25</v>
      </c>
      <c r="D57" s="1076">
        <v>0.25</v>
      </c>
      <c r="E57" s="223">
        <f>'数据-汇总表'!E12</f>
        <v>0</v>
      </c>
      <c r="F57" s="647">
        <f t="shared" si="15"/>
        <v>0</v>
      </c>
      <c r="G57" s="1023" t="s">
        <v>3701</v>
      </c>
      <c r="H57" s="1018" t="str">
        <f>IF(G57="商业",项目基本情况!B37,IF(G57="办公",项目基本情况!C37,IF(G57="住宅",项目基本情况!D37,项目基本情况!E37)))</f>
        <v>七级</v>
      </c>
      <c r="I57" s="879">
        <f>SUMIF(修正!A45:A56,H57,修正!G45:G56)</f>
        <v>0.25</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58</v>
      </c>
      <c r="C58" s="176">
        <f t="shared" si="16"/>
        <v>0.2</v>
      </c>
      <c r="D58" s="1076">
        <v>0.25</v>
      </c>
      <c r="E58" s="223">
        <f>'数据-汇总表'!E13</f>
        <v>34590.520000000004</v>
      </c>
      <c r="F58" s="647">
        <f t="shared" si="15"/>
        <v>201</v>
      </c>
      <c r="G58" s="1023" t="s">
        <v>3701</v>
      </c>
      <c r="H58" s="1018" t="str">
        <f>IF(G58="商业",项目基本情况!B37,IF(G58="办公",项目基本情况!C37,IF(G58="住宅",项目基本情况!D37,项目基本情况!E37)))</f>
        <v>七级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160556.44</v>
      </c>
      <c r="F61" s="653">
        <f>IF(B41="楼面地价",SUM(F51:F60),ROUND(C43*E61/10000,0))</f>
        <v>14926</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62"/>
      <c r="B4" s="3563"/>
      <c r="C4" s="3563"/>
      <c r="D4" s="3564"/>
      <c r="E4" s="3564"/>
      <c r="F4" s="3564"/>
      <c r="G4" s="3564"/>
      <c r="H4" s="3564"/>
      <c r="I4" s="3564"/>
      <c r="J4" s="3565"/>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66"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67"/>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59" t="s">
        <v>2600</v>
      </c>
      <c r="X8" s="3560"/>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67"/>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1"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7"/>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7"/>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1"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5" thickBot="1">
      <c r="A12" s="3566"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1"/>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8"/>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61"/>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68"/>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9"/>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6" t="s">
        <v>2643</v>
      </c>
      <c r="B16" s="2178" t="s">
        <v>2644</v>
      </c>
      <c r="C16" s="2340">
        <f>ROUND(IF(F17="与级别开发程度一致",0,(G17-E17)/C17),0)</f>
        <v>-75</v>
      </c>
      <c r="D16" s="3582" t="s">
        <v>2648</v>
      </c>
      <c r="E16" s="3583"/>
      <c r="F16" s="3582" t="s">
        <v>2645</v>
      </c>
      <c r="G16" s="3583"/>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70"/>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9"/>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8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0"/>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8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0"/>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8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1"/>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8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71" t="s">
        <v>2730</v>
      </c>
      <c r="B90" s="3571"/>
      <c r="C90" s="3571"/>
      <c r="D90" s="3571"/>
      <c r="E90" s="3571"/>
      <c r="F90" s="3571"/>
      <c r="G90" s="3571"/>
      <c r="H90" s="3571"/>
      <c r="I90" s="3571"/>
      <c r="J90" s="3571"/>
      <c r="K90" s="2312"/>
      <c r="L90" s="2312"/>
      <c r="M90" s="2312"/>
      <c r="N90" s="2312"/>
    </row>
    <row r="91" spans="1:37">
      <c r="A91" s="3573" t="s">
        <v>2731</v>
      </c>
      <c r="B91" s="3573" t="s">
        <v>2732</v>
      </c>
      <c r="C91" s="2266" t="s">
        <v>2733</v>
      </c>
      <c r="D91" s="2267"/>
      <c r="E91" s="2267"/>
      <c r="F91" s="2267"/>
      <c r="G91" s="2267"/>
      <c r="H91" s="2267"/>
      <c r="I91" s="2267"/>
      <c r="J91" s="2313"/>
      <c r="K91" s="2314"/>
      <c r="L91" s="2314"/>
      <c r="M91" s="2314"/>
      <c r="N91" s="2314"/>
    </row>
    <row r="92" spans="1:37">
      <c r="A92" s="3573"/>
      <c r="B92" s="357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74"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5"/>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4"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75"/>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75"/>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75"/>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75"/>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75"/>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75"/>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75"/>
      <c r="B108" s="3577"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6"/>
      <c r="B109" s="3578"/>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72" t="s">
        <v>2738</v>
      </c>
      <c r="B110" s="3572"/>
      <c r="C110" s="3572"/>
      <c r="D110" s="3572"/>
      <c r="E110" s="3572"/>
      <c r="F110" s="3572"/>
      <c r="G110" s="3572"/>
      <c r="H110" s="3572"/>
      <c r="I110" s="3572"/>
      <c r="J110" s="3572"/>
      <c r="K110" s="2321"/>
      <c r="L110" s="2321"/>
      <c r="M110" s="2321"/>
      <c r="N110" s="2321"/>
    </row>
    <row r="112" spans="1:14" ht="13.5" thickBot="1"/>
    <row r="113" spans="1:13" ht="25.5"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5" t="s">
        <v>183</v>
      </c>
      <c r="B18" s="821" t="s">
        <v>560</v>
      </c>
      <c r="C18" s="822" t="s">
        <v>561</v>
      </c>
      <c r="D18" s="823"/>
      <c r="E18" s="821">
        <v>1</v>
      </c>
      <c r="F18" s="824" t="s">
        <v>562</v>
      </c>
      <c r="G18" s="825"/>
      <c r="H18" s="817"/>
      <c r="I18" s="817"/>
    </row>
    <row r="19" spans="1:9" s="826" customFormat="1" ht="19.5" customHeight="1">
      <c r="A19" s="3585"/>
      <c r="B19" s="3585" t="s">
        <v>563</v>
      </c>
      <c r="C19" s="822" t="s">
        <v>564</v>
      </c>
      <c r="D19" s="823"/>
      <c r="E19" s="821">
        <v>0.9</v>
      </c>
      <c r="F19" s="824" t="s">
        <v>565</v>
      </c>
      <c r="G19" s="825"/>
      <c r="H19" s="817"/>
      <c r="I19" s="817"/>
    </row>
    <row r="20" spans="1:9" s="826" customFormat="1" ht="19.5" customHeight="1">
      <c r="A20" s="3585"/>
      <c r="B20" s="3585"/>
      <c r="C20" s="822" t="s">
        <v>566</v>
      </c>
      <c r="D20" s="823"/>
      <c r="E20" s="821">
        <v>1.1000000000000001</v>
      </c>
      <c r="F20" s="824" t="s">
        <v>567</v>
      </c>
      <c r="G20" s="825"/>
      <c r="H20" s="817"/>
      <c r="I20" s="817"/>
    </row>
    <row r="21" spans="1:9" s="826" customFormat="1" ht="19.5" customHeight="1">
      <c r="A21" s="3585"/>
      <c r="B21" s="3585"/>
      <c r="C21" s="822" t="s">
        <v>568</v>
      </c>
      <c r="D21" s="823"/>
      <c r="E21" s="821">
        <v>0.8</v>
      </c>
      <c r="F21" s="824" t="s">
        <v>569</v>
      </c>
      <c r="G21" s="825"/>
      <c r="H21" s="817"/>
      <c r="I21" s="817"/>
    </row>
    <row r="22" spans="1:9" s="826" customFormat="1" ht="19.5" customHeight="1">
      <c r="A22" s="3585"/>
      <c r="B22" s="3585"/>
      <c r="C22" s="822" t="s">
        <v>570</v>
      </c>
      <c r="D22" s="823"/>
      <c r="E22" s="821">
        <v>0.5</v>
      </c>
      <c r="F22" s="824"/>
      <c r="G22" s="825"/>
      <c r="H22" s="817"/>
      <c r="I22" s="817"/>
    </row>
    <row r="23" spans="1:9" s="826" customFormat="1" ht="19.5" customHeight="1">
      <c r="A23" s="3585" t="s">
        <v>184</v>
      </c>
      <c r="B23" s="821" t="s">
        <v>560</v>
      </c>
      <c r="C23" s="822" t="s">
        <v>571</v>
      </c>
      <c r="D23" s="823"/>
      <c r="E23" s="821">
        <v>1</v>
      </c>
      <c r="F23" s="824" t="s">
        <v>572</v>
      </c>
      <c r="G23" s="825"/>
      <c r="H23" s="817"/>
      <c r="I23" s="817"/>
    </row>
    <row r="24" spans="1:9" s="826" customFormat="1" ht="19.5" customHeight="1">
      <c r="A24" s="3585"/>
      <c r="B24" s="3585" t="s">
        <v>563</v>
      </c>
      <c r="C24" s="822" t="s">
        <v>573</v>
      </c>
      <c r="D24" s="823"/>
      <c r="E24" s="821">
        <v>0.5</v>
      </c>
      <c r="F24" s="824"/>
      <c r="G24" s="825"/>
      <c r="H24" s="817"/>
      <c r="I24" s="817"/>
    </row>
    <row r="25" spans="1:9" s="826" customFormat="1" ht="19.5" customHeight="1">
      <c r="A25" s="3585"/>
      <c r="B25" s="3585"/>
      <c r="C25" s="822" t="s">
        <v>574</v>
      </c>
      <c r="D25" s="823"/>
      <c r="E25" s="821">
        <v>1.1000000000000001</v>
      </c>
      <c r="F25" s="824"/>
      <c r="G25" s="825"/>
      <c r="H25" s="817"/>
      <c r="I25" s="817"/>
    </row>
    <row r="26" spans="1:9" s="826" customFormat="1" ht="19.5" customHeight="1">
      <c r="A26" s="3585"/>
      <c r="B26" s="3585"/>
      <c r="C26" s="822" t="s">
        <v>575</v>
      </c>
      <c r="D26" s="823"/>
      <c r="E26" s="821">
        <v>1.1000000000000001</v>
      </c>
      <c r="F26" s="824"/>
      <c r="G26" s="825"/>
      <c r="H26" s="817"/>
      <c r="I26" s="817"/>
    </row>
    <row r="27" spans="1:9" s="826" customFormat="1" ht="19.5" customHeight="1">
      <c r="A27" s="3585"/>
      <c r="B27" s="3585"/>
      <c r="C27" s="822" t="s">
        <v>576</v>
      </c>
      <c r="D27" s="823"/>
      <c r="E27" s="821">
        <v>0.9</v>
      </c>
      <c r="F27" s="824" t="s">
        <v>577</v>
      </c>
      <c r="G27" s="825"/>
      <c r="H27" s="817"/>
      <c r="I27" s="817"/>
    </row>
    <row r="28" spans="1:9" s="826" customFormat="1" ht="19.5" customHeight="1">
      <c r="A28" s="3585"/>
      <c r="B28" s="3585"/>
      <c r="C28" s="822" t="s">
        <v>578</v>
      </c>
      <c r="D28" s="823"/>
      <c r="E28" s="821">
        <v>0.9</v>
      </c>
      <c r="F28" s="824" t="s">
        <v>579</v>
      </c>
      <c r="G28" s="825"/>
      <c r="H28" s="817"/>
      <c r="I28" s="817"/>
    </row>
    <row r="29" spans="1:9" s="826" customFormat="1" ht="19.5" customHeight="1">
      <c r="A29" s="3585"/>
      <c r="B29" s="3585"/>
      <c r="C29" s="822" t="s">
        <v>580</v>
      </c>
      <c r="D29" s="823"/>
      <c r="E29" s="821">
        <v>0.9</v>
      </c>
      <c r="F29" s="824" t="s">
        <v>581</v>
      </c>
      <c r="G29" s="825"/>
      <c r="H29" s="817"/>
      <c r="I29" s="817"/>
    </row>
    <row r="30" spans="1:9" s="826" customFormat="1" ht="19.5" customHeight="1">
      <c r="A30" s="3585"/>
      <c r="B30" s="3585"/>
      <c r="C30" s="822" t="s">
        <v>582</v>
      </c>
      <c r="D30" s="823"/>
      <c r="E30" s="821">
        <v>0.9</v>
      </c>
      <c r="F30" s="824" t="s">
        <v>583</v>
      </c>
      <c r="G30" s="825"/>
      <c r="H30" s="817"/>
      <c r="I30" s="817"/>
    </row>
    <row r="31" spans="1:9" s="826" customFormat="1" ht="19.5" customHeight="1">
      <c r="A31" s="3585"/>
      <c r="B31" s="3585"/>
      <c r="C31" s="822" t="s">
        <v>584</v>
      </c>
      <c r="D31" s="823"/>
      <c r="E31" s="821">
        <v>0.8</v>
      </c>
      <c r="F31" s="824" t="s">
        <v>585</v>
      </c>
      <c r="G31" s="825"/>
      <c r="H31" s="817"/>
      <c r="I31" s="817"/>
    </row>
    <row r="32" spans="1:9" s="826" customFormat="1" ht="19.5" customHeight="1">
      <c r="A32" s="3585"/>
      <c r="B32" s="3585"/>
      <c r="C32" s="822" t="s">
        <v>586</v>
      </c>
      <c r="D32" s="823"/>
      <c r="E32" s="821">
        <v>0.8</v>
      </c>
      <c r="F32" s="824" t="s">
        <v>587</v>
      </c>
      <c r="G32" s="825"/>
      <c r="H32" s="817"/>
      <c r="I32" s="817"/>
    </row>
    <row r="33" spans="1:9" s="826" customFormat="1" ht="19.5" customHeight="1">
      <c r="A33" s="3585" t="s">
        <v>185</v>
      </c>
      <c r="B33" s="821" t="s">
        <v>560</v>
      </c>
      <c r="C33" s="822" t="s">
        <v>588</v>
      </c>
      <c r="D33" s="823"/>
      <c r="E33" s="821">
        <v>1</v>
      </c>
      <c r="F33" s="824" t="s">
        <v>589</v>
      </c>
      <c r="G33" s="825"/>
      <c r="H33" s="817"/>
      <c r="I33" s="817"/>
    </row>
    <row r="34" spans="1:9" s="826" customFormat="1" ht="19.5" customHeight="1">
      <c r="A34" s="3585"/>
      <c r="B34" s="821" t="s">
        <v>563</v>
      </c>
      <c r="C34" s="822" t="s">
        <v>590</v>
      </c>
      <c r="D34" s="823"/>
      <c r="E34" s="821">
        <v>1.5</v>
      </c>
      <c r="F34" s="824" t="s">
        <v>591</v>
      </c>
      <c r="G34" s="825"/>
      <c r="H34" s="817"/>
      <c r="I34" s="817"/>
    </row>
    <row r="35" spans="1:9" s="826" customFormat="1" ht="19.5" customHeight="1">
      <c r="A35" s="3585" t="s">
        <v>186</v>
      </c>
      <c r="B35" s="821" t="s">
        <v>560</v>
      </c>
      <c r="C35" s="822" t="s">
        <v>592</v>
      </c>
      <c r="D35" s="823"/>
      <c r="E35" s="821">
        <v>1</v>
      </c>
      <c r="F35" s="824" t="s">
        <v>593</v>
      </c>
      <c r="G35" s="825"/>
      <c r="H35" s="817"/>
      <c r="I35" s="817"/>
    </row>
    <row r="36" spans="1:9" s="826" customFormat="1" ht="19.5" customHeight="1">
      <c r="A36" s="3585"/>
      <c r="B36" s="3585" t="s">
        <v>563</v>
      </c>
      <c r="C36" s="822" t="s">
        <v>594</v>
      </c>
      <c r="D36" s="823"/>
      <c r="E36" s="821">
        <v>1</v>
      </c>
      <c r="F36" s="824" t="s">
        <v>595</v>
      </c>
      <c r="G36" s="825"/>
      <c r="H36" s="817"/>
      <c r="I36" s="817"/>
    </row>
    <row r="37" spans="1:9" s="826" customFormat="1" ht="19.5" customHeight="1">
      <c r="A37" s="3585"/>
      <c r="B37" s="3585"/>
      <c r="C37" s="822" t="s">
        <v>596</v>
      </c>
      <c r="D37" s="823"/>
      <c r="E37" s="821">
        <v>1.5</v>
      </c>
      <c r="F37" s="824" t="s">
        <v>597</v>
      </c>
      <c r="G37" s="825"/>
      <c r="H37" s="817"/>
      <c r="I37" s="817"/>
    </row>
    <row r="38" spans="1:9" s="826" customFormat="1" ht="19.5" customHeight="1">
      <c r="A38" s="3585"/>
      <c r="B38" s="3585"/>
      <c r="C38" s="822" t="s">
        <v>598</v>
      </c>
      <c r="D38" s="823"/>
      <c r="E38" s="821">
        <v>1</v>
      </c>
      <c r="F38" s="824" t="s">
        <v>599</v>
      </c>
      <c r="G38" s="825"/>
      <c r="H38" s="817"/>
      <c r="I38" s="817"/>
    </row>
    <row r="39" spans="1:9" s="826" customFormat="1" ht="19.5" customHeight="1">
      <c r="A39" s="3585"/>
      <c r="B39" s="358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5" t="s">
        <v>614</v>
      </c>
      <c r="C61" s="757" t="s">
        <v>615</v>
      </c>
      <c r="D61" s="757" t="s">
        <v>616</v>
      </c>
      <c r="E61" s="834">
        <v>0.5</v>
      </c>
      <c r="F61" s="821">
        <v>80</v>
      </c>
    </row>
    <row r="62" spans="1:8" s="817" customFormat="1" ht="24">
      <c r="A62" s="821">
        <v>2</v>
      </c>
      <c r="B62" s="3585"/>
      <c r="C62" s="757" t="s">
        <v>617</v>
      </c>
      <c r="D62" s="757" t="s">
        <v>618</v>
      </c>
      <c r="E62" s="834">
        <v>0.5</v>
      </c>
      <c r="F62" s="821">
        <v>80</v>
      </c>
    </row>
    <row r="63" spans="1:8" s="817" customFormat="1" ht="36">
      <c r="A63" s="821">
        <v>3</v>
      </c>
      <c r="B63" s="3585"/>
      <c r="C63" s="757" t="s">
        <v>619</v>
      </c>
      <c r="D63" s="757" t="s">
        <v>620</v>
      </c>
      <c r="E63" s="834">
        <v>0.5</v>
      </c>
      <c r="F63" s="821">
        <v>80</v>
      </c>
    </row>
    <row r="64" spans="1:8" s="817" customFormat="1" ht="36">
      <c r="A64" s="821">
        <v>4</v>
      </c>
      <c r="B64" s="3585"/>
      <c r="C64" s="757" t="s">
        <v>621</v>
      </c>
      <c r="D64" s="757" t="s">
        <v>622</v>
      </c>
      <c r="E64" s="834">
        <v>0.4</v>
      </c>
      <c r="F64" s="821">
        <v>60</v>
      </c>
    </row>
    <row r="65" spans="1:6" s="817" customFormat="1" ht="36">
      <c r="A65" s="821">
        <v>5</v>
      </c>
      <c r="B65" s="3585"/>
      <c r="C65" s="757" t="s">
        <v>623</v>
      </c>
      <c r="D65" s="757" t="s">
        <v>624</v>
      </c>
      <c r="E65" s="834">
        <v>0.2</v>
      </c>
      <c r="F65" s="821">
        <v>30</v>
      </c>
    </row>
    <row r="66" spans="1:6" s="817" customFormat="1" ht="36">
      <c r="A66" s="821">
        <v>6</v>
      </c>
      <c r="B66" s="3585"/>
      <c r="C66" s="757" t="s">
        <v>625</v>
      </c>
      <c r="D66" s="757" t="s">
        <v>626</v>
      </c>
      <c r="E66" s="834">
        <v>0.3</v>
      </c>
      <c r="F66" s="821">
        <v>50</v>
      </c>
    </row>
    <row r="67" spans="1:6" s="817" customFormat="1" ht="36">
      <c r="A67" s="821">
        <v>7</v>
      </c>
      <c r="B67" s="3585"/>
      <c r="C67" s="757" t="s">
        <v>627</v>
      </c>
      <c r="D67" s="757" t="s">
        <v>628</v>
      </c>
      <c r="E67" s="834">
        <v>0.2</v>
      </c>
      <c r="F67" s="821">
        <v>30</v>
      </c>
    </row>
    <row r="68" spans="1:6" s="817" customFormat="1" ht="36">
      <c r="A68" s="821">
        <v>8</v>
      </c>
      <c r="B68" s="3585"/>
      <c r="C68" s="757" t="s">
        <v>629</v>
      </c>
      <c r="D68" s="757" t="s">
        <v>630</v>
      </c>
      <c r="E68" s="834">
        <v>0.2</v>
      </c>
      <c r="F68" s="821">
        <v>30</v>
      </c>
    </row>
    <row r="69" spans="1:6" s="817" customFormat="1" ht="36">
      <c r="A69" s="821">
        <v>9</v>
      </c>
      <c r="B69" s="3585"/>
      <c r="C69" s="757" t="s">
        <v>631</v>
      </c>
      <c r="D69" s="757" t="s">
        <v>632</v>
      </c>
      <c r="E69" s="834">
        <v>0.2</v>
      </c>
      <c r="F69" s="821">
        <v>30</v>
      </c>
    </row>
    <row r="70" spans="1:6" s="817" customFormat="1" ht="48">
      <c r="A70" s="821">
        <v>10</v>
      </c>
      <c r="B70" s="3585"/>
      <c r="C70" s="757" t="s">
        <v>633</v>
      </c>
      <c r="D70" s="757" t="s">
        <v>634</v>
      </c>
      <c r="E70" s="834">
        <v>0.2</v>
      </c>
      <c r="F70" s="821">
        <v>30</v>
      </c>
    </row>
    <row r="71" spans="1:6" s="817" customFormat="1" ht="48">
      <c r="A71" s="821">
        <v>11</v>
      </c>
      <c r="B71" s="3585"/>
      <c r="C71" s="757" t="s">
        <v>635</v>
      </c>
      <c r="D71" s="757" t="s">
        <v>636</v>
      </c>
      <c r="E71" s="834">
        <v>0.2</v>
      </c>
      <c r="F71" s="821">
        <v>30</v>
      </c>
    </row>
    <row r="72" spans="1:6" s="817" customFormat="1" ht="36">
      <c r="A72" s="821">
        <v>12</v>
      </c>
      <c r="B72" s="3585"/>
      <c r="C72" s="757" t="s">
        <v>637</v>
      </c>
      <c r="D72" s="757" t="s">
        <v>638</v>
      </c>
      <c r="E72" s="834">
        <v>0.5</v>
      </c>
      <c r="F72" s="821">
        <v>80</v>
      </c>
    </row>
    <row r="73" spans="1:6" s="817" customFormat="1" ht="24">
      <c r="A73" s="821">
        <v>13</v>
      </c>
      <c r="B73" s="3585"/>
      <c r="C73" s="757" t="s">
        <v>639</v>
      </c>
      <c r="D73" s="757" t="s">
        <v>640</v>
      </c>
      <c r="E73" s="834">
        <v>0.4</v>
      </c>
      <c r="F73" s="821">
        <v>60</v>
      </c>
    </row>
    <row r="74" spans="1:6" s="817" customFormat="1" ht="24">
      <c r="A74" s="821">
        <v>14</v>
      </c>
      <c r="B74" s="3585"/>
      <c r="C74" s="757" t="s">
        <v>641</v>
      </c>
      <c r="D74" s="757" t="s">
        <v>642</v>
      </c>
      <c r="E74" s="834">
        <v>0.2</v>
      </c>
      <c r="F74" s="821">
        <v>30</v>
      </c>
    </row>
    <row r="75" spans="1:6" s="817" customFormat="1" ht="24">
      <c r="A75" s="821">
        <v>15</v>
      </c>
      <c r="B75" s="3585"/>
      <c r="C75" s="757" t="s">
        <v>643</v>
      </c>
      <c r="D75" s="757" t="s">
        <v>644</v>
      </c>
      <c r="E75" s="834">
        <v>0.2</v>
      </c>
      <c r="F75" s="821">
        <v>30</v>
      </c>
    </row>
    <row r="76" spans="1:6" s="817" customFormat="1" ht="24">
      <c r="A76" s="821">
        <v>16</v>
      </c>
      <c r="B76" s="3585" t="s">
        <v>645</v>
      </c>
      <c r="C76" s="757" t="s">
        <v>646</v>
      </c>
      <c r="D76" s="757" t="s">
        <v>647</v>
      </c>
      <c r="E76" s="834">
        <v>0.5</v>
      </c>
      <c r="F76" s="821">
        <v>80</v>
      </c>
    </row>
    <row r="77" spans="1:6" s="817" customFormat="1" ht="24">
      <c r="A77" s="821">
        <v>17</v>
      </c>
      <c r="B77" s="3585"/>
      <c r="C77" s="757" t="s">
        <v>648</v>
      </c>
      <c r="D77" s="757" t="s">
        <v>649</v>
      </c>
      <c r="E77" s="834">
        <v>0.5</v>
      </c>
      <c r="F77" s="821">
        <v>80</v>
      </c>
    </row>
    <row r="78" spans="1:6" s="817" customFormat="1" ht="24">
      <c r="A78" s="821">
        <v>18</v>
      </c>
      <c r="B78" s="3585"/>
      <c r="C78" s="757" t="s">
        <v>650</v>
      </c>
      <c r="D78" s="757" t="s">
        <v>651</v>
      </c>
      <c r="E78" s="834">
        <v>0.2</v>
      </c>
      <c r="F78" s="821">
        <v>30</v>
      </c>
    </row>
    <row r="79" spans="1:6" s="817" customFormat="1" ht="24">
      <c r="A79" s="821">
        <v>19</v>
      </c>
      <c r="B79" s="3585"/>
      <c r="C79" s="757" t="s">
        <v>652</v>
      </c>
      <c r="D79" s="757" t="s">
        <v>653</v>
      </c>
      <c r="E79" s="834">
        <v>0.5</v>
      </c>
      <c r="F79" s="821">
        <v>80</v>
      </c>
    </row>
    <row r="80" spans="1:6" s="817" customFormat="1" ht="36">
      <c r="A80" s="821">
        <v>20</v>
      </c>
      <c r="B80" s="3585"/>
      <c r="C80" s="757" t="s">
        <v>654</v>
      </c>
      <c r="D80" s="757" t="s">
        <v>655</v>
      </c>
      <c r="E80" s="834">
        <v>0.2</v>
      </c>
      <c r="F80" s="821">
        <v>30</v>
      </c>
    </row>
    <row r="81" spans="1:6" s="817" customFormat="1" ht="36">
      <c r="A81" s="821">
        <v>21</v>
      </c>
      <c r="B81" s="3585"/>
      <c r="C81" s="757" t="s">
        <v>656</v>
      </c>
      <c r="D81" s="757" t="s">
        <v>657</v>
      </c>
      <c r="E81" s="834">
        <v>0.2</v>
      </c>
      <c r="F81" s="821">
        <v>30</v>
      </c>
    </row>
    <row r="82" spans="1:6" s="817" customFormat="1" ht="48">
      <c r="A82" s="821">
        <v>22</v>
      </c>
      <c r="B82" s="3585"/>
      <c r="C82" s="757" t="s">
        <v>658</v>
      </c>
      <c r="D82" s="757" t="s">
        <v>659</v>
      </c>
      <c r="E82" s="834">
        <v>0.2</v>
      </c>
      <c r="F82" s="821">
        <v>30</v>
      </c>
    </row>
    <row r="83" spans="1:6" s="817" customFormat="1" ht="48">
      <c r="A83" s="821">
        <v>23</v>
      </c>
      <c r="B83" s="3585"/>
      <c r="C83" s="757" t="s">
        <v>660</v>
      </c>
      <c r="D83" s="757" t="s">
        <v>661</v>
      </c>
      <c r="E83" s="834">
        <v>0.2</v>
      </c>
      <c r="F83" s="821">
        <v>30</v>
      </c>
    </row>
    <row r="84" spans="1:6" s="817" customFormat="1" ht="36">
      <c r="A84" s="821">
        <v>24</v>
      </c>
      <c r="B84" s="3585"/>
      <c r="C84" s="757" t="s">
        <v>662</v>
      </c>
      <c r="D84" s="757" t="s">
        <v>663</v>
      </c>
      <c r="E84" s="834">
        <v>0.2</v>
      </c>
      <c r="F84" s="821">
        <v>30</v>
      </c>
    </row>
    <row r="85" spans="1:6" s="817" customFormat="1" ht="36">
      <c r="A85" s="821">
        <v>25</v>
      </c>
      <c r="B85" s="3585"/>
      <c r="C85" s="757" t="s">
        <v>664</v>
      </c>
      <c r="D85" s="757" t="s">
        <v>665</v>
      </c>
      <c r="E85" s="834">
        <v>0.5</v>
      </c>
      <c r="F85" s="821">
        <v>80</v>
      </c>
    </row>
    <row r="86" spans="1:6" s="817" customFormat="1" ht="36">
      <c r="A86" s="821">
        <v>26</v>
      </c>
      <c r="B86" s="3585"/>
      <c r="C86" s="757" t="s">
        <v>666</v>
      </c>
      <c r="D86" s="757" t="s">
        <v>667</v>
      </c>
      <c r="E86" s="834">
        <v>0.2</v>
      </c>
      <c r="F86" s="821">
        <v>30</v>
      </c>
    </row>
    <row r="87" spans="1:6" s="817" customFormat="1" ht="36">
      <c r="A87" s="821">
        <v>27</v>
      </c>
      <c r="B87" s="3585"/>
      <c r="C87" s="757" t="s">
        <v>668</v>
      </c>
      <c r="D87" s="757" t="s">
        <v>669</v>
      </c>
      <c r="E87" s="834">
        <v>0.2</v>
      </c>
      <c r="F87" s="821">
        <v>30</v>
      </c>
    </row>
    <row r="88" spans="1:6" s="817" customFormat="1" ht="36">
      <c r="A88" s="821">
        <v>28</v>
      </c>
      <c r="B88" s="3585"/>
      <c r="C88" s="757" t="s">
        <v>670</v>
      </c>
      <c r="D88" s="757" t="s">
        <v>671</v>
      </c>
      <c r="E88" s="834">
        <v>0.2</v>
      </c>
      <c r="F88" s="821">
        <v>30</v>
      </c>
    </row>
    <row r="89" spans="1:6" s="817" customFormat="1" ht="24">
      <c r="A89" s="821">
        <v>29</v>
      </c>
      <c r="B89" s="3585"/>
      <c r="C89" s="757" t="s">
        <v>672</v>
      </c>
      <c r="D89" s="757" t="s">
        <v>673</v>
      </c>
      <c r="E89" s="834">
        <v>0.2</v>
      </c>
      <c r="F89" s="821">
        <v>30</v>
      </c>
    </row>
    <row r="90" spans="1:6" s="817" customFormat="1" ht="24">
      <c r="A90" s="821">
        <v>30</v>
      </c>
      <c r="B90" s="3585"/>
      <c r="C90" s="757" t="s">
        <v>674</v>
      </c>
      <c r="D90" s="757" t="s">
        <v>675</v>
      </c>
      <c r="E90" s="834">
        <v>0.2</v>
      </c>
      <c r="F90" s="821">
        <v>30</v>
      </c>
    </row>
    <row r="91" spans="1:6" s="817" customFormat="1" ht="36">
      <c r="A91" s="821">
        <v>31</v>
      </c>
      <c r="B91" s="3585"/>
      <c r="C91" s="757" t="s">
        <v>676</v>
      </c>
      <c r="D91" s="757" t="s">
        <v>677</v>
      </c>
      <c r="E91" s="834">
        <v>0.2</v>
      </c>
      <c r="F91" s="821">
        <v>30</v>
      </c>
    </row>
    <row r="92" spans="1:6" s="817" customFormat="1" ht="24">
      <c r="A92" s="821">
        <v>32</v>
      </c>
      <c r="B92" s="3585" t="s">
        <v>678</v>
      </c>
      <c r="C92" s="821" t="s">
        <v>679</v>
      </c>
      <c r="D92" s="757" t="s">
        <v>680</v>
      </c>
      <c r="E92" s="834">
        <v>0.2</v>
      </c>
      <c r="F92" s="821">
        <v>30</v>
      </c>
    </row>
    <row r="93" spans="1:6" s="817" customFormat="1" ht="36">
      <c r="A93" s="821">
        <v>33</v>
      </c>
      <c r="B93" s="3585"/>
      <c r="C93" s="821" t="s">
        <v>681</v>
      </c>
      <c r="D93" s="757" t="s">
        <v>682</v>
      </c>
      <c r="E93" s="834">
        <v>0.2</v>
      </c>
      <c r="F93" s="821">
        <v>30</v>
      </c>
    </row>
    <row r="94" spans="1:6" s="817" customFormat="1" ht="48">
      <c r="A94" s="821">
        <v>34</v>
      </c>
      <c r="B94" s="3585"/>
      <c r="C94" s="821" t="s">
        <v>683</v>
      </c>
      <c r="D94" s="757" t="s">
        <v>684</v>
      </c>
      <c r="E94" s="834">
        <v>0.2</v>
      </c>
      <c r="F94" s="821">
        <v>30</v>
      </c>
    </row>
    <row r="95" spans="1:6" s="817" customFormat="1" ht="36">
      <c r="A95" s="821">
        <v>35</v>
      </c>
      <c r="B95" s="3585"/>
      <c r="C95" s="821" t="s">
        <v>685</v>
      </c>
      <c r="D95" s="757" t="s">
        <v>686</v>
      </c>
      <c r="E95" s="834">
        <v>0.2</v>
      </c>
      <c r="F95" s="821">
        <v>30</v>
      </c>
    </row>
    <row r="96" spans="1:6" s="817" customFormat="1" ht="48">
      <c r="A96" s="821">
        <v>36</v>
      </c>
      <c r="B96" s="3585"/>
      <c r="C96" s="757" t="s">
        <v>687</v>
      </c>
      <c r="D96" s="757" t="s">
        <v>688</v>
      </c>
      <c r="E96" s="834">
        <v>0.2</v>
      </c>
      <c r="F96" s="821">
        <v>30</v>
      </c>
    </row>
    <row r="97" spans="1:6" s="817" customFormat="1" ht="36">
      <c r="A97" s="821">
        <v>37</v>
      </c>
      <c r="B97" s="3585"/>
      <c r="C97" s="821" t="s">
        <v>689</v>
      </c>
      <c r="D97" s="757" t="s">
        <v>690</v>
      </c>
      <c r="E97" s="834">
        <v>0.2</v>
      </c>
      <c r="F97" s="821">
        <v>30</v>
      </c>
    </row>
    <row r="98" spans="1:6" s="817" customFormat="1" ht="36">
      <c r="A98" s="821">
        <v>38</v>
      </c>
      <c r="B98" s="3585"/>
      <c r="C98" s="821" t="s">
        <v>691</v>
      </c>
      <c r="D98" s="757" t="s">
        <v>692</v>
      </c>
      <c r="E98" s="834">
        <v>0.2</v>
      </c>
      <c r="F98" s="821">
        <v>30</v>
      </c>
    </row>
    <row r="99" spans="1:6" s="817" customFormat="1" ht="36">
      <c r="A99" s="821">
        <v>39</v>
      </c>
      <c r="B99" s="3585" t="s">
        <v>693</v>
      </c>
      <c r="C99" s="821" t="s">
        <v>694</v>
      </c>
      <c r="D99" s="757" t="s">
        <v>695</v>
      </c>
      <c r="E99" s="834">
        <v>0.3</v>
      </c>
      <c r="F99" s="821">
        <v>50</v>
      </c>
    </row>
    <row r="100" spans="1:6" s="817" customFormat="1" ht="24">
      <c r="A100" s="821">
        <v>40</v>
      </c>
      <c r="B100" s="3585"/>
      <c r="C100" s="821" t="s">
        <v>696</v>
      </c>
      <c r="D100" s="757" t="s">
        <v>697</v>
      </c>
      <c r="E100" s="834">
        <v>0.2</v>
      </c>
      <c r="F100" s="821">
        <v>30</v>
      </c>
    </row>
    <row r="101" spans="1:6" s="817" customFormat="1" ht="36">
      <c r="A101" s="821">
        <v>41</v>
      </c>
      <c r="B101" s="358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5" t="s">
        <v>708</v>
      </c>
      <c r="C105" s="821" t="s">
        <v>709</v>
      </c>
      <c r="D105" s="757" t="s">
        <v>710</v>
      </c>
      <c r="E105" s="834">
        <v>0.2</v>
      </c>
      <c r="F105" s="821">
        <v>30</v>
      </c>
    </row>
    <row r="106" spans="1:6" s="817" customFormat="1" ht="36">
      <c r="A106" s="821">
        <v>46</v>
      </c>
      <c r="B106" s="3585"/>
      <c r="C106" s="821" t="s">
        <v>711</v>
      </c>
      <c r="D106" s="757" t="s">
        <v>712</v>
      </c>
      <c r="E106" s="834">
        <v>0.2</v>
      </c>
      <c r="F106" s="821">
        <v>30</v>
      </c>
    </row>
    <row r="107" spans="1:6" s="817" customFormat="1" ht="36">
      <c r="A107" s="821">
        <v>47</v>
      </c>
      <c r="B107" s="3585" t="s">
        <v>713</v>
      </c>
      <c r="C107" s="821" t="s">
        <v>714</v>
      </c>
      <c r="D107" s="757" t="s">
        <v>715</v>
      </c>
      <c r="E107" s="834">
        <v>0.3</v>
      </c>
      <c r="F107" s="821">
        <v>50</v>
      </c>
    </row>
    <row r="108" spans="1:6" s="817" customFormat="1" ht="36">
      <c r="A108" s="821">
        <v>48</v>
      </c>
      <c r="B108" s="358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5" t="s">
        <v>724</v>
      </c>
      <c r="C111" s="821" t="s">
        <v>725</v>
      </c>
      <c r="D111" s="757" t="s">
        <v>726</v>
      </c>
      <c r="E111" s="834">
        <v>0.2</v>
      </c>
      <c r="F111" s="821">
        <v>30</v>
      </c>
    </row>
    <row r="112" spans="1:6" s="817" customFormat="1" ht="24">
      <c r="A112" s="821">
        <v>52</v>
      </c>
      <c r="B112" s="3585"/>
      <c r="C112" s="821" t="s">
        <v>727</v>
      </c>
      <c r="D112" s="757" t="s">
        <v>728</v>
      </c>
      <c r="E112" s="834">
        <v>0.2</v>
      </c>
      <c r="F112" s="821">
        <v>30</v>
      </c>
    </row>
    <row r="113" spans="1:6" s="817" customFormat="1" ht="24">
      <c r="A113" s="821">
        <v>53</v>
      </c>
      <c r="B113" s="358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5" t="s">
        <v>737</v>
      </c>
      <c r="C116" s="821" t="s">
        <v>738</v>
      </c>
      <c r="D116" s="757" t="s">
        <v>739</v>
      </c>
      <c r="E116" s="834">
        <v>0.2</v>
      </c>
      <c r="F116" s="821">
        <v>30</v>
      </c>
    </row>
    <row r="117" spans="1:6" ht="36">
      <c r="A117" s="821">
        <v>57</v>
      </c>
      <c r="B117" s="358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75">
      <c r="A3" s="2330" t="s">
        <v>2756</v>
      </c>
      <c r="B3" s="2797">
        <f ca="1">ROUND(B2*10000/E2,0)</f>
        <v>1175</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1" t="s">
        <v>1058</v>
      </c>
      <c r="C1" s="3591"/>
      <c r="D1" s="3591"/>
      <c r="E1" s="3591"/>
      <c r="F1" s="3591"/>
      <c r="G1" s="3590" t="s">
        <v>1059</v>
      </c>
      <c r="H1" s="3590"/>
      <c r="I1" s="3590"/>
      <c r="J1" s="3590"/>
      <c r="K1" s="3590"/>
      <c r="L1" s="3590"/>
      <c r="N1" s="3590" t="s">
        <v>1060</v>
      </c>
      <c r="O1" s="3590"/>
      <c r="P1" s="3590"/>
      <c r="Q1" s="3590"/>
      <c r="S1" s="3590" t="s">
        <v>1061</v>
      </c>
      <c r="T1" s="3590"/>
      <c r="U1" s="3590"/>
      <c r="V1" s="3590"/>
      <c r="X1" s="3589" t="s">
        <v>1062</v>
      </c>
      <c r="Y1" s="3590"/>
      <c r="Z1" s="3590"/>
      <c r="AA1" s="3590"/>
      <c r="AB1" s="3590"/>
      <c r="AD1" s="3589" t="s">
        <v>1063</v>
      </c>
      <c r="AE1" s="3590"/>
      <c r="AF1" s="3590"/>
      <c r="AG1" s="3590"/>
      <c r="AH1" s="359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9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00" t="s">
        <v>2764</v>
      </c>
      <c r="D1" s="3601"/>
      <c r="E1" s="3601"/>
      <c r="F1" s="3601"/>
      <c r="G1" s="3601"/>
      <c r="H1" s="3601"/>
      <c r="I1" s="3601"/>
      <c r="J1" s="3601"/>
      <c r="K1" s="3601"/>
      <c r="L1" s="3601"/>
      <c r="M1" s="3601"/>
      <c r="N1" s="3601"/>
      <c r="O1" s="3601"/>
      <c r="P1" s="3601"/>
      <c r="Q1" s="3601"/>
      <c r="R1" s="3601"/>
      <c r="S1" s="360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47"/>
      <c r="B4" s="3274" t="s">
        <v>1535</v>
      </c>
      <c r="C4" s="3274"/>
      <c r="D4" s="3274"/>
      <c r="E4" s="1647"/>
    </row>
    <row r="5" spans="1:5" ht="16.5" thickTop="1">
      <c r="A5" s="1645"/>
      <c r="B5" s="3272" t="s">
        <v>1527</v>
      </c>
      <c r="C5" s="1648" t="s">
        <v>1528</v>
      </c>
      <c r="D5" s="959">
        <f ca="1">结果表!H101</f>
        <v>139694</v>
      </c>
      <c r="E5" s="1645"/>
    </row>
    <row r="6" spans="1:5" ht="15.75">
      <c r="A6" s="1645"/>
      <c r="B6" s="3272"/>
      <c r="C6" s="1648" t="s">
        <v>1529</v>
      </c>
      <c r="D6" s="959" t="str">
        <f ca="1">NUMBERSTRING(INT(D5*10000),2)&amp;"元整"</f>
        <v>壹拾叁亿玖仟陆佰玖拾肆万元整</v>
      </c>
      <c r="E6" s="1645"/>
    </row>
    <row r="7" spans="1:5" ht="15.75">
      <c r="A7" s="1645"/>
      <c r="B7" s="3277"/>
      <c r="C7" s="1649" t="s">
        <v>1530</v>
      </c>
      <c r="D7" s="960">
        <f ca="1">结果表!H102</f>
        <v>8697</v>
      </c>
      <c r="E7" s="1645"/>
    </row>
    <row r="8" spans="1:5" ht="15.75">
      <c r="A8" s="1645"/>
      <c r="B8" s="3278" t="str">
        <f>结果表!E103</f>
        <v>2.估价师知悉的法定优先受偿款</v>
      </c>
      <c r="C8" s="1650" t="s">
        <v>1531</v>
      </c>
      <c r="D8" s="960">
        <f>结果表!H103</f>
        <v>0</v>
      </c>
      <c r="E8" s="1645"/>
    </row>
    <row r="9" spans="1:5" ht="15.75">
      <c r="A9" s="1645"/>
      <c r="B9" s="3280"/>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71" t="str">
        <f>结果表!E107</f>
        <v>3.房地产抵押价值</v>
      </c>
      <c r="C13" s="1653" t="s">
        <v>1528</v>
      </c>
      <c r="D13" s="962">
        <f ca="1">结果表!H107</f>
        <v>139694</v>
      </c>
      <c r="E13" s="1645"/>
    </row>
    <row r="14" spans="1:5" ht="15.75">
      <c r="A14" s="1645"/>
      <c r="B14" s="3272"/>
      <c r="C14" s="1648" t="s">
        <v>1529</v>
      </c>
      <c r="D14" s="959" t="str">
        <f ca="1">NUMBERSTRING(INT(D13*10000),2)&amp;"元整"</f>
        <v>壹拾叁亿玖仟陆佰玖拾肆万元整</v>
      </c>
      <c r="E14" s="1645"/>
    </row>
    <row r="15" spans="1:5" ht="15">
      <c r="A15" s="1645"/>
      <c r="B15" s="3277"/>
      <c r="C15" s="1649" t="s">
        <v>1539</v>
      </c>
      <c r="D15" s="968">
        <f ca="1">结果表!H108</f>
        <v>8697</v>
      </c>
      <c r="E15" s="1645"/>
    </row>
    <row r="16" spans="1:5" ht="15">
      <c r="A16" s="1645"/>
      <c r="B16" s="3278" t="str">
        <f>结果表!E109</f>
        <v>——</v>
      </c>
      <c r="C16" s="1653" t="s">
        <v>1540</v>
      </c>
      <c r="D16" s="1654" t="str">
        <f>结果表!H109</f>
        <v>——</v>
      </c>
      <c r="E16" s="1645"/>
    </row>
    <row r="17" spans="1:5" ht="15.75">
      <c r="A17" s="1645"/>
      <c r="B17" s="3279"/>
      <c r="C17" s="1648" t="s">
        <v>1541</v>
      </c>
      <c r="D17" s="959" t="e">
        <f>NUMBERSTRING(INT(D16*10000),2)&amp;"元整"</f>
        <v>#VALUE!</v>
      </c>
      <c r="E17" s="1645"/>
    </row>
    <row r="18" spans="1:5" ht="15">
      <c r="A18" s="1645"/>
      <c r="B18" s="3280"/>
      <c r="C18" s="1649" t="s">
        <v>1530</v>
      </c>
      <c r="D18" s="968" t="str">
        <f>结果表!H110</f>
        <v>——</v>
      </c>
      <c r="E18" s="1645"/>
    </row>
    <row r="19" spans="1:5" ht="15.75">
      <c r="A19" s="1645"/>
      <c r="B19" s="3271" t="str">
        <f>结果表!E111</f>
        <v>——</v>
      </c>
      <c r="C19" s="1653" t="s">
        <v>1528</v>
      </c>
      <c r="D19" s="960" t="str">
        <f>结果表!H111</f>
        <v>——</v>
      </c>
      <c r="E19" s="1645"/>
    </row>
    <row r="20" spans="1:5" ht="15.75">
      <c r="A20" s="1645"/>
      <c r="B20" s="3272"/>
      <c r="C20" s="1648" t="s">
        <v>1541</v>
      </c>
      <c r="D20" s="959" t="e">
        <f>NUMBERSTRING(INT(D19*10000),2)&amp;"元整"</f>
        <v>#VALUE!</v>
      </c>
      <c r="E20" s="1645"/>
    </row>
    <row r="21" spans="1:5" ht="15.75" thickBot="1">
      <c r="A21" s="1645"/>
      <c r="B21" s="3273"/>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156174</v>
      </c>
      <c r="C2" s="2" t="s">
        <v>133</v>
      </c>
      <c r="D2" s="205"/>
      <c r="E2" s="205"/>
      <c r="F2" s="205"/>
      <c r="G2" s="205"/>
    </row>
    <row r="3" spans="1:7" s="206" customFormat="1" ht="18" customHeight="1" thickBot="1">
      <c r="A3" s="209" t="s">
        <v>85</v>
      </c>
      <c r="B3" s="210">
        <f ca="1">ROUND(B2*10000/'数据-汇总表'!E3,0)</f>
        <v>9723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476</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2063</v>
      </c>
      <c r="D22" s="241">
        <f ca="1">C26</f>
        <v>4.0000000000000002E-4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275</v>
      </c>
      <c r="D24" s="244"/>
      <c r="E24" s="244"/>
      <c r="F24" s="245"/>
      <c r="G24" s="246" t="s">
        <v>109</v>
      </c>
    </row>
    <row r="25" spans="1:7" s="220" customFormat="1" ht="24">
      <c r="A25" s="888" t="s">
        <v>793</v>
      </c>
      <c r="B25" s="221" t="s">
        <v>1026</v>
      </c>
      <c r="C25" s="1237">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2430</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2430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103924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96375</v>
      </c>
      <c r="D34" s="223"/>
      <c r="E34" s="226"/>
      <c r="F34" s="263">
        <f>IF('数据-取费表'!B24=0,1,'数据-取费表'!N16)</f>
        <v>1</v>
      </c>
      <c r="G34" s="225" t="s">
        <v>116</v>
      </c>
    </row>
    <row r="35" spans="1:7" ht="13.5" customHeight="1">
      <c r="A35" s="888" t="s">
        <v>796</v>
      </c>
      <c r="B35" s="221" t="s">
        <v>60</v>
      </c>
      <c r="C35" s="226">
        <f>ROUND(C34*F35,0)</f>
        <v>2891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1446</v>
      </c>
      <c r="D38" s="226"/>
      <c r="E38" s="226"/>
      <c r="F38" s="265">
        <f>'数据-取费表'!B36</f>
        <v>1.4999999999999999E-2</v>
      </c>
      <c r="G38" s="225" t="s">
        <v>117</v>
      </c>
    </row>
    <row r="39" spans="1:7" s="220" customFormat="1" ht="13.5" customHeight="1">
      <c r="A39" s="885" t="s">
        <v>783</v>
      </c>
      <c r="B39" s="216" t="s">
        <v>104</v>
      </c>
      <c r="C39" s="238">
        <f>ROUND(C33*F20,0)</f>
        <v>2078</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4452</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4365</v>
      </c>
      <c r="D42" s="244"/>
      <c r="E42" s="244"/>
      <c r="F42" s="245"/>
      <c r="G42" s="3459" t="s">
        <v>121</v>
      </c>
    </row>
    <row r="43" spans="1:7" ht="13.5" customHeight="1">
      <c r="A43" s="888" t="s">
        <v>792</v>
      </c>
      <c r="B43" s="221" t="s">
        <v>1032</v>
      </c>
      <c r="C43" s="244">
        <f ca="1">ROUND(IF('数据-取费表'!B22&lt;=1,C39*F22*'数据-取费表'!B21/2,C39*(POWER((1+F22),'数据-取费表'!B21/2)-1)),0)</f>
        <v>87</v>
      </c>
      <c r="D43" s="244"/>
      <c r="E43" s="244"/>
      <c r="F43" s="245"/>
      <c r="G43" s="3460"/>
    </row>
    <row r="44" spans="1:7" ht="13.5" customHeight="1">
      <c r="A44" s="888" t="s">
        <v>793</v>
      </c>
      <c r="B44" s="221" t="s">
        <v>1034</v>
      </c>
      <c r="C44" s="244">
        <f ca="1">ROUND(IF('数据-取费表'!B22&lt;=1,C40*F22*'数据-取费表'!B21/2,C40*(POWER((1+F22),'数据-取费表'!B21/2)-1)),4)</f>
        <v>4.0000000000000002E-4</v>
      </c>
      <c r="D44" s="244"/>
      <c r="E44" s="244"/>
      <c r="F44" s="245"/>
      <c r="G44" s="3461"/>
    </row>
    <row r="45" spans="1:7" s="220" customFormat="1" ht="13.5" customHeight="1">
      <c r="A45" s="885" t="s">
        <v>786</v>
      </c>
      <c r="B45" s="250" t="s">
        <v>112</v>
      </c>
      <c r="C45" s="251">
        <f>C46</f>
        <v>10600</v>
      </c>
      <c r="D45" s="241">
        <f>C47</f>
        <v>1E-3</v>
      </c>
      <c r="E45" s="242" t="s">
        <v>129</v>
      </c>
      <c r="F45" s="252"/>
      <c r="G45" s="253" t="s">
        <v>1040</v>
      </c>
    </row>
    <row r="46" spans="1:7" s="220" customFormat="1" ht="13.5" customHeight="1">
      <c r="A46" s="888" t="s">
        <v>794</v>
      </c>
      <c r="B46" s="254" t="s">
        <v>1033</v>
      </c>
      <c r="C46" s="255">
        <f>ROUND((C33+C39)*F27,0)</f>
        <v>10600</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129301</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125422</v>
      </c>
      <c r="D51" s="238"/>
      <c r="E51" s="238"/>
      <c r="F51" s="270"/>
      <c r="G51" s="240" t="s">
        <v>64</v>
      </c>
    </row>
    <row r="52" spans="1:7" s="214" customFormat="1" ht="16.5" thickBot="1">
      <c r="A52" s="271" t="s">
        <v>65</v>
      </c>
      <c r="B52" s="272"/>
      <c r="C52" s="273">
        <f ca="1">C31+C51</f>
        <v>156174</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3" t="s">
        <v>156</v>
      </c>
      <c r="B1" s="3603"/>
      <c r="C1" s="3603"/>
      <c r="D1" s="3603"/>
      <c r="E1" s="3603"/>
      <c r="F1" s="36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4" t="s">
        <v>169</v>
      </c>
      <c r="B2" s="3604"/>
      <c r="C2" s="3604"/>
      <c r="D2" s="3604"/>
      <c r="E2" s="3604"/>
      <c r="F2" s="36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3" t="s">
        <v>839</v>
      </c>
      <c r="B1" s="360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topLeftCell="A31" workbookViewId="0">
      <selection activeCell="A54" sqref="A54:XFD54"/>
    </sheetView>
  </sheetViews>
  <sheetFormatPr defaultColWidth="8.125" defaultRowHeight="14.25"/>
  <cols>
    <col min="1" max="1" width="38.375" style="3263" customWidth="1"/>
    <col min="2" max="4" width="8.125" style="3263"/>
    <col min="5" max="5" width="0" style="3263" hidden="1" customWidth="1"/>
    <col min="6" max="6" width="24.125" style="3263" customWidth="1"/>
    <col min="7" max="7" width="12.75" style="3263" customWidth="1"/>
    <col min="8" max="14" width="8.125" style="3263"/>
    <col min="15" max="15" width="12.625" style="3263" customWidth="1"/>
    <col min="16" max="20" width="8.125" style="3263"/>
    <col min="21" max="21" width="10.5" style="3263" customWidth="1"/>
    <col min="22" max="16384" width="8.125" style="3263"/>
  </cols>
  <sheetData>
    <row r="1" spans="1:25">
      <c r="A1" s="3263" t="s">
        <v>3197</v>
      </c>
      <c r="B1" s="3263" t="s">
        <v>3384</v>
      </c>
      <c r="C1" s="3263" t="s">
        <v>3198</v>
      </c>
      <c r="D1" s="3263" t="s">
        <v>3385</v>
      </c>
      <c r="E1" s="3263" t="s">
        <v>3386</v>
      </c>
      <c r="F1" s="3263" t="s">
        <v>3387</v>
      </c>
      <c r="G1" s="3263" t="s">
        <v>3199</v>
      </c>
      <c r="H1" s="3263" t="s">
        <v>3200</v>
      </c>
      <c r="I1" s="3263" t="s">
        <v>3201</v>
      </c>
      <c r="J1" s="3263" t="s">
        <v>3202</v>
      </c>
      <c r="K1" s="3263" t="s">
        <v>3203</v>
      </c>
      <c r="L1" s="3263" t="s">
        <v>3204</v>
      </c>
      <c r="M1" s="3263" t="s">
        <v>3388</v>
      </c>
      <c r="N1" s="3263" t="s">
        <v>3389</v>
      </c>
      <c r="O1" s="3263" t="s">
        <v>3206</v>
      </c>
      <c r="P1" s="3263" t="s">
        <v>3390</v>
      </c>
      <c r="Q1" s="3263" t="s">
        <v>3391</v>
      </c>
      <c r="R1" s="3263" t="s">
        <v>3212</v>
      </c>
      <c r="S1" s="3263" t="s">
        <v>3208</v>
      </c>
      <c r="T1" s="3263" t="s">
        <v>3392</v>
      </c>
      <c r="U1" s="3263" t="s">
        <v>3209</v>
      </c>
      <c r="V1" s="3263" t="s">
        <v>3393</v>
      </c>
      <c r="W1" s="3263" t="s">
        <v>3394</v>
      </c>
      <c r="X1" s="3263" t="s">
        <v>3395</v>
      </c>
      <c r="Y1" s="3263" t="s">
        <v>3396</v>
      </c>
    </row>
    <row r="2" spans="1:25">
      <c r="A2" s="3263" t="s">
        <v>3397</v>
      </c>
      <c r="B2" s="3263" t="s">
        <v>3398</v>
      </c>
      <c r="C2" s="3263" t="s">
        <v>3129</v>
      </c>
      <c r="D2" s="3263" t="s">
        <v>3399</v>
      </c>
      <c r="E2" s="3263" t="s">
        <v>3400</v>
      </c>
      <c r="F2" s="3263" t="s">
        <v>3401</v>
      </c>
      <c r="G2" s="3263" t="s">
        <v>3402</v>
      </c>
      <c r="H2" s="3263">
        <v>40148.6</v>
      </c>
      <c r="I2" s="3263">
        <v>60222.9</v>
      </c>
      <c r="J2" s="3263">
        <v>1.5</v>
      </c>
      <c r="K2" s="3263" t="s">
        <v>3403</v>
      </c>
      <c r="L2" s="3263" t="s">
        <v>3404</v>
      </c>
      <c r="M2" s="3263" t="s">
        <v>3400</v>
      </c>
      <c r="N2" s="3263" t="s">
        <v>3400</v>
      </c>
      <c r="O2" s="3264">
        <v>44600</v>
      </c>
      <c r="P2" s="3263" t="s">
        <v>3405</v>
      </c>
      <c r="Q2" s="3263" t="s">
        <v>3406</v>
      </c>
      <c r="R2" s="3263" t="s">
        <v>3407</v>
      </c>
      <c r="S2" s="3263">
        <v>3438.73</v>
      </c>
      <c r="T2" s="3263">
        <v>57.1</v>
      </c>
      <c r="U2" s="3263">
        <v>571</v>
      </c>
      <c r="V2" s="3263">
        <v>0</v>
      </c>
      <c r="W2" s="3263" t="s">
        <v>3408</v>
      </c>
      <c r="X2" s="3263" t="s">
        <v>3409</v>
      </c>
      <c r="Y2" s="3263" t="s">
        <v>3409</v>
      </c>
    </row>
    <row r="3" spans="1:25">
      <c r="A3" s="3263" t="s">
        <v>3410</v>
      </c>
      <c r="B3" s="3263" t="s">
        <v>3411</v>
      </c>
      <c r="C3" s="3263" t="s">
        <v>3129</v>
      </c>
      <c r="D3" s="3263" t="s">
        <v>3399</v>
      </c>
      <c r="E3" s="3263" t="s">
        <v>3412</v>
      </c>
      <c r="F3" s="3263" t="s">
        <v>3413</v>
      </c>
      <c r="G3" s="3263" t="s">
        <v>3402</v>
      </c>
      <c r="H3" s="3263">
        <v>19333.34</v>
      </c>
      <c r="I3" s="3263">
        <v>38666.69</v>
      </c>
      <c r="J3" s="3263">
        <v>2</v>
      </c>
      <c r="K3" s="3263" t="s">
        <v>3403</v>
      </c>
      <c r="L3" s="3263" t="s">
        <v>3414</v>
      </c>
      <c r="M3" s="3263" t="s">
        <v>3400</v>
      </c>
      <c r="N3" s="3263" t="s">
        <v>3400</v>
      </c>
      <c r="O3" s="3264">
        <v>44561</v>
      </c>
      <c r="P3" s="3263" t="s">
        <v>3415</v>
      </c>
      <c r="Q3" s="3263" t="s">
        <v>3406</v>
      </c>
      <c r="R3" s="3263" t="s">
        <v>3416</v>
      </c>
      <c r="S3" s="3263">
        <v>3477.1</v>
      </c>
      <c r="T3" s="3263">
        <v>119.9</v>
      </c>
      <c r="U3" s="3263">
        <v>899</v>
      </c>
      <c r="V3" s="3263">
        <v>0</v>
      </c>
      <c r="W3" s="3263">
        <v>20</v>
      </c>
      <c r="X3" s="3263" t="s">
        <v>3409</v>
      </c>
      <c r="Y3" s="3263" t="s">
        <v>3409</v>
      </c>
    </row>
    <row r="4" spans="1:25">
      <c r="A4" s="3263" t="s">
        <v>3417</v>
      </c>
      <c r="B4" s="3263" t="s">
        <v>3418</v>
      </c>
      <c r="C4" s="3263" t="s">
        <v>3129</v>
      </c>
      <c r="D4" s="3263" t="s">
        <v>3399</v>
      </c>
      <c r="E4" s="3263" t="s">
        <v>3400</v>
      </c>
      <c r="F4" s="3263" t="s">
        <v>3419</v>
      </c>
      <c r="G4" s="3263" t="s">
        <v>3402</v>
      </c>
      <c r="H4" s="3263">
        <v>95015.4</v>
      </c>
      <c r="I4" s="3263">
        <v>180529.26</v>
      </c>
      <c r="J4" s="3263">
        <v>1.9</v>
      </c>
      <c r="K4" s="3263" t="s">
        <v>3403</v>
      </c>
      <c r="L4" s="3263" t="s">
        <v>3420</v>
      </c>
      <c r="M4" s="3263" t="s">
        <v>3400</v>
      </c>
      <c r="N4" s="3263" t="s">
        <v>3400</v>
      </c>
      <c r="O4" s="3264">
        <v>44554</v>
      </c>
      <c r="P4" s="3263" t="s">
        <v>3421</v>
      </c>
      <c r="Q4" s="3263" t="s">
        <v>3406</v>
      </c>
      <c r="R4" s="3263" t="s">
        <v>3422</v>
      </c>
      <c r="S4" s="3263">
        <v>10308.219999999999</v>
      </c>
      <c r="T4" s="3263">
        <v>72.33</v>
      </c>
      <c r="U4" s="3263">
        <v>571</v>
      </c>
      <c r="V4" s="3263">
        <v>0</v>
      </c>
      <c r="W4" s="3263">
        <v>20</v>
      </c>
      <c r="X4" s="3263" t="s">
        <v>3409</v>
      </c>
      <c r="Y4" s="3263" t="s">
        <v>3409</v>
      </c>
    </row>
    <row r="5" spans="1:25">
      <c r="A5" s="3263" t="s">
        <v>3423</v>
      </c>
      <c r="B5" s="3263" t="s">
        <v>3424</v>
      </c>
      <c r="C5" s="3263" t="s">
        <v>3129</v>
      </c>
      <c r="D5" s="3263" t="s">
        <v>3399</v>
      </c>
      <c r="E5" s="3263" t="s">
        <v>3425</v>
      </c>
      <c r="F5" s="3263" t="s">
        <v>3426</v>
      </c>
      <c r="G5" s="3263" t="s">
        <v>3402</v>
      </c>
      <c r="H5" s="3263">
        <v>23200</v>
      </c>
      <c r="I5" s="3263">
        <v>32480</v>
      </c>
      <c r="J5" s="3263">
        <v>1.4</v>
      </c>
      <c r="K5" s="3263" t="s">
        <v>3427</v>
      </c>
      <c r="L5" s="3263" t="s">
        <v>3404</v>
      </c>
      <c r="M5" s="3263" t="s">
        <v>3428</v>
      </c>
      <c r="N5" s="3263" t="s">
        <v>3400</v>
      </c>
      <c r="O5" s="3264">
        <v>44487</v>
      </c>
      <c r="P5" s="3263" t="s">
        <v>3429</v>
      </c>
      <c r="Q5" s="3263" t="s">
        <v>3406</v>
      </c>
      <c r="R5" s="3263" t="s">
        <v>3430</v>
      </c>
      <c r="S5" s="3263">
        <v>2150.1799999999998</v>
      </c>
      <c r="T5" s="3263">
        <v>61.79</v>
      </c>
      <c r="U5" s="3263">
        <v>662</v>
      </c>
      <c r="V5" s="3263">
        <v>0</v>
      </c>
      <c r="W5" s="3263" t="s">
        <v>3431</v>
      </c>
      <c r="X5" s="3263" t="s">
        <v>3409</v>
      </c>
      <c r="Y5" s="3263" t="s">
        <v>3409</v>
      </c>
    </row>
    <row r="6" spans="1:25">
      <c r="A6" s="3263" t="s">
        <v>3432</v>
      </c>
      <c r="B6" s="3263" t="s">
        <v>3433</v>
      </c>
      <c r="C6" s="3263" t="s">
        <v>3129</v>
      </c>
      <c r="D6" s="3263" t="s">
        <v>3399</v>
      </c>
      <c r="E6" s="3263" t="s">
        <v>3412</v>
      </c>
      <c r="F6" s="3263" t="s">
        <v>3434</v>
      </c>
      <c r="G6" s="3263" t="s">
        <v>3402</v>
      </c>
      <c r="H6" s="3263">
        <v>57488.82</v>
      </c>
      <c r="I6" s="3263">
        <v>86233.23</v>
      </c>
      <c r="J6" s="3263" t="s">
        <v>3435</v>
      </c>
      <c r="K6" s="3263" t="s">
        <v>3403</v>
      </c>
      <c r="L6" s="3263" t="s">
        <v>3404</v>
      </c>
      <c r="M6" s="3263" t="s">
        <v>3436</v>
      </c>
      <c r="N6" s="3263" t="s">
        <v>3437</v>
      </c>
      <c r="O6" s="3264">
        <v>44480</v>
      </c>
      <c r="P6" s="3263" t="s">
        <v>3438</v>
      </c>
      <c r="Q6" s="3263" t="s">
        <v>3406</v>
      </c>
      <c r="R6" s="3263" t="s">
        <v>3439</v>
      </c>
      <c r="S6" s="3263">
        <v>7835.68</v>
      </c>
      <c r="T6" s="3263">
        <v>90.87</v>
      </c>
      <c r="U6" s="3263">
        <v>909</v>
      </c>
      <c r="V6" s="3263">
        <v>0</v>
      </c>
      <c r="W6" s="3263" t="s">
        <v>3408</v>
      </c>
      <c r="X6" s="3263" t="s">
        <v>3409</v>
      </c>
      <c r="Y6" s="3263" t="s">
        <v>3409</v>
      </c>
    </row>
    <row r="7" spans="1:25">
      <c r="A7" s="3263" t="s">
        <v>3440</v>
      </c>
      <c r="B7" s="3263" t="s">
        <v>3441</v>
      </c>
      <c r="C7" s="3263" t="s">
        <v>3129</v>
      </c>
      <c r="D7" s="3263" t="s">
        <v>3399</v>
      </c>
      <c r="E7" s="3263" t="s">
        <v>3412</v>
      </c>
      <c r="F7" s="3263" t="s">
        <v>3434</v>
      </c>
      <c r="G7" s="3263" t="s">
        <v>3402</v>
      </c>
      <c r="H7" s="3263">
        <v>7422.43</v>
      </c>
      <c r="I7" s="3263">
        <v>5937.95</v>
      </c>
      <c r="J7" s="3263" t="s">
        <v>3442</v>
      </c>
      <c r="K7" s="3263" t="s">
        <v>3403</v>
      </c>
      <c r="L7" s="3263" t="s">
        <v>3404</v>
      </c>
      <c r="M7" s="3263" t="s">
        <v>3443</v>
      </c>
      <c r="N7" s="3263" t="s">
        <v>3437</v>
      </c>
      <c r="O7" s="3264">
        <v>44480</v>
      </c>
      <c r="P7" s="3263" t="s">
        <v>3444</v>
      </c>
      <c r="Q7" s="3263" t="s">
        <v>3406</v>
      </c>
      <c r="R7" s="3263" t="s">
        <v>3445</v>
      </c>
      <c r="S7" s="3263">
        <v>844.63</v>
      </c>
      <c r="T7" s="3263">
        <v>75.86</v>
      </c>
      <c r="U7" s="3263">
        <v>1422</v>
      </c>
      <c r="V7" s="3263">
        <v>0</v>
      </c>
      <c r="W7" s="3263" t="s">
        <v>3408</v>
      </c>
      <c r="X7" s="3263" t="s">
        <v>3409</v>
      </c>
      <c r="Y7" s="3263" t="s">
        <v>3409</v>
      </c>
    </row>
    <row r="8" spans="1:25">
      <c r="A8" s="3263" t="s">
        <v>3446</v>
      </c>
      <c r="B8" s="3263" t="s">
        <v>3447</v>
      </c>
      <c r="C8" s="3263" t="s">
        <v>3129</v>
      </c>
      <c r="D8" s="3263" t="s">
        <v>3399</v>
      </c>
      <c r="E8" s="3263" t="s">
        <v>3412</v>
      </c>
      <c r="F8" s="3263" t="s">
        <v>3434</v>
      </c>
      <c r="G8" s="3263" t="s">
        <v>3402</v>
      </c>
      <c r="H8" s="3263">
        <v>23652.31</v>
      </c>
      <c r="I8" s="3263">
        <v>23652.31</v>
      </c>
      <c r="J8" s="3263">
        <v>1</v>
      </c>
      <c r="K8" s="3263" t="s">
        <v>3403</v>
      </c>
      <c r="L8" s="3263" t="s">
        <v>3404</v>
      </c>
      <c r="M8" s="3263" t="s">
        <v>3436</v>
      </c>
      <c r="N8" s="3263" t="s">
        <v>3448</v>
      </c>
      <c r="O8" s="3264">
        <v>44480</v>
      </c>
      <c r="P8" s="3263" t="s">
        <v>3449</v>
      </c>
      <c r="Q8" s="3263" t="s">
        <v>3406</v>
      </c>
      <c r="R8" s="3263" t="s">
        <v>3450</v>
      </c>
      <c r="S8" s="3263">
        <v>2689.6</v>
      </c>
      <c r="T8" s="3263">
        <v>75.81</v>
      </c>
      <c r="U8" s="3263">
        <v>1137</v>
      </c>
      <c r="V8" s="3263">
        <v>0</v>
      </c>
      <c r="W8" s="3263" t="s">
        <v>3408</v>
      </c>
      <c r="X8" s="3263" t="s">
        <v>3409</v>
      </c>
      <c r="Y8" s="3263" t="s">
        <v>3409</v>
      </c>
    </row>
    <row r="9" spans="1:25">
      <c r="A9" s="3263" t="s">
        <v>3451</v>
      </c>
      <c r="B9" s="3263" t="s">
        <v>3452</v>
      </c>
      <c r="C9" s="3263" t="s">
        <v>3129</v>
      </c>
      <c r="D9" s="3263" t="s">
        <v>3399</v>
      </c>
      <c r="E9" s="3263" t="s">
        <v>3412</v>
      </c>
      <c r="F9" s="3263" t="s">
        <v>3434</v>
      </c>
      <c r="G9" s="3263" t="s">
        <v>3402</v>
      </c>
      <c r="H9" s="3263">
        <v>23170.400000000001</v>
      </c>
      <c r="I9" s="3263">
        <v>23170.400000000001</v>
      </c>
      <c r="J9" s="3263">
        <v>1</v>
      </c>
      <c r="K9" s="3263" t="s">
        <v>3403</v>
      </c>
      <c r="L9" s="3263" t="s">
        <v>3404</v>
      </c>
      <c r="M9" s="3263" t="s">
        <v>3436</v>
      </c>
      <c r="N9" s="3263" t="s">
        <v>3453</v>
      </c>
      <c r="O9" s="3264">
        <v>44480</v>
      </c>
      <c r="P9" s="3263" t="s">
        <v>3454</v>
      </c>
      <c r="Q9" s="3263" t="s">
        <v>3406</v>
      </c>
      <c r="R9" s="3263" t="s">
        <v>3445</v>
      </c>
      <c r="S9" s="3263">
        <v>2632.78</v>
      </c>
      <c r="T9" s="3263">
        <v>75.75</v>
      </c>
      <c r="U9" s="3263">
        <v>1136</v>
      </c>
      <c r="V9" s="3263">
        <v>0</v>
      </c>
      <c r="W9" s="3263" t="s">
        <v>3408</v>
      </c>
      <c r="X9" s="3263" t="s">
        <v>3409</v>
      </c>
      <c r="Y9" s="3263" t="s">
        <v>3409</v>
      </c>
    </row>
    <row r="10" spans="1:25">
      <c r="A10" s="3263" t="s">
        <v>3455</v>
      </c>
      <c r="B10" s="3263" t="s">
        <v>3456</v>
      </c>
      <c r="C10" s="3263" t="s">
        <v>3129</v>
      </c>
      <c r="D10" s="3263" t="s">
        <v>3399</v>
      </c>
      <c r="E10" s="3263" t="s">
        <v>3457</v>
      </c>
      <c r="F10" s="3263" t="s">
        <v>3458</v>
      </c>
      <c r="G10" s="3263" t="s">
        <v>3402</v>
      </c>
      <c r="H10" s="3263">
        <v>82052.600000000006</v>
      </c>
      <c r="I10" s="3263">
        <v>155899.94</v>
      </c>
      <c r="J10" s="3263">
        <v>1.9</v>
      </c>
      <c r="K10" s="3263" t="s">
        <v>3403</v>
      </c>
      <c r="L10" s="3263" t="s">
        <v>3402</v>
      </c>
      <c r="M10" s="3263" t="s">
        <v>3459</v>
      </c>
      <c r="N10" s="3263" t="s">
        <v>3460</v>
      </c>
      <c r="O10" s="3264">
        <v>44466</v>
      </c>
      <c r="P10" s="3263" t="s">
        <v>3461</v>
      </c>
      <c r="Q10" s="3263" t="s">
        <v>3406</v>
      </c>
      <c r="R10" s="3263" t="s">
        <v>3462</v>
      </c>
      <c r="S10" s="3263">
        <v>16837.189999999999</v>
      </c>
      <c r="T10" s="3263">
        <v>136.80000000000001</v>
      </c>
      <c r="U10" s="3263">
        <v>1080</v>
      </c>
      <c r="V10" s="3263">
        <v>0</v>
      </c>
      <c r="W10" s="3263" t="s">
        <v>3463</v>
      </c>
      <c r="X10" s="3263" t="s">
        <v>3409</v>
      </c>
      <c r="Y10" s="3263" t="s">
        <v>3409</v>
      </c>
    </row>
    <row r="11" spans="1:25">
      <c r="A11" s="3263" t="s">
        <v>3464</v>
      </c>
      <c r="B11" s="3263" t="s">
        <v>3465</v>
      </c>
      <c r="C11" s="3263" t="s">
        <v>3129</v>
      </c>
      <c r="D11" s="3263" t="s">
        <v>3399</v>
      </c>
      <c r="E11" s="3263" t="s">
        <v>3400</v>
      </c>
      <c r="F11" s="3263" t="s">
        <v>3466</v>
      </c>
      <c r="G11" s="3263" t="s">
        <v>3402</v>
      </c>
      <c r="H11" s="3263">
        <v>7844</v>
      </c>
      <c r="I11" s="3263">
        <v>11766</v>
      </c>
      <c r="J11" s="3263">
        <v>1.5</v>
      </c>
      <c r="K11" s="3263" t="s">
        <v>3403</v>
      </c>
      <c r="L11" s="3263" t="s">
        <v>3402</v>
      </c>
      <c r="M11" s="3263" t="s">
        <v>3459</v>
      </c>
      <c r="N11" s="3263" t="s">
        <v>3460</v>
      </c>
      <c r="O11" s="3264">
        <v>44466</v>
      </c>
      <c r="P11" s="3263" t="s">
        <v>3467</v>
      </c>
      <c r="Q11" s="3263" t="s">
        <v>3406</v>
      </c>
      <c r="R11" s="3263" t="s">
        <v>3468</v>
      </c>
      <c r="S11" s="3263">
        <v>854.21</v>
      </c>
      <c r="T11" s="3263">
        <v>72.599999999999994</v>
      </c>
      <c r="U11" s="3263">
        <v>726</v>
      </c>
      <c r="V11" s="3263">
        <v>0</v>
      </c>
      <c r="W11" s="3263" t="s">
        <v>3463</v>
      </c>
      <c r="X11" s="3263" t="s">
        <v>3409</v>
      </c>
      <c r="Y11" s="3263" t="s">
        <v>3409</v>
      </c>
    </row>
    <row r="12" spans="1:25">
      <c r="A12" s="3263" t="s">
        <v>3469</v>
      </c>
      <c r="B12" s="3263" t="s">
        <v>3470</v>
      </c>
      <c r="C12" s="3263" t="s">
        <v>3129</v>
      </c>
      <c r="D12" s="3263" t="s">
        <v>3399</v>
      </c>
      <c r="E12" s="3263" t="s">
        <v>3400</v>
      </c>
      <c r="F12" s="3263" t="s">
        <v>3471</v>
      </c>
      <c r="G12" s="3263" t="s">
        <v>3402</v>
      </c>
      <c r="H12" s="3263">
        <v>49454.7</v>
      </c>
      <c r="I12" s="3263">
        <v>98909.1</v>
      </c>
      <c r="J12" s="3263">
        <v>2</v>
      </c>
      <c r="K12" s="3263" t="s">
        <v>3403</v>
      </c>
      <c r="L12" s="3263" t="s">
        <v>3472</v>
      </c>
      <c r="M12" s="3263" t="s">
        <v>3473</v>
      </c>
      <c r="N12" s="3263" t="s">
        <v>3474</v>
      </c>
      <c r="O12" s="3264">
        <v>44454</v>
      </c>
      <c r="P12" s="3263" t="s">
        <v>3475</v>
      </c>
      <c r="Q12" s="3263" t="s">
        <v>3406</v>
      </c>
      <c r="R12" s="3263" t="s">
        <v>3476</v>
      </c>
      <c r="S12" s="3263">
        <v>6448.89</v>
      </c>
      <c r="T12" s="3263">
        <v>86.93</v>
      </c>
      <c r="U12" s="3263">
        <v>652</v>
      </c>
      <c r="V12" s="3263">
        <v>0</v>
      </c>
      <c r="W12" s="3263">
        <v>50</v>
      </c>
      <c r="X12" s="3263" t="s">
        <v>3409</v>
      </c>
      <c r="Y12" s="3263" t="s">
        <v>3409</v>
      </c>
    </row>
    <row r="13" spans="1:25" s="3265" customFormat="1">
      <c r="A13" s="3265" t="s">
        <v>3477</v>
      </c>
      <c r="B13" s="3265" t="s">
        <v>3478</v>
      </c>
      <c r="C13" s="3265" t="s">
        <v>3129</v>
      </c>
      <c r="D13" s="3265" t="s">
        <v>3399</v>
      </c>
      <c r="E13" s="3265" t="s">
        <v>3400</v>
      </c>
      <c r="F13" s="3265" t="s">
        <v>3479</v>
      </c>
      <c r="G13" s="3265" t="s">
        <v>3402</v>
      </c>
      <c r="H13" s="3265">
        <v>13006.3</v>
      </c>
      <c r="I13" s="3265">
        <v>9104.41</v>
      </c>
      <c r="J13" s="3265" t="s">
        <v>3480</v>
      </c>
      <c r="K13" s="3265" t="s">
        <v>3403</v>
      </c>
      <c r="L13" s="3265" t="s">
        <v>3481</v>
      </c>
      <c r="M13" s="3265" t="s">
        <v>3400</v>
      </c>
      <c r="N13" s="3265" t="s">
        <v>3460</v>
      </c>
      <c r="O13" s="3266">
        <v>44446</v>
      </c>
      <c r="P13" s="3265" t="s">
        <v>3482</v>
      </c>
      <c r="Q13" s="3265" t="s">
        <v>3406</v>
      </c>
      <c r="R13" s="3265" t="s">
        <v>3483</v>
      </c>
      <c r="S13" s="3265">
        <v>742.66</v>
      </c>
      <c r="T13" s="3265">
        <v>38.07</v>
      </c>
      <c r="U13" s="3265">
        <v>816</v>
      </c>
      <c r="V13" s="3265">
        <v>0</v>
      </c>
      <c r="W13" s="3265" t="s">
        <v>3408</v>
      </c>
      <c r="X13" s="3265" t="s">
        <v>3409</v>
      </c>
      <c r="Y13" s="3265" t="s">
        <v>3409</v>
      </c>
    </row>
    <row r="14" spans="1:25">
      <c r="A14" s="3263" t="s">
        <v>3484</v>
      </c>
      <c r="B14" s="3263" t="s">
        <v>3485</v>
      </c>
      <c r="C14" s="3263" t="s">
        <v>3129</v>
      </c>
      <c r="D14" s="3263" t="s">
        <v>3399</v>
      </c>
      <c r="E14" s="3263" t="s">
        <v>3400</v>
      </c>
      <c r="F14" s="3263" t="s">
        <v>3434</v>
      </c>
      <c r="G14" s="3263" t="s">
        <v>3402</v>
      </c>
      <c r="H14" s="3263">
        <v>6782.77</v>
      </c>
      <c r="I14" s="3263">
        <v>10174.16</v>
      </c>
      <c r="J14" s="3263" t="s">
        <v>3435</v>
      </c>
      <c r="K14" s="3263" t="s">
        <v>3403</v>
      </c>
      <c r="L14" s="3263" t="s">
        <v>3402</v>
      </c>
      <c r="M14" s="3263" t="s">
        <v>3436</v>
      </c>
      <c r="N14" s="3263" t="s">
        <v>3486</v>
      </c>
      <c r="O14" s="3264">
        <v>44433</v>
      </c>
      <c r="P14" s="3263" t="s">
        <v>3487</v>
      </c>
      <c r="Q14" s="3263" t="s">
        <v>3406</v>
      </c>
      <c r="R14" s="3263" t="s">
        <v>3488</v>
      </c>
      <c r="S14" s="3263">
        <v>768.15</v>
      </c>
      <c r="T14" s="3263">
        <v>75.5</v>
      </c>
      <c r="U14" s="3263">
        <v>755</v>
      </c>
      <c r="V14" s="3263">
        <v>0</v>
      </c>
      <c r="W14" s="3263" t="s">
        <v>3408</v>
      </c>
      <c r="X14" s="3263" t="s">
        <v>3409</v>
      </c>
      <c r="Y14" s="3263" t="s">
        <v>3409</v>
      </c>
    </row>
    <row r="15" spans="1:25" s="3265" customFormat="1">
      <c r="A15" s="3265" t="s">
        <v>3489</v>
      </c>
      <c r="B15" s="3265" t="s">
        <v>3490</v>
      </c>
      <c r="C15" s="3265" t="s">
        <v>3129</v>
      </c>
      <c r="D15" s="3265" t="s">
        <v>3399</v>
      </c>
      <c r="E15" s="3265" t="s">
        <v>3400</v>
      </c>
      <c r="F15" s="3265" t="s">
        <v>3491</v>
      </c>
      <c r="G15" s="3265" t="s">
        <v>3402</v>
      </c>
      <c r="H15" s="3265">
        <v>106037.9</v>
      </c>
      <c r="I15" s="3265">
        <v>212075.8</v>
      </c>
      <c r="J15" s="3265" t="s">
        <v>3492</v>
      </c>
      <c r="K15" s="3265" t="s">
        <v>3403</v>
      </c>
      <c r="L15" s="3265" t="s">
        <v>3481</v>
      </c>
      <c r="M15" s="3265" t="s">
        <v>3428</v>
      </c>
      <c r="N15" s="3265" t="s">
        <v>3493</v>
      </c>
      <c r="O15" s="3266">
        <v>44424</v>
      </c>
      <c r="P15" s="3265" t="s">
        <v>3494</v>
      </c>
      <c r="Q15" s="3265" t="s">
        <v>3406</v>
      </c>
      <c r="R15" s="3265" t="s">
        <v>3495</v>
      </c>
      <c r="S15" s="3265">
        <v>21377.24</v>
      </c>
      <c r="T15" s="3265">
        <v>134.4</v>
      </c>
      <c r="U15" s="3265">
        <v>1008</v>
      </c>
      <c r="V15" s="3265">
        <v>0</v>
      </c>
      <c r="W15" s="3265" t="s">
        <v>3408</v>
      </c>
      <c r="X15" s="3265" t="s">
        <v>3409</v>
      </c>
      <c r="Y15" s="3265" t="s">
        <v>3409</v>
      </c>
    </row>
    <row r="16" spans="1:25">
      <c r="A16" s="3263" t="s">
        <v>3496</v>
      </c>
      <c r="B16" s="3263" t="s">
        <v>3497</v>
      </c>
      <c r="C16" s="3263" t="s">
        <v>3129</v>
      </c>
      <c r="D16" s="3263" t="s">
        <v>3399</v>
      </c>
      <c r="E16" s="3263" t="s">
        <v>3400</v>
      </c>
      <c r="F16" s="3263" t="s">
        <v>3498</v>
      </c>
      <c r="G16" s="3263" t="s">
        <v>3402</v>
      </c>
      <c r="H16" s="3263">
        <v>132895.59</v>
      </c>
      <c r="I16" s="3263">
        <v>132895.59</v>
      </c>
      <c r="J16" s="3263" t="s">
        <v>3499</v>
      </c>
      <c r="K16" s="3263" t="s">
        <v>3403</v>
      </c>
      <c r="L16" s="3263" t="s">
        <v>3500</v>
      </c>
      <c r="M16" s="3263" t="s">
        <v>3400</v>
      </c>
      <c r="N16" s="3263" t="s">
        <v>3501</v>
      </c>
      <c r="O16" s="3264">
        <v>44350</v>
      </c>
      <c r="P16" s="3263" t="s">
        <v>3502</v>
      </c>
      <c r="Q16" s="3263" t="s">
        <v>3406</v>
      </c>
      <c r="R16" s="3263" t="s">
        <v>3503</v>
      </c>
      <c r="S16" s="3263">
        <v>17928.64</v>
      </c>
      <c r="T16" s="3263">
        <v>89.94</v>
      </c>
      <c r="U16" s="3263">
        <v>1349</v>
      </c>
      <c r="V16" s="3263">
        <v>0</v>
      </c>
      <c r="W16" s="3263" t="s">
        <v>3408</v>
      </c>
      <c r="X16" s="3263" t="s">
        <v>3409</v>
      </c>
      <c r="Y16" s="3263" t="s">
        <v>3409</v>
      </c>
    </row>
    <row r="17" spans="1:25">
      <c r="A17" s="3263" t="s">
        <v>3504</v>
      </c>
      <c r="B17" s="3263" t="s">
        <v>3505</v>
      </c>
      <c r="C17" s="3263" t="s">
        <v>3129</v>
      </c>
      <c r="D17" s="3263" t="s">
        <v>3399</v>
      </c>
      <c r="E17" s="3263" t="s">
        <v>3400</v>
      </c>
      <c r="F17" s="3263" t="s">
        <v>3506</v>
      </c>
      <c r="G17" s="3263" t="s">
        <v>3402</v>
      </c>
      <c r="H17" s="3263">
        <v>128009.8</v>
      </c>
      <c r="I17" s="3263">
        <v>256019.6</v>
      </c>
      <c r="J17" s="3263" t="s">
        <v>3507</v>
      </c>
      <c r="K17" s="3263" t="s">
        <v>3403</v>
      </c>
      <c r="L17" s="3263" t="s">
        <v>3481</v>
      </c>
      <c r="M17" s="3263" t="s">
        <v>3400</v>
      </c>
      <c r="N17" s="3263" t="s">
        <v>3508</v>
      </c>
      <c r="O17" s="3264">
        <v>44349</v>
      </c>
      <c r="P17" s="3263" t="s">
        <v>3509</v>
      </c>
      <c r="Q17" s="3263" t="s">
        <v>3406</v>
      </c>
      <c r="R17" s="3263" t="s">
        <v>3510</v>
      </c>
      <c r="S17" s="3263">
        <v>14618.72</v>
      </c>
      <c r="T17" s="3263">
        <v>76.13</v>
      </c>
      <c r="U17" s="3263">
        <v>571</v>
      </c>
      <c r="V17" s="3263">
        <v>0</v>
      </c>
      <c r="W17" s="3263" t="s">
        <v>3408</v>
      </c>
      <c r="X17" s="3263" t="s">
        <v>3409</v>
      </c>
      <c r="Y17" s="3263" t="s">
        <v>3409</v>
      </c>
    </row>
    <row r="18" spans="1:25">
      <c r="A18" s="3263" t="s">
        <v>3511</v>
      </c>
      <c r="B18" s="3263" t="s">
        <v>3512</v>
      </c>
      <c r="C18" s="3263" t="s">
        <v>3129</v>
      </c>
      <c r="D18" s="3263" t="s">
        <v>3399</v>
      </c>
      <c r="E18" s="3263" t="s">
        <v>3400</v>
      </c>
      <c r="F18" s="3263" t="s">
        <v>3513</v>
      </c>
      <c r="G18" s="3263" t="s">
        <v>3402</v>
      </c>
      <c r="H18" s="3263">
        <v>32265.9</v>
      </c>
      <c r="I18" s="3263">
        <v>38719.08</v>
      </c>
      <c r="J18" s="3263" t="s">
        <v>3514</v>
      </c>
      <c r="K18" s="3263" t="s">
        <v>3403</v>
      </c>
      <c r="L18" s="3263" t="s">
        <v>3515</v>
      </c>
      <c r="M18" s="3263" t="s">
        <v>3400</v>
      </c>
      <c r="N18" s="3263" t="s">
        <v>3400</v>
      </c>
      <c r="O18" s="3264">
        <v>44335</v>
      </c>
      <c r="P18" s="3263" t="s">
        <v>3516</v>
      </c>
      <c r="Q18" s="3263" t="s">
        <v>3406</v>
      </c>
      <c r="R18" s="3263" t="s">
        <v>3517</v>
      </c>
      <c r="S18" s="3263">
        <v>2578.69</v>
      </c>
      <c r="T18" s="3263">
        <v>53.28</v>
      </c>
      <c r="U18" s="3263">
        <v>666</v>
      </c>
      <c r="V18" s="3263">
        <v>0</v>
      </c>
      <c r="W18" s="3263" t="s">
        <v>3408</v>
      </c>
      <c r="X18" s="3263" t="s">
        <v>3409</v>
      </c>
      <c r="Y18" s="3263" t="s">
        <v>3409</v>
      </c>
    </row>
    <row r="19" spans="1:25">
      <c r="A19" s="3263" t="s">
        <v>3518</v>
      </c>
      <c r="B19" s="3263" t="s">
        <v>3519</v>
      </c>
      <c r="C19" s="3263" t="s">
        <v>3129</v>
      </c>
      <c r="D19" s="3263" t="s">
        <v>3399</v>
      </c>
      <c r="E19" s="3263" t="s">
        <v>3400</v>
      </c>
      <c r="F19" s="3263" t="s">
        <v>3520</v>
      </c>
      <c r="G19" s="3263" t="s">
        <v>3402</v>
      </c>
      <c r="H19" s="3263">
        <v>145654</v>
      </c>
      <c r="I19" s="3263">
        <v>356072.51</v>
      </c>
      <c r="J19" s="3263" t="s">
        <v>3521</v>
      </c>
      <c r="K19" s="3263" t="s">
        <v>3403</v>
      </c>
      <c r="L19" s="3263" t="s">
        <v>3522</v>
      </c>
      <c r="M19" s="3263" t="s">
        <v>3523</v>
      </c>
      <c r="N19" s="3263" t="s">
        <v>3524</v>
      </c>
      <c r="O19" s="3264">
        <v>44329</v>
      </c>
      <c r="P19" s="3263" t="s">
        <v>3525</v>
      </c>
      <c r="Q19" s="3263" t="s">
        <v>3406</v>
      </c>
      <c r="R19" s="3263" t="s">
        <v>3462</v>
      </c>
      <c r="S19" s="3263">
        <v>38455.83</v>
      </c>
      <c r="T19" s="3263">
        <v>176.01</v>
      </c>
      <c r="U19" s="3263">
        <v>1080</v>
      </c>
      <c r="V19" s="3263">
        <v>0</v>
      </c>
      <c r="W19" s="3263" t="s">
        <v>3463</v>
      </c>
      <c r="X19" s="3263" t="s">
        <v>3409</v>
      </c>
      <c r="Y19" s="3263" t="s">
        <v>3409</v>
      </c>
    </row>
    <row r="20" spans="1:25">
      <c r="A20" s="3263" t="s">
        <v>3526</v>
      </c>
      <c r="B20" s="3263" t="s">
        <v>3527</v>
      </c>
      <c r="C20" s="3263" t="s">
        <v>3129</v>
      </c>
      <c r="D20" s="3263" t="s">
        <v>3399</v>
      </c>
      <c r="E20" s="3263" t="s">
        <v>3400</v>
      </c>
      <c r="F20" s="3263" t="s">
        <v>3528</v>
      </c>
      <c r="G20" s="3263" t="s">
        <v>3402</v>
      </c>
      <c r="H20" s="3263">
        <v>12863.4</v>
      </c>
      <c r="I20" s="3263">
        <v>19295.099999999999</v>
      </c>
      <c r="J20" s="3263" t="s">
        <v>3435</v>
      </c>
      <c r="K20" s="3263" t="s">
        <v>3403</v>
      </c>
      <c r="L20" s="3263" t="s">
        <v>3481</v>
      </c>
      <c r="M20" s="3263" t="s">
        <v>3400</v>
      </c>
      <c r="N20" s="3263" t="s">
        <v>3460</v>
      </c>
      <c r="O20" s="3264">
        <v>44306</v>
      </c>
      <c r="P20" s="3263" t="s">
        <v>3529</v>
      </c>
      <c r="Q20" s="3263" t="s">
        <v>3406</v>
      </c>
      <c r="R20" s="3263" t="s">
        <v>3530</v>
      </c>
      <c r="S20" s="3263">
        <v>1132.6199999999999</v>
      </c>
      <c r="T20" s="3263">
        <v>58.7</v>
      </c>
      <c r="U20" s="3263">
        <v>587</v>
      </c>
      <c r="V20" s="3263">
        <v>0</v>
      </c>
      <c r="W20" s="3263" t="s">
        <v>3408</v>
      </c>
      <c r="X20" s="3263" t="s">
        <v>3409</v>
      </c>
      <c r="Y20" s="3263" t="s">
        <v>3409</v>
      </c>
    </row>
    <row r="21" spans="1:25">
      <c r="A21" s="3263" t="s">
        <v>3531</v>
      </c>
      <c r="B21" s="3263" t="s">
        <v>3532</v>
      </c>
      <c r="C21" s="3263" t="s">
        <v>3129</v>
      </c>
      <c r="D21" s="3263" t="s">
        <v>3399</v>
      </c>
      <c r="E21" s="3263" t="s">
        <v>3400</v>
      </c>
      <c r="F21" s="3263" t="s">
        <v>3533</v>
      </c>
      <c r="G21" s="3263" t="s">
        <v>3402</v>
      </c>
      <c r="H21" s="3263">
        <v>34162.300000000003</v>
      </c>
      <c r="I21" s="3263">
        <v>68324.600000000006</v>
      </c>
      <c r="J21" s="3263" t="s">
        <v>3492</v>
      </c>
      <c r="K21" s="3263" t="s">
        <v>3403</v>
      </c>
      <c r="L21" s="3263" t="s">
        <v>3522</v>
      </c>
      <c r="M21" s="3263" t="s">
        <v>3534</v>
      </c>
      <c r="N21" s="3263" t="s">
        <v>3508</v>
      </c>
      <c r="O21" s="3264">
        <v>44287</v>
      </c>
      <c r="P21" s="3263" t="s">
        <v>3535</v>
      </c>
      <c r="Q21" s="3263" t="s">
        <v>3406</v>
      </c>
      <c r="R21" s="3263" t="s">
        <v>3536</v>
      </c>
      <c r="S21" s="3263">
        <v>4550.42</v>
      </c>
      <c r="T21" s="3263">
        <v>88.8</v>
      </c>
      <c r="U21" s="3263">
        <v>666</v>
      </c>
      <c r="V21" s="3263">
        <v>0</v>
      </c>
      <c r="W21" s="3263" t="s">
        <v>3431</v>
      </c>
      <c r="X21" s="3263" t="s">
        <v>3409</v>
      </c>
      <c r="Y21" s="3263" t="s">
        <v>3409</v>
      </c>
    </row>
    <row r="22" spans="1:25">
      <c r="A22" s="3263" t="s">
        <v>3537</v>
      </c>
      <c r="B22" s="3263" t="s">
        <v>3538</v>
      </c>
      <c r="C22" s="3263" t="s">
        <v>3129</v>
      </c>
      <c r="D22" s="3263" t="s">
        <v>3399</v>
      </c>
      <c r="E22" s="3263" t="s">
        <v>3400</v>
      </c>
      <c r="F22" s="3263" t="s">
        <v>3539</v>
      </c>
      <c r="G22" s="3263" t="s">
        <v>3402</v>
      </c>
      <c r="H22" s="3263">
        <v>23044.5</v>
      </c>
      <c r="I22" s="3263">
        <v>46089</v>
      </c>
      <c r="J22" s="3263" t="s">
        <v>3492</v>
      </c>
      <c r="K22" s="3263" t="s">
        <v>3403</v>
      </c>
      <c r="L22" s="3263" t="s">
        <v>3404</v>
      </c>
      <c r="M22" s="3263" t="s">
        <v>3400</v>
      </c>
      <c r="N22" s="3263" t="s">
        <v>3460</v>
      </c>
      <c r="O22" s="3264">
        <v>44266</v>
      </c>
      <c r="P22" s="3263" t="s">
        <v>3540</v>
      </c>
      <c r="Q22" s="3263" t="s">
        <v>3406</v>
      </c>
      <c r="R22" s="3263" t="s">
        <v>3541</v>
      </c>
      <c r="S22" s="3263">
        <v>3346.06</v>
      </c>
      <c r="T22" s="3263">
        <v>96.8</v>
      </c>
      <c r="U22" s="3263">
        <v>726</v>
      </c>
      <c r="V22" s="3263">
        <v>0</v>
      </c>
      <c r="W22" s="3263" t="s">
        <v>3408</v>
      </c>
      <c r="X22" s="3263" t="s">
        <v>3409</v>
      </c>
      <c r="Y22" s="3263" t="s">
        <v>3409</v>
      </c>
    </row>
    <row r="23" spans="1:25">
      <c r="A23" s="3263" t="s">
        <v>3542</v>
      </c>
      <c r="B23" s="3263" t="s">
        <v>3543</v>
      </c>
      <c r="C23" s="3263" t="s">
        <v>3129</v>
      </c>
      <c r="D23" s="3263" t="s">
        <v>3399</v>
      </c>
      <c r="E23" s="3263" t="s">
        <v>3400</v>
      </c>
      <c r="F23" s="3263" t="s">
        <v>3498</v>
      </c>
      <c r="G23" s="3263" t="s">
        <v>3402</v>
      </c>
      <c r="H23" s="3263">
        <v>110807.97</v>
      </c>
      <c r="I23" s="3263">
        <v>149590.76</v>
      </c>
      <c r="J23" s="3263" t="s">
        <v>3544</v>
      </c>
      <c r="K23" s="3263" t="s">
        <v>3403</v>
      </c>
      <c r="L23" s="3263" t="s">
        <v>3402</v>
      </c>
      <c r="M23" s="3263" t="s">
        <v>3545</v>
      </c>
      <c r="N23" s="3263" t="s">
        <v>3448</v>
      </c>
      <c r="O23" s="3264">
        <v>44263</v>
      </c>
      <c r="P23" s="3263" t="s">
        <v>3546</v>
      </c>
      <c r="Q23" s="3263" t="s">
        <v>3406</v>
      </c>
      <c r="R23" s="3263" t="s">
        <v>3547</v>
      </c>
      <c r="S23" s="3263">
        <v>11293.36</v>
      </c>
      <c r="T23" s="3263">
        <v>67.95</v>
      </c>
      <c r="U23" s="3263">
        <v>755</v>
      </c>
      <c r="V23" s="3263">
        <v>0</v>
      </c>
      <c r="W23" s="3263" t="s">
        <v>3408</v>
      </c>
      <c r="X23" s="3263" t="s">
        <v>3409</v>
      </c>
      <c r="Y23" s="3263" t="s">
        <v>3409</v>
      </c>
    </row>
    <row r="24" spans="1:25">
      <c r="A24" s="3263" t="s">
        <v>3548</v>
      </c>
      <c r="B24" s="3263" t="s">
        <v>3549</v>
      </c>
      <c r="C24" s="3263" t="s">
        <v>3129</v>
      </c>
      <c r="D24" s="3263" t="s">
        <v>3399</v>
      </c>
      <c r="E24" s="3263" t="s">
        <v>3400</v>
      </c>
      <c r="F24" s="3263" t="s">
        <v>3550</v>
      </c>
      <c r="G24" s="3263" t="s">
        <v>3402</v>
      </c>
      <c r="H24" s="3263">
        <v>16922.8</v>
      </c>
      <c r="I24" s="3263">
        <v>33845.599999999999</v>
      </c>
      <c r="J24" s="3263" t="s">
        <v>3492</v>
      </c>
      <c r="K24" s="3263" t="s">
        <v>3403</v>
      </c>
      <c r="L24" s="3263" t="s">
        <v>3404</v>
      </c>
      <c r="M24" s="3263" t="s">
        <v>3400</v>
      </c>
      <c r="N24" s="3263" t="s">
        <v>3400</v>
      </c>
      <c r="O24" s="3264">
        <v>44229</v>
      </c>
      <c r="P24" s="3263" t="s">
        <v>3551</v>
      </c>
      <c r="Q24" s="3263" t="s">
        <v>3406</v>
      </c>
      <c r="R24" s="3263" t="s">
        <v>3552</v>
      </c>
      <c r="S24" s="3263">
        <v>2254.12</v>
      </c>
      <c r="T24" s="3263">
        <v>88.8</v>
      </c>
      <c r="U24" s="3263">
        <v>666</v>
      </c>
      <c r="V24" s="3263">
        <v>0</v>
      </c>
      <c r="W24" s="3263" t="s">
        <v>3408</v>
      </c>
      <c r="X24" s="3263" t="s">
        <v>3409</v>
      </c>
      <c r="Y24" s="3263" t="s">
        <v>3409</v>
      </c>
    </row>
    <row r="25" spans="1:25">
      <c r="A25" s="3263" t="s">
        <v>3553</v>
      </c>
      <c r="B25" s="3263" t="s">
        <v>3554</v>
      </c>
      <c r="C25" s="3263" t="s">
        <v>3129</v>
      </c>
      <c r="D25" s="3263" t="s">
        <v>3399</v>
      </c>
      <c r="E25" s="3263" t="s">
        <v>3400</v>
      </c>
      <c r="F25" s="3263" t="s">
        <v>3555</v>
      </c>
      <c r="G25" s="3263" t="s">
        <v>3402</v>
      </c>
      <c r="H25" s="3263">
        <v>33333</v>
      </c>
      <c r="I25" s="3263">
        <v>40000</v>
      </c>
      <c r="J25" s="3263" t="s">
        <v>3514</v>
      </c>
      <c r="K25" s="3263" t="s">
        <v>3403</v>
      </c>
      <c r="L25" s="3263" t="s">
        <v>3404</v>
      </c>
      <c r="M25" s="3263" t="s">
        <v>3400</v>
      </c>
      <c r="N25" s="3263" t="s">
        <v>3448</v>
      </c>
      <c r="O25" s="3264">
        <v>44229</v>
      </c>
      <c r="P25" s="3263" t="s">
        <v>3556</v>
      </c>
      <c r="Q25" s="3263" t="s">
        <v>3406</v>
      </c>
      <c r="R25" s="3263" t="s">
        <v>3557</v>
      </c>
      <c r="S25" s="3263">
        <v>5935.6</v>
      </c>
      <c r="T25" s="3263">
        <v>118.71</v>
      </c>
      <c r="U25" s="3263">
        <v>1484</v>
      </c>
      <c r="V25" s="3263">
        <v>0</v>
      </c>
      <c r="W25" s="3263" t="s">
        <v>3408</v>
      </c>
      <c r="X25" s="3263" t="s">
        <v>3409</v>
      </c>
      <c r="Y25" s="3263" t="s">
        <v>3409</v>
      </c>
    </row>
    <row r="26" spans="1:25">
      <c r="A26" s="3263" t="s">
        <v>3558</v>
      </c>
      <c r="B26" s="3263" t="s">
        <v>3559</v>
      </c>
      <c r="C26" s="3263" t="s">
        <v>3129</v>
      </c>
      <c r="D26" s="3263" t="s">
        <v>3399</v>
      </c>
      <c r="E26" s="3263" t="s">
        <v>3400</v>
      </c>
      <c r="F26" s="3263" t="s">
        <v>3560</v>
      </c>
      <c r="G26" s="3263" t="s">
        <v>3402</v>
      </c>
      <c r="H26" s="3263">
        <v>471181.9</v>
      </c>
      <c r="I26" s="3263">
        <v>942363.8</v>
      </c>
      <c r="J26" s="3263" t="s">
        <v>3492</v>
      </c>
      <c r="K26" s="3263" t="s">
        <v>3403</v>
      </c>
      <c r="L26" s="3263" t="s">
        <v>3522</v>
      </c>
      <c r="M26" s="3263" t="s">
        <v>3561</v>
      </c>
      <c r="N26" s="3263" t="s">
        <v>3508</v>
      </c>
      <c r="O26" s="3264">
        <v>44194</v>
      </c>
      <c r="P26" s="3263" t="s">
        <v>3562</v>
      </c>
      <c r="Q26" s="3263" t="s">
        <v>3406</v>
      </c>
      <c r="R26" s="3263" t="s">
        <v>3563</v>
      </c>
      <c r="S26" s="3263">
        <v>80100.92</v>
      </c>
      <c r="T26" s="3263">
        <v>113.33</v>
      </c>
      <c r="U26" s="3263">
        <v>850</v>
      </c>
      <c r="V26" s="3263">
        <v>0</v>
      </c>
      <c r="W26" s="3263" t="s">
        <v>3463</v>
      </c>
      <c r="X26" s="3263" t="s">
        <v>3409</v>
      </c>
      <c r="Y26" s="3263" t="s">
        <v>3409</v>
      </c>
    </row>
    <row r="27" spans="1:25">
      <c r="A27" s="3263" t="s">
        <v>3564</v>
      </c>
      <c r="B27" s="3263" t="s">
        <v>3565</v>
      </c>
      <c r="C27" s="3263" t="s">
        <v>3129</v>
      </c>
      <c r="D27" s="3263" t="s">
        <v>3399</v>
      </c>
      <c r="E27" s="3263" t="s">
        <v>3400</v>
      </c>
      <c r="F27" s="3263" t="s">
        <v>3566</v>
      </c>
      <c r="G27" s="3263" t="s">
        <v>3402</v>
      </c>
      <c r="H27" s="3263">
        <v>22695.8</v>
      </c>
      <c r="I27" s="3263">
        <v>40852.44</v>
      </c>
      <c r="J27" s="3263" t="s">
        <v>3567</v>
      </c>
      <c r="K27" s="3263" t="s">
        <v>3403</v>
      </c>
      <c r="L27" s="3263" t="s">
        <v>3404</v>
      </c>
      <c r="M27" s="3263" t="s">
        <v>3561</v>
      </c>
      <c r="N27" s="3263" t="s">
        <v>3508</v>
      </c>
      <c r="O27" s="3264">
        <v>44189</v>
      </c>
      <c r="P27" s="3263" t="s">
        <v>3568</v>
      </c>
      <c r="Q27" s="3263" t="s">
        <v>3406</v>
      </c>
      <c r="R27" s="3263" t="s">
        <v>3569</v>
      </c>
      <c r="S27" s="3263">
        <v>4412.0600000000004</v>
      </c>
      <c r="T27" s="3263">
        <v>129.6</v>
      </c>
      <c r="U27" s="3263">
        <v>1080</v>
      </c>
      <c r="V27" s="3263">
        <v>0</v>
      </c>
      <c r="W27" s="3263" t="s">
        <v>3408</v>
      </c>
      <c r="X27" s="3263" t="s">
        <v>3409</v>
      </c>
      <c r="Y27" s="3263" t="s">
        <v>3409</v>
      </c>
    </row>
    <row r="28" spans="1:25">
      <c r="A28" s="3263" t="s">
        <v>3570</v>
      </c>
      <c r="B28" s="3263" t="s">
        <v>3571</v>
      </c>
      <c r="C28" s="3263" t="s">
        <v>3129</v>
      </c>
      <c r="D28" s="3263" t="s">
        <v>3399</v>
      </c>
      <c r="E28" s="3263" t="s">
        <v>3400</v>
      </c>
      <c r="F28" s="3263" t="s">
        <v>3572</v>
      </c>
      <c r="G28" s="3263" t="s">
        <v>3402</v>
      </c>
      <c r="H28" s="3263">
        <v>14690.2</v>
      </c>
      <c r="I28" s="3263">
        <v>29380.400000000001</v>
      </c>
      <c r="J28" s="3263" t="s">
        <v>3492</v>
      </c>
      <c r="K28" s="3263" t="s">
        <v>3403</v>
      </c>
      <c r="L28" s="3263" t="s">
        <v>3522</v>
      </c>
      <c r="M28" s="3263" t="s">
        <v>3561</v>
      </c>
      <c r="N28" s="3263" t="s">
        <v>3508</v>
      </c>
      <c r="O28" s="3264">
        <v>44173</v>
      </c>
      <c r="P28" s="3263" t="s">
        <v>3573</v>
      </c>
      <c r="Q28" s="3263" t="s">
        <v>3406</v>
      </c>
      <c r="R28" s="3263" t="s">
        <v>3574</v>
      </c>
      <c r="S28" s="3263">
        <v>1956.73</v>
      </c>
      <c r="T28" s="3263">
        <v>88.8</v>
      </c>
      <c r="U28" s="3263">
        <v>666</v>
      </c>
      <c r="V28" s="3263">
        <v>0</v>
      </c>
      <c r="W28" s="3263" t="s">
        <v>3408</v>
      </c>
      <c r="X28" s="3263" t="s">
        <v>3409</v>
      </c>
      <c r="Y28" s="3263" t="s">
        <v>3409</v>
      </c>
    </row>
    <row r="29" spans="1:25">
      <c r="A29" s="3263" t="s">
        <v>3575</v>
      </c>
      <c r="B29" s="3263" t="s">
        <v>3576</v>
      </c>
      <c r="C29" s="3263" t="s">
        <v>3129</v>
      </c>
      <c r="D29" s="3263" t="s">
        <v>3399</v>
      </c>
      <c r="E29" s="3263" t="s">
        <v>3400</v>
      </c>
      <c r="F29" s="3263" t="s">
        <v>3577</v>
      </c>
      <c r="G29" s="3263" t="s">
        <v>3402</v>
      </c>
      <c r="H29" s="3263">
        <v>20195.2</v>
      </c>
      <c r="I29" s="3263">
        <v>24234.240000000002</v>
      </c>
      <c r="J29" s="3263" t="s">
        <v>3514</v>
      </c>
      <c r="K29" s="3263" t="s">
        <v>3403</v>
      </c>
      <c r="L29" s="3263" t="s">
        <v>3522</v>
      </c>
      <c r="M29" s="3263" t="s">
        <v>3561</v>
      </c>
      <c r="N29" s="3263" t="s">
        <v>3448</v>
      </c>
      <c r="O29" s="3264">
        <v>44173</v>
      </c>
      <c r="P29" s="3263" t="s">
        <v>3578</v>
      </c>
      <c r="Q29" s="3263" t="s">
        <v>3406</v>
      </c>
      <c r="R29" s="3263" t="s">
        <v>3579</v>
      </c>
      <c r="S29" s="3263">
        <v>1614</v>
      </c>
      <c r="T29" s="3263">
        <v>53.28</v>
      </c>
      <c r="U29" s="3263">
        <v>666</v>
      </c>
      <c r="V29" s="3263">
        <v>0</v>
      </c>
      <c r="W29" s="3263" t="s">
        <v>3408</v>
      </c>
      <c r="X29" s="3263" t="s">
        <v>3409</v>
      </c>
      <c r="Y29" s="3263" t="s">
        <v>3409</v>
      </c>
    </row>
    <row r="30" spans="1:25">
      <c r="A30" s="3263" t="s">
        <v>3580</v>
      </c>
      <c r="B30" s="3263" t="s">
        <v>3581</v>
      </c>
      <c r="C30" s="3263" t="s">
        <v>3129</v>
      </c>
      <c r="D30" s="3263" t="s">
        <v>3399</v>
      </c>
      <c r="E30" s="3263" t="s">
        <v>3400</v>
      </c>
      <c r="F30" s="3263" t="s">
        <v>3582</v>
      </c>
      <c r="G30" s="3263" t="s">
        <v>3402</v>
      </c>
      <c r="H30" s="3263">
        <v>12168</v>
      </c>
      <c r="I30" s="3263">
        <v>12168</v>
      </c>
      <c r="J30" s="3263" t="s">
        <v>3583</v>
      </c>
      <c r="K30" s="3263" t="s">
        <v>3403</v>
      </c>
      <c r="L30" s="3263" t="s">
        <v>3584</v>
      </c>
      <c r="M30" s="3263" t="s">
        <v>3561</v>
      </c>
      <c r="N30" s="3263" t="s">
        <v>3460</v>
      </c>
      <c r="O30" s="3264">
        <v>44173</v>
      </c>
      <c r="P30" s="3263" t="s">
        <v>3585</v>
      </c>
      <c r="Q30" s="3263" t="s">
        <v>3406</v>
      </c>
      <c r="R30" s="3263" t="s">
        <v>3462</v>
      </c>
      <c r="S30" s="3263">
        <v>883.4</v>
      </c>
      <c r="T30" s="3263">
        <v>48.4</v>
      </c>
      <c r="U30" s="3263">
        <v>726</v>
      </c>
      <c r="V30" s="3263">
        <v>0</v>
      </c>
      <c r="W30" s="3263" t="s">
        <v>3408</v>
      </c>
      <c r="X30" s="3263" t="s">
        <v>3409</v>
      </c>
      <c r="Y30" s="3263" t="s">
        <v>3409</v>
      </c>
    </row>
    <row r="31" spans="1:25">
      <c r="A31" s="3263" t="s">
        <v>3586</v>
      </c>
      <c r="B31" s="3263" t="s">
        <v>3587</v>
      </c>
      <c r="C31" s="3263" t="s">
        <v>3129</v>
      </c>
      <c r="D31" s="3263" t="s">
        <v>3399</v>
      </c>
      <c r="E31" s="3263" t="s">
        <v>3588</v>
      </c>
      <c r="F31" s="3263" t="s">
        <v>3589</v>
      </c>
      <c r="G31" s="3263" t="s">
        <v>3402</v>
      </c>
      <c r="H31" s="3263">
        <v>66050.399999999994</v>
      </c>
      <c r="I31" s="3263">
        <v>99075.6</v>
      </c>
      <c r="J31" s="3263" t="s">
        <v>3435</v>
      </c>
      <c r="K31" s="3263" t="s">
        <v>3403</v>
      </c>
      <c r="L31" s="3263" t="s">
        <v>3522</v>
      </c>
      <c r="M31" s="3263" t="s">
        <v>3561</v>
      </c>
      <c r="N31" s="3263" t="s">
        <v>3460</v>
      </c>
      <c r="O31" s="3264">
        <v>44168</v>
      </c>
      <c r="P31" s="3263" t="s">
        <v>3590</v>
      </c>
      <c r="Q31" s="3263" t="s">
        <v>3406</v>
      </c>
      <c r="R31" s="3263" t="s">
        <v>3591</v>
      </c>
      <c r="S31" s="3263">
        <v>5815.74</v>
      </c>
      <c r="T31" s="3263">
        <v>58.7</v>
      </c>
      <c r="U31" s="3263">
        <v>587</v>
      </c>
      <c r="V31" s="3263">
        <v>0</v>
      </c>
      <c r="W31" s="3263" t="s">
        <v>3408</v>
      </c>
      <c r="X31" s="3263" t="s">
        <v>3409</v>
      </c>
      <c r="Y31" s="3263" t="s">
        <v>3409</v>
      </c>
    </row>
    <row r="32" spans="1:25">
      <c r="A32" s="3263" t="s">
        <v>3592</v>
      </c>
      <c r="B32" s="3263" t="s">
        <v>3593</v>
      </c>
      <c r="C32" s="3263" t="s">
        <v>3129</v>
      </c>
      <c r="D32" s="3263" t="s">
        <v>3399</v>
      </c>
      <c r="E32" s="3263" t="s">
        <v>3588</v>
      </c>
      <c r="F32" s="3263" t="s">
        <v>3594</v>
      </c>
      <c r="G32" s="3263" t="s">
        <v>3402</v>
      </c>
      <c r="H32" s="3263">
        <v>39596.699999999997</v>
      </c>
      <c r="I32" s="3263">
        <v>59395.05</v>
      </c>
      <c r="J32" s="3263" t="s">
        <v>3435</v>
      </c>
      <c r="K32" s="3263" t="s">
        <v>3403</v>
      </c>
      <c r="L32" s="3263" t="s">
        <v>3522</v>
      </c>
      <c r="M32" s="3263" t="s">
        <v>3561</v>
      </c>
      <c r="N32" s="3263" t="s">
        <v>3460</v>
      </c>
      <c r="O32" s="3264">
        <v>44168</v>
      </c>
      <c r="P32" s="3263" t="s">
        <v>3595</v>
      </c>
      <c r="Q32" s="3263" t="s">
        <v>3406</v>
      </c>
      <c r="R32" s="3263" t="s">
        <v>3596</v>
      </c>
      <c r="S32" s="3263">
        <v>3486.49</v>
      </c>
      <c r="T32" s="3263">
        <v>58.7</v>
      </c>
      <c r="U32" s="3263">
        <v>587</v>
      </c>
      <c r="V32" s="3263">
        <v>0</v>
      </c>
      <c r="W32" s="3263" t="s">
        <v>3408</v>
      </c>
      <c r="X32" s="3263" t="s">
        <v>3409</v>
      </c>
      <c r="Y32" s="3263" t="s">
        <v>3409</v>
      </c>
    </row>
    <row r="33" spans="1:25">
      <c r="A33" s="3263" t="s">
        <v>3597</v>
      </c>
      <c r="B33" s="3263" t="s">
        <v>3598</v>
      </c>
      <c r="C33" s="3263" t="s">
        <v>3129</v>
      </c>
      <c r="D33" s="3263" t="s">
        <v>3399</v>
      </c>
      <c r="E33" s="3263" t="s">
        <v>3599</v>
      </c>
      <c r="F33" s="3263" t="s">
        <v>3600</v>
      </c>
      <c r="G33" s="3263" t="s">
        <v>3402</v>
      </c>
      <c r="H33" s="3263">
        <v>33256</v>
      </c>
      <c r="I33" s="3263">
        <v>49884</v>
      </c>
      <c r="J33" s="3263" t="s">
        <v>3435</v>
      </c>
      <c r="K33" s="3263" t="s">
        <v>3403</v>
      </c>
      <c r="L33" s="3263" t="s">
        <v>3522</v>
      </c>
      <c r="M33" s="3263" t="s">
        <v>3561</v>
      </c>
      <c r="N33" s="3263" t="s">
        <v>3460</v>
      </c>
      <c r="O33" s="3264">
        <v>44168</v>
      </c>
      <c r="P33" s="3263" t="s">
        <v>3601</v>
      </c>
      <c r="Q33" s="3263" t="s">
        <v>3406</v>
      </c>
      <c r="R33" s="3263" t="s">
        <v>3602</v>
      </c>
      <c r="S33" s="3263">
        <v>2848.38</v>
      </c>
      <c r="T33" s="3263">
        <v>57.1</v>
      </c>
      <c r="U33" s="3263">
        <v>571</v>
      </c>
      <c r="V33" s="3263">
        <v>0</v>
      </c>
      <c r="W33" s="3263" t="s">
        <v>3408</v>
      </c>
      <c r="X33" s="3263" t="s">
        <v>3409</v>
      </c>
      <c r="Y33" s="3263" t="s">
        <v>3409</v>
      </c>
    </row>
    <row r="34" spans="1:25">
      <c r="A34" s="3263" t="s">
        <v>3603</v>
      </c>
      <c r="B34" s="3263" t="s">
        <v>3604</v>
      </c>
      <c r="C34" s="3263" t="s">
        <v>3129</v>
      </c>
      <c r="D34" s="3263" t="s">
        <v>3399</v>
      </c>
      <c r="E34" s="3263" t="s">
        <v>3400</v>
      </c>
      <c r="F34" s="3263" t="s">
        <v>3605</v>
      </c>
      <c r="G34" s="3263" t="s">
        <v>3402</v>
      </c>
      <c r="H34" s="3263">
        <v>73285.399999999994</v>
      </c>
      <c r="I34" s="3263">
        <v>109928.1</v>
      </c>
      <c r="J34" s="3263" t="s">
        <v>3435</v>
      </c>
      <c r="K34" s="3263" t="s">
        <v>3403</v>
      </c>
      <c r="L34" s="3263" t="s">
        <v>3522</v>
      </c>
      <c r="M34" s="3263" t="s">
        <v>3561</v>
      </c>
      <c r="N34" s="3263" t="s">
        <v>3460</v>
      </c>
      <c r="O34" s="3264">
        <v>44158</v>
      </c>
      <c r="P34" s="3263" t="s">
        <v>3606</v>
      </c>
      <c r="Q34" s="3263" t="s">
        <v>3406</v>
      </c>
      <c r="R34" s="3263" t="s">
        <v>3607</v>
      </c>
      <c r="S34" s="3263">
        <v>6276.89</v>
      </c>
      <c r="T34" s="3263">
        <v>57.1</v>
      </c>
      <c r="U34" s="3263">
        <v>571</v>
      </c>
      <c r="V34" s="3263">
        <v>0</v>
      </c>
      <c r="W34" s="3263" t="s">
        <v>3408</v>
      </c>
      <c r="X34" s="3263" t="s">
        <v>3409</v>
      </c>
      <c r="Y34" s="3263" t="s">
        <v>3409</v>
      </c>
    </row>
    <row r="35" spans="1:25">
      <c r="A35" s="3263" t="s">
        <v>3608</v>
      </c>
      <c r="B35" s="3263" t="s">
        <v>3609</v>
      </c>
      <c r="C35" s="3263" t="s">
        <v>3129</v>
      </c>
      <c r="D35" s="3263" t="s">
        <v>3399</v>
      </c>
      <c r="E35" s="3263" t="s">
        <v>3400</v>
      </c>
      <c r="F35" s="3263" t="s">
        <v>3610</v>
      </c>
      <c r="G35" s="3263" t="s">
        <v>3402</v>
      </c>
      <c r="H35" s="3263">
        <v>40148.6</v>
      </c>
      <c r="I35" s="3263">
        <v>60222.9</v>
      </c>
      <c r="J35" s="3263" t="s">
        <v>3435</v>
      </c>
      <c r="K35" s="3263" t="s">
        <v>3403</v>
      </c>
      <c r="L35" s="3263" t="s">
        <v>3522</v>
      </c>
      <c r="M35" s="3263" t="s">
        <v>3561</v>
      </c>
      <c r="N35" s="3263" t="s">
        <v>3460</v>
      </c>
      <c r="O35" s="3264">
        <v>44158</v>
      </c>
      <c r="P35" s="3263" t="s">
        <v>3611</v>
      </c>
      <c r="Q35" s="3263" t="s">
        <v>3406</v>
      </c>
      <c r="R35" s="3263" t="s">
        <v>3407</v>
      </c>
      <c r="S35" s="3263">
        <v>3438.73</v>
      </c>
      <c r="T35" s="3263">
        <v>57.1</v>
      </c>
      <c r="U35" s="3263">
        <v>571</v>
      </c>
      <c r="V35" s="3263">
        <v>0</v>
      </c>
      <c r="W35" s="3263" t="s">
        <v>3408</v>
      </c>
      <c r="X35" s="3263" t="s">
        <v>3409</v>
      </c>
      <c r="Y35" s="3263" t="s">
        <v>3409</v>
      </c>
    </row>
    <row r="36" spans="1:25">
      <c r="A36" s="3263" t="s">
        <v>3612</v>
      </c>
      <c r="B36" s="3263" t="s">
        <v>3613</v>
      </c>
      <c r="C36" s="3263" t="s">
        <v>3129</v>
      </c>
      <c r="D36" s="3263" t="s">
        <v>3399</v>
      </c>
      <c r="E36" s="3263" t="s">
        <v>3400</v>
      </c>
      <c r="F36" s="3263" t="s">
        <v>3614</v>
      </c>
      <c r="G36" s="3263" t="s">
        <v>3402</v>
      </c>
      <c r="H36" s="3263">
        <v>25694.7</v>
      </c>
      <c r="I36" s="3263">
        <v>38542.050000000003</v>
      </c>
      <c r="J36" s="3263" t="s">
        <v>3435</v>
      </c>
      <c r="K36" s="3263" t="s">
        <v>3403</v>
      </c>
      <c r="L36" s="3263" t="s">
        <v>3522</v>
      </c>
      <c r="M36" s="3263" t="s">
        <v>3561</v>
      </c>
      <c r="N36" s="3263" t="s">
        <v>3460</v>
      </c>
      <c r="O36" s="3264">
        <v>44158</v>
      </c>
      <c r="P36" s="3263" t="s">
        <v>3615</v>
      </c>
      <c r="Q36" s="3263" t="s">
        <v>3406</v>
      </c>
      <c r="R36" s="3263" t="s">
        <v>3616</v>
      </c>
      <c r="S36" s="3263">
        <v>2200.75</v>
      </c>
      <c r="T36" s="3263">
        <v>57.1</v>
      </c>
      <c r="U36" s="3263">
        <v>571</v>
      </c>
      <c r="V36" s="3263">
        <v>0</v>
      </c>
      <c r="W36" s="3263" t="s">
        <v>3408</v>
      </c>
      <c r="X36" s="3263" t="s">
        <v>3409</v>
      </c>
      <c r="Y36" s="3263" t="s">
        <v>3409</v>
      </c>
    </row>
    <row r="37" spans="1:25">
      <c r="A37" s="3263" t="s">
        <v>3617</v>
      </c>
      <c r="B37" s="3263" t="s">
        <v>3618</v>
      </c>
      <c r="C37" s="3263" t="s">
        <v>3129</v>
      </c>
      <c r="D37" s="3263" t="s">
        <v>3399</v>
      </c>
      <c r="E37" s="3263" t="s">
        <v>3400</v>
      </c>
      <c r="F37" s="3263" t="s">
        <v>3619</v>
      </c>
      <c r="G37" s="3263" t="s">
        <v>3402</v>
      </c>
      <c r="H37" s="3263">
        <v>30589.9</v>
      </c>
      <c r="I37" s="3263">
        <v>45884.85</v>
      </c>
      <c r="J37" s="3263" t="s">
        <v>3435</v>
      </c>
      <c r="K37" s="3263" t="s">
        <v>3403</v>
      </c>
      <c r="L37" s="3263" t="s">
        <v>3522</v>
      </c>
      <c r="M37" s="3263" t="s">
        <v>3561</v>
      </c>
      <c r="N37" s="3263" t="s">
        <v>3460</v>
      </c>
      <c r="O37" s="3264">
        <v>44158</v>
      </c>
      <c r="P37" s="3263" t="s">
        <v>3620</v>
      </c>
      <c r="Q37" s="3263" t="s">
        <v>3406</v>
      </c>
      <c r="R37" s="3263" t="s">
        <v>3621</v>
      </c>
      <c r="S37" s="3263">
        <v>2620.02</v>
      </c>
      <c r="T37" s="3263">
        <v>57.1</v>
      </c>
      <c r="U37" s="3263">
        <v>571</v>
      </c>
      <c r="V37" s="3263">
        <v>0</v>
      </c>
      <c r="W37" s="3263" t="s">
        <v>3408</v>
      </c>
      <c r="X37" s="3263" t="s">
        <v>3409</v>
      </c>
      <c r="Y37" s="3263" t="s">
        <v>3409</v>
      </c>
    </row>
    <row r="38" spans="1:25">
      <c r="A38" s="3263" t="s">
        <v>3622</v>
      </c>
      <c r="B38" s="3263" t="s">
        <v>3623</v>
      </c>
      <c r="C38" s="3263" t="s">
        <v>3129</v>
      </c>
      <c r="D38" s="3263" t="s">
        <v>3399</v>
      </c>
      <c r="E38" s="3263" t="s">
        <v>3412</v>
      </c>
      <c r="F38" s="3263" t="s">
        <v>3624</v>
      </c>
      <c r="G38" s="3263" t="s">
        <v>3402</v>
      </c>
      <c r="H38" s="3263">
        <v>26644.98</v>
      </c>
      <c r="I38" s="3263">
        <v>53289.96</v>
      </c>
      <c r="J38" s="3263" t="s">
        <v>3492</v>
      </c>
      <c r="K38" s="3263" t="s">
        <v>3403</v>
      </c>
      <c r="L38" s="3263" t="s">
        <v>3625</v>
      </c>
      <c r="M38" s="3263" t="s">
        <v>3400</v>
      </c>
      <c r="N38" s="3263" t="s">
        <v>3626</v>
      </c>
      <c r="O38" s="3264">
        <v>44139</v>
      </c>
      <c r="P38" s="3263" t="s">
        <v>3627</v>
      </c>
      <c r="Q38" s="3263" t="s">
        <v>3406</v>
      </c>
      <c r="R38" s="3263" t="s">
        <v>3628</v>
      </c>
      <c r="S38" s="3263">
        <v>3744.24</v>
      </c>
      <c r="T38" s="3263">
        <v>93.68</v>
      </c>
      <c r="U38" s="3263">
        <v>703</v>
      </c>
      <c r="V38" s="3263">
        <v>0</v>
      </c>
      <c r="W38" s="3263" t="s">
        <v>3408</v>
      </c>
      <c r="X38" s="3263" t="s">
        <v>3409</v>
      </c>
      <c r="Y38" s="3263" t="s">
        <v>3409</v>
      </c>
    </row>
    <row r="39" spans="1:25">
      <c r="A39" s="3263" t="s">
        <v>3629</v>
      </c>
      <c r="B39" s="3263" t="s">
        <v>3630</v>
      </c>
      <c r="C39" s="3263" t="s">
        <v>3129</v>
      </c>
      <c r="D39" s="3263" t="s">
        <v>3399</v>
      </c>
      <c r="E39" s="3263" t="s">
        <v>3412</v>
      </c>
      <c r="F39" s="3263" t="s">
        <v>3624</v>
      </c>
      <c r="G39" s="3263" t="s">
        <v>3402</v>
      </c>
      <c r="H39" s="3263">
        <v>67532.14</v>
      </c>
      <c r="I39" s="3263">
        <v>101298</v>
      </c>
      <c r="J39" s="3263" t="s">
        <v>3435</v>
      </c>
      <c r="K39" s="3263" t="s">
        <v>3403</v>
      </c>
      <c r="L39" s="3263" t="s">
        <v>3625</v>
      </c>
      <c r="M39" s="3263" t="s">
        <v>3400</v>
      </c>
      <c r="N39" s="3263" t="s">
        <v>3460</v>
      </c>
      <c r="O39" s="3264">
        <v>44139</v>
      </c>
      <c r="P39" s="3263" t="s">
        <v>3631</v>
      </c>
      <c r="Q39" s="3263" t="s">
        <v>3406</v>
      </c>
      <c r="R39" s="3263" t="s">
        <v>3632</v>
      </c>
      <c r="S39" s="3263">
        <v>7574.07</v>
      </c>
      <c r="T39" s="3263">
        <v>74.77</v>
      </c>
      <c r="U39" s="3263">
        <v>748</v>
      </c>
      <c r="V39" s="3263">
        <v>0</v>
      </c>
      <c r="W39" s="3263" t="s">
        <v>3408</v>
      </c>
      <c r="X39" s="3263" t="s">
        <v>3409</v>
      </c>
      <c r="Y39" s="3263" t="s">
        <v>3409</v>
      </c>
    </row>
    <row r="40" spans="1:25">
      <c r="A40" s="3263" t="s">
        <v>3633</v>
      </c>
      <c r="B40" s="3263" t="s">
        <v>3634</v>
      </c>
      <c r="C40" s="3263" t="s">
        <v>3129</v>
      </c>
      <c r="D40" s="3263" t="s">
        <v>3399</v>
      </c>
      <c r="E40" s="3263" t="s">
        <v>3400</v>
      </c>
      <c r="F40" s="3263" t="s">
        <v>3635</v>
      </c>
      <c r="G40" s="3263" t="s">
        <v>3402</v>
      </c>
      <c r="H40" s="3263">
        <v>14671.1</v>
      </c>
      <c r="I40" s="3263">
        <v>22006.65</v>
      </c>
      <c r="J40" s="3263" t="s">
        <v>3435</v>
      </c>
      <c r="K40" s="3263" t="s">
        <v>3403</v>
      </c>
      <c r="L40" s="3263" t="s">
        <v>3402</v>
      </c>
      <c r="M40" s="3263" t="s">
        <v>3636</v>
      </c>
      <c r="N40" s="3263" t="s">
        <v>3637</v>
      </c>
      <c r="O40" s="3264">
        <v>44138</v>
      </c>
      <c r="P40" s="3263" t="s">
        <v>3638</v>
      </c>
      <c r="Q40" s="3263" t="s">
        <v>3406</v>
      </c>
      <c r="R40" s="3263" t="s">
        <v>3639</v>
      </c>
      <c r="S40" s="3263">
        <v>1256.58</v>
      </c>
      <c r="T40" s="3263">
        <v>57.1</v>
      </c>
      <c r="U40" s="3263">
        <v>571</v>
      </c>
      <c r="V40" s="3263">
        <v>0</v>
      </c>
      <c r="W40" s="3263" t="s">
        <v>3408</v>
      </c>
      <c r="X40" s="3263" t="s">
        <v>3409</v>
      </c>
      <c r="Y40" s="3263" t="s">
        <v>3409</v>
      </c>
    </row>
    <row r="41" spans="1:25" s="3265" customFormat="1">
      <c r="A41" s="3265" t="s">
        <v>3640</v>
      </c>
      <c r="B41" s="3265" t="s">
        <v>3641</v>
      </c>
      <c r="C41" s="3265" t="s">
        <v>3129</v>
      </c>
      <c r="D41" s="3265" t="s">
        <v>3399</v>
      </c>
      <c r="E41" s="3265" t="s">
        <v>3642</v>
      </c>
      <c r="F41" s="3265" t="s">
        <v>3643</v>
      </c>
      <c r="G41" s="3265" t="s">
        <v>3402</v>
      </c>
      <c r="H41" s="3265">
        <v>13606.6</v>
      </c>
      <c r="I41" s="3265">
        <v>27213.200000000001</v>
      </c>
      <c r="J41" s="3265" t="s">
        <v>3507</v>
      </c>
      <c r="K41" s="3265" t="s">
        <v>3403</v>
      </c>
      <c r="L41" s="3265" t="s">
        <v>3402</v>
      </c>
      <c r="M41" s="3265" t="s">
        <v>3644</v>
      </c>
      <c r="N41" s="3265" t="s">
        <v>3508</v>
      </c>
      <c r="O41" s="3266">
        <v>44084</v>
      </c>
      <c r="P41" s="3265" t="s">
        <v>3645</v>
      </c>
      <c r="Q41" s="3265" t="s">
        <v>3406</v>
      </c>
      <c r="R41" s="3265" t="s">
        <v>3646</v>
      </c>
      <c r="S41" s="3265">
        <v>1975.68</v>
      </c>
      <c r="T41" s="3265">
        <v>96.8</v>
      </c>
      <c r="U41" s="3265">
        <v>726</v>
      </c>
      <c r="V41" s="3265">
        <v>0</v>
      </c>
      <c r="W41" s="3265" t="s">
        <v>3408</v>
      </c>
      <c r="X41" s="3265" t="s">
        <v>3409</v>
      </c>
      <c r="Y41" s="3265" t="s">
        <v>3409</v>
      </c>
    </row>
    <row r="42" spans="1:25">
      <c r="A42" s="3263" t="s">
        <v>3647</v>
      </c>
      <c r="B42" s="3263" t="s">
        <v>3648</v>
      </c>
      <c r="C42" s="3263" t="s">
        <v>3129</v>
      </c>
      <c r="D42" s="3263" t="s">
        <v>3399</v>
      </c>
      <c r="E42" s="3263" t="s">
        <v>3642</v>
      </c>
      <c r="F42" s="3263" t="s">
        <v>3649</v>
      </c>
      <c r="G42" s="3263" t="s">
        <v>3402</v>
      </c>
      <c r="H42" s="3263">
        <v>13949.3</v>
      </c>
      <c r="I42" s="3263">
        <v>27898.6</v>
      </c>
      <c r="J42" s="3263" t="s">
        <v>3507</v>
      </c>
      <c r="K42" s="3263" t="s">
        <v>3403</v>
      </c>
      <c r="L42" s="3263" t="s">
        <v>3402</v>
      </c>
      <c r="M42" s="3263" t="s">
        <v>3644</v>
      </c>
      <c r="N42" s="3263" t="s">
        <v>3508</v>
      </c>
      <c r="O42" s="3264">
        <v>44084</v>
      </c>
      <c r="P42" s="3263" t="s">
        <v>3650</v>
      </c>
      <c r="Q42" s="3263" t="s">
        <v>3406</v>
      </c>
      <c r="R42" s="3263" t="s">
        <v>3646</v>
      </c>
      <c r="S42" s="3263">
        <v>2025.44</v>
      </c>
      <c r="T42" s="3263">
        <v>96.8</v>
      </c>
      <c r="U42" s="3263">
        <v>726</v>
      </c>
      <c r="V42" s="3263">
        <v>0</v>
      </c>
      <c r="W42" s="3263" t="s">
        <v>3408</v>
      </c>
      <c r="X42" s="3263" t="s">
        <v>3409</v>
      </c>
      <c r="Y42" s="3263" t="s">
        <v>3409</v>
      </c>
    </row>
    <row r="43" spans="1:25">
      <c r="A43" s="3263" t="s">
        <v>3651</v>
      </c>
      <c r="B43" s="3263" t="s">
        <v>3652</v>
      </c>
      <c r="C43" s="3263" t="s">
        <v>3129</v>
      </c>
      <c r="D43" s="3263" t="s">
        <v>3399</v>
      </c>
      <c r="E43" s="3263" t="s">
        <v>3400</v>
      </c>
      <c r="F43" s="3263" t="s">
        <v>3653</v>
      </c>
      <c r="G43" s="3263" t="s">
        <v>3402</v>
      </c>
      <c r="H43" s="3263">
        <v>19983.72</v>
      </c>
      <c r="I43" s="3263">
        <v>39967.440000000002</v>
      </c>
      <c r="J43" s="3263" t="s">
        <v>3492</v>
      </c>
      <c r="K43" s="3263" t="s">
        <v>3403</v>
      </c>
      <c r="L43" s="3263" t="s">
        <v>3584</v>
      </c>
      <c r="M43" s="3263" t="s">
        <v>3654</v>
      </c>
      <c r="N43" s="3263" t="s">
        <v>3626</v>
      </c>
      <c r="O43" s="3264">
        <v>44041</v>
      </c>
      <c r="P43" s="3263" t="s">
        <v>3655</v>
      </c>
      <c r="Q43" s="3263" t="s">
        <v>3406</v>
      </c>
      <c r="R43" s="3263" t="s">
        <v>3656</v>
      </c>
      <c r="S43" s="3263">
        <v>2805.96</v>
      </c>
      <c r="T43" s="3263">
        <v>93.61</v>
      </c>
      <c r="U43" s="3263">
        <v>702</v>
      </c>
      <c r="V43" s="3263">
        <v>0</v>
      </c>
      <c r="W43" s="3263" t="s">
        <v>3408</v>
      </c>
      <c r="X43" s="3263" t="s">
        <v>3409</v>
      </c>
      <c r="Y43" s="3263" t="s">
        <v>3409</v>
      </c>
    </row>
    <row r="44" spans="1:25">
      <c r="A44" s="3263" t="s">
        <v>3657</v>
      </c>
      <c r="B44" s="3263" t="s">
        <v>3658</v>
      </c>
      <c r="C44" s="3263" t="s">
        <v>3129</v>
      </c>
      <c r="D44" s="3263" t="s">
        <v>3399</v>
      </c>
      <c r="E44" s="3263" t="s">
        <v>3400</v>
      </c>
      <c r="F44" s="3263" t="s">
        <v>3434</v>
      </c>
      <c r="G44" s="3263" t="s">
        <v>3402</v>
      </c>
      <c r="H44" s="3263">
        <v>19983.72</v>
      </c>
      <c r="I44" s="3263">
        <v>39967.440000000002</v>
      </c>
      <c r="J44" s="3263" t="s">
        <v>3492</v>
      </c>
      <c r="K44" s="3263" t="s">
        <v>3403</v>
      </c>
      <c r="L44" s="3263" t="s">
        <v>3625</v>
      </c>
      <c r="M44" s="3263" t="s">
        <v>3400</v>
      </c>
      <c r="N44" s="3263" t="s">
        <v>3400</v>
      </c>
      <c r="O44" s="3264">
        <v>43972</v>
      </c>
      <c r="P44" s="3263" t="s">
        <v>3659</v>
      </c>
      <c r="Q44" s="3263" t="s">
        <v>3406</v>
      </c>
      <c r="R44" s="3263" t="s">
        <v>3660</v>
      </c>
      <c r="S44" s="3263">
        <v>2801.12</v>
      </c>
      <c r="T44" s="3263">
        <v>93.45</v>
      </c>
      <c r="U44" s="3263">
        <v>701</v>
      </c>
      <c r="V44" s="3263">
        <v>0</v>
      </c>
      <c r="W44" s="3263" t="s">
        <v>3408</v>
      </c>
      <c r="X44" s="3263" t="s">
        <v>3409</v>
      </c>
      <c r="Y44" s="3263" t="s">
        <v>3409</v>
      </c>
    </row>
    <row r="45" spans="1:25">
      <c r="A45" s="3263" t="s">
        <v>3661</v>
      </c>
      <c r="B45" s="3263" t="s">
        <v>3662</v>
      </c>
      <c r="C45" s="3263" t="s">
        <v>3129</v>
      </c>
      <c r="D45" s="3263" t="s">
        <v>3399</v>
      </c>
      <c r="E45" s="3263" t="s">
        <v>3400</v>
      </c>
      <c r="F45" s="3263" t="s">
        <v>3663</v>
      </c>
      <c r="G45" s="3263" t="s">
        <v>3402</v>
      </c>
      <c r="H45" s="3263">
        <v>11276.71</v>
      </c>
      <c r="I45" s="3263">
        <v>16915</v>
      </c>
      <c r="J45" s="3263" t="s">
        <v>3435</v>
      </c>
      <c r="K45" s="3263" t="s">
        <v>3403</v>
      </c>
      <c r="L45" s="3263" t="s">
        <v>3664</v>
      </c>
      <c r="M45" s="3263" t="s">
        <v>3400</v>
      </c>
      <c r="N45" s="3263" t="s">
        <v>3460</v>
      </c>
      <c r="O45" s="3264">
        <v>43927</v>
      </c>
      <c r="P45" s="3263" t="s">
        <v>3665</v>
      </c>
      <c r="Q45" s="3263" t="s">
        <v>3406</v>
      </c>
      <c r="R45" s="3263" t="s">
        <v>3666</v>
      </c>
      <c r="S45" s="3263">
        <v>1211.82</v>
      </c>
      <c r="T45" s="3263">
        <v>71.64</v>
      </c>
      <c r="U45" s="3263">
        <v>716</v>
      </c>
      <c r="V45" s="3263">
        <v>0</v>
      </c>
      <c r="W45" s="3263">
        <v>20</v>
      </c>
      <c r="X45" s="3263" t="s">
        <v>3409</v>
      </c>
      <c r="Y45" s="3263" t="s">
        <v>3409</v>
      </c>
    </row>
    <row r="46" spans="1:25">
      <c r="A46" s="3263" t="s">
        <v>3667</v>
      </c>
      <c r="B46" s="3263" t="s">
        <v>3668</v>
      </c>
      <c r="C46" s="3263" t="s">
        <v>3129</v>
      </c>
      <c r="D46" s="3263" t="s">
        <v>3399</v>
      </c>
      <c r="E46" s="3263" t="s">
        <v>3400</v>
      </c>
      <c r="F46" s="3263" t="s">
        <v>3669</v>
      </c>
      <c r="G46" s="3263" t="s">
        <v>3402</v>
      </c>
      <c r="H46" s="3263">
        <v>34995.919999999998</v>
      </c>
      <c r="I46" s="3263">
        <v>82940.33</v>
      </c>
      <c r="J46" s="3263" t="s">
        <v>3670</v>
      </c>
      <c r="K46" s="3263" t="s">
        <v>3403</v>
      </c>
      <c r="L46" s="3263" t="s">
        <v>3500</v>
      </c>
      <c r="M46" s="3263" t="s">
        <v>3400</v>
      </c>
      <c r="N46" s="3263" t="s">
        <v>3508</v>
      </c>
      <c r="O46" s="3264">
        <v>43927</v>
      </c>
      <c r="P46" s="3263" t="s">
        <v>3671</v>
      </c>
      <c r="Q46" s="3263" t="s">
        <v>3406</v>
      </c>
      <c r="R46" s="3263" t="s">
        <v>3672</v>
      </c>
      <c r="S46" s="3263">
        <v>4868.6000000000004</v>
      </c>
      <c r="T46" s="3263">
        <v>92.75</v>
      </c>
      <c r="U46" s="3263">
        <v>587</v>
      </c>
      <c r="V46" s="3263">
        <v>0</v>
      </c>
      <c r="W46" s="3263" t="s">
        <v>3408</v>
      </c>
      <c r="X46" s="3263" t="s">
        <v>3409</v>
      </c>
      <c r="Y46" s="3263" t="s">
        <v>3409</v>
      </c>
    </row>
    <row r="47" spans="1:25" s="3265" customFormat="1">
      <c r="A47" s="3265" t="s">
        <v>3673</v>
      </c>
      <c r="B47" s="3265" t="s">
        <v>3674</v>
      </c>
      <c r="C47" s="3265" t="s">
        <v>3129</v>
      </c>
      <c r="D47" s="3265" t="s">
        <v>3399</v>
      </c>
      <c r="E47" s="3265" t="s">
        <v>3400</v>
      </c>
      <c r="F47" s="3265" t="s">
        <v>3675</v>
      </c>
      <c r="G47" s="3265" t="s">
        <v>3402</v>
      </c>
      <c r="H47" s="3265">
        <v>30911.9</v>
      </c>
      <c r="I47" s="3265">
        <v>52550.23</v>
      </c>
      <c r="J47" s="3265" t="s">
        <v>3676</v>
      </c>
      <c r="K47" s="3265" t="s">
        <v>3403</v>
      </c>
      <c r="L47" s="3265" t="s">
        <v>3625</v>
      </c>
      <c r="M47" s="3265" t="s">
        <v>3561</v>
      </c>
      <c r="N47" s="3265" t="s">
        <v>3677</v>
      </c>
      <c r="O47" s="3266">
        <v>43916</v>
      </c>
      <c r="P47" s="3265" t="s">
        <v>3678</v>
      </c>
      <c r="Q47" s="3265" t="s">
        <v>3406</v>
      </c>
      <c r="R47" s="3265" t="s">
        <v>3679</v>
      </c>
      <c r="S47" s="3265">
        <v>3815.15</v>
      </c>
      <c r="T47" s="3265">
        <v>82.28</v>
      </c>
      <c r="U47" s="3265">
        <v>726</v>
      </c>
      <c r="V47" s="3265">
        <v>0</v>
      </c>
      <c r="W47" s="3265" t="s">
        <v>3408</v>
      </c>
      <c r="X47" s="3265" t="s">
        <v>3409</v>
      </c>
      <c r="Y47" s="3265" t="s">
        <v>3409</v>
      </c>
    </row>
    <row r="48" spans="1:25" s="3265" customFormat="1">
      <c r="A48" s="3265" t="s">
        <v>3680</v>
      </c>
      <c r="B48" s="3265" t="s">
        <v>3681</v>
      </c>
      <c r="C48" s="3265" t="s">
        <v>3129</v>
      </c>
      <c r="D48" s="3265" t="s">
        <v>3399</v>
      </c>
      <c r="E48" s="3265" t="s">
        <v>3400</v>
      </c>
      <c r="F48" s="3265" t="s">
        <v>3682</v>
      </c>
      <c r="G48" s="3265" t="s">
        <v>3402</v>
      </c>
      <c r="H48" s="3265">
        <v>10730.4</v>
      </c>
      <c r="I48" s="3265">
        <v>21460.799999999999</v>
      </c>
      <c r="J48" s="3265" t="s">
        <v>3492</v>
      </c>
      <c r="K48" s="3265" t="s">
        <v>3403</v>
      </c>
      <c r="L48" s="3265" t="s">
        <v>3402</v>
      </c>
      <c r="M48" s="3265" t="s">
        <v>3683</v>
      </c>
      <c r="N48" s="3265" t="s">
        <v>3460</v>
      </c>
      <c r="O48" s="3266">
        <v>43824</v>
      </c>
      <c r="P48" s="3265" t="s">
        <v>3684</v>
      </c>
      <c r="Q48" s="3265" t="s">
        <v>3406</v>
      </c>
      <c r="R48" s="3265" t="s">
        <v>3685</v>
      </c>
      <c r="S48" s="3265">
        <v>1558.05</v>
      </c>
      <c r="T48" s="3265">
        <v>96.8</v>
      </c>
      <c r="U48" s="3265">
        <v>726</v>
      </c>
      <c r="V48" s="3265">
        <v>0</v>
      </c>
      <c r="W48" s="3265" t="s">
        <v>3408</v>
      </c>
      <c r="X48" s="3265" t="s">
        <v>3409</v>
      </c>
      <c r="Y48" s="3265" t="s">
        <v>3409</v>
      </c>
    </row>
    <row r="49" spans="1:25">
      <c r="A49" s="3263" t="s">
        <v>3686</v>
      </c>
      <c r="B49" s="3263" t="s">
        <v>3687</v>
      </c>
      <c r="C49" s="3263" t="s">
        <v>3129</v>
      </c>
      <c r="D49" s="3263" t="s">
        <v>3399</v>
      </c>
      <c r="E49" s="3263" t="s">
        <v>3400</v>
      </c>
      <c r="F49" s="3263" t="s">
        <v>3688</v>
      </c>
      <c r="G49" s="3263" t="s">
        <v>3402</v>
      </c>
      <c r="H49" s="3263">
        <v>74765.8</v>
      </c>
      <c r="I49" s="3263">
        <v>112148.7</v>
      </c>
      <c r="J49" s="3263" t="s">
        <v>3435</v>
      </c>
      <c r="K49" s="3263" t="s">
        <v>3403</v>
      </c>
      <c r="L49" s="3263" t="s">
        <v>3402</v>
      </c>
      <c r="M49" s="3263" t="s">
        <v>3683</v>
      </c>
      <c r="N49" s="3263" t="s">
        <v>3460</v>
      </c>
      <c r="O49" s="3264">
        <v>43824</v>
      </c>
      <c r="P49" s="3263" t="s">
        <v>3689</v>
      </c>
      <c r="Q49" s="3263" t="s">
        <v>3406</v>
      </c>
      <c r="R49" s="3263" t="s">
        <v>3690</v>
      </c>
      <c r="S49" s="3263">
        <v>6583.13</v>
      </c>
      <c r="T49" s="3263">
        <v>58.7</v>
      </c>
      <c r="U49" s="3263">
        <v>587</v>
      </c>
      <c r="V49" s="3263">
        <v>0</v>
      </c>
      <c r="W49" s="3263" t="s">
        <v>3408</v>
      </c>
      <c r="X49" s="3263" t="s">
        <v>3409</v>
      </c>
      <c r="Y49" s="3263" t="s">
        <v>3409</v>
      </c>
    </row>
    <row r="50" spans="1:25">
      <c r="A50" s="3263" t="s">
        <v>3691</v>
      </c>
      <c r="B50" s="3263" t="s">
        <v>3692</v>
      </c>
      <c r="C50" s="3263" t="s">
        <v>3129</v>
      </c>
      <c r="D50" s="3263" t="s">
        <v>3399</v>
      </c>
      <c r="E50" s="3263" t="s">
        <v>3400</v>
      </c>
      <c r="F50" s="3263" t="s">
        <v>3693</v>
      </c>
      <c r="G50" s="3263" t="s">
        <v>3402</v>
      </c>
      <c r="H50" s="3263">
        <v>32677.200000000001</v>
      </c>
      <c r="I50" s="3263">
        <v>49015.8</v>
      </c>
      <c r="J50" s="3263" t="s">
        <v>3435</v>
      </c>
      <c r="K50" s="3263" t="s">
        <v>3403</v>
      </c>
      <c r="L50" s="3263" t="s">
        <v>3402</v>
      </c>
      <c r="M50" s="3263" t="s">
        <v>3683</v>
      </c>
      <c r="N50" s="3263" t="s">
        <v>3460</v>
      </c>
      <c r="O50" s="3264">
        <v>43824</v>
      </c>
      <c r="P50" s="3263" t="s">
        <v>3694</v>
      </c>
      <c r="Q50" s="3263" t="s">
        <v>3406</v>
      </c>
      <c r="R50" s="3263" t="s">
        <v>3690</v>
      </c>
      <c r="S50" s="3263">
        <v>2877.23</v>
      </c>
      <c r="T50" s="3263">
        <v>58.7</v>
      </c>
      <c r="U50" s="3263">
        <v>587</v>
      </c>
      <c r="V50" s="3263">
        <v>0</v>
      </c>
      <c r="W50" s="3263" t="s">
        <v>3408</v>
      </c>
      <c r="X50" s="3263" t="s">
        <v>3409</v>
      </c>
      <c r="Y50" s="3263" t="s">
        <v>3409</v>
      </c>
    </row>
    <row r="51" spans="1:25">
      <c r="A51" s="3263" t="s">
        <v>3695</v>
      </c>
      <c r="B51" s="3263" t="s">
        <v>3696</v>
      </c>
      <c r="C51" s="3263" t="s">
        <v>3129</v>
      </c>
      <c r="D51" s="3263" t="s">
        <v>3399</v>
      </c>
      <c r="E51" s="3263" t="s">
        <v>3400</v>
      </c>
      <c r="F51" s="3263" t="s">
        <v>3566</v>
      </c>
      <c r="G51" s="3263" t="s">
        <v>3402</v>
      </c>
      <c r="H51" s="3263">
        <v>22695.8</v>
      </c>
      <c r="I51" s="3263">
        <v>40852.44</v>
      </c>
      <c r="J51" s="3263" t="s">
        <v>3567</v>
      </c>
      <c r="K51" s="3263" t="s">
        <v>3403</v>
      </c>
      <c r="L51" s="3263" t="s">
        <v>3402</v>
      </c>
      <c r="M51" s="3263" t="s">
        <v>3683</v>
      </c>
      <c r="N51" s="3263" t="s">
        <v>3508</v>
      </c>
      <c r="O51" s="3264">
        <v>43824</v>
      </c>
      <c r="P51" s="3263" t="s">
        <v>3697</v>
      </c>
      <c r="Q51" s="3263" t="s">
        <v>3406</v>
      </c>
      <c r="R51" s="3263" t="s">
        <v>3698</v>
      </c>
      <c r="S51" s="3263">
        <v>4412.0600000000004</v>
      </c>
      <c r="T51" s="3263">
        <v>129.6</v>
      </c>
      <c r="U51" s="3263">
        <v>1080</v>
      </c>
      <c r="V51" s="3263">
        <v>0</v>
      </c>
      <c r="W51" s="3263" t="s">
        <v>3408</v>
      </c>
      <c r="X51" s="3263" t="s">
        <v>3409</v>
      </c>
      <c r="Y51" s="3263" t="s">
        <v>3409</v>
      </c>
    </row>
    <row r="53" spans="1:25">
      <c r="A53" s="3263" t="s">
        <v>3197</v>
      </c>
      <c r="B53" s="3263" t="s">
        <v>3384</v>
      </c>
      <c r="C53" s="3263" t="s">
        <v>3198</v>
      </c>
      <c r="D53" s="3263" t="s">
        <v>3385</v>
      </c>
      <c r="E53" s="3263" t="s">
        <v>3386</v>
      </c>
      <c r="F53" s="3263" t="s">
        <v>3387</v>
      </c>
      <c r="G53" s="3263" t="s">
        <v>3199</v>
      </c>
      <c r="H53" s="3263" t="s">
        <v>3200</v>
      </c>
      <c r="I53" s="3263" t="s">
        <v>3201</v>
      </c>
      <c r="J53" s="3263" t="s">
        <v>3202</v>
      </c>
      <c r="K53" s="3263" t="s">
        <v>3203</v>
      </c>
      <c r="L53" s="3263" t="s">
        <v>3204</v>
      </c>
      <c r="M53" s="3263" t="s">
        <v>3388</v>
      </c>
      <c r="N53" s="3263" t="s">
        <v>3389</v>
      </c>
      <c r="O53" s="3263" t="s">
        <v>3206</v>
      </c>
      <c r="P53" s="3263" t="s">
        <v>3390</v>
      </c>
      <c r="Q53" s="3263" t="s">
        <v>3391</v>
      </c>
      <c r="R53" s="3263" t="s">
        <v>3212</v>
      </c>
      <c r="S53" s="3263" t="s">
        <v>3208</v>
      </c>
      <c r="T53" s="3263" t="s">
        <v>3392</v>
      </c>
      <c r="U53" s="3263" t="s">
        <v>3209</v>
      </c>
      <c r="V53" s="3263" t="s">
        <v>3393</v>
      </c>
      <c r="W53" s="3263" t="s">
        <v>3394</v>
      </c>
    </row>
    <row r="54" spans="1:25" s="3265" customFormat="1">
      <c r="A54" s="3265" t="s">
        <v>3680</v>
      </c>
      <c r="B54" s="3265" t="s">
        <v>3681</v>
      </c>
      <c r="C54" s="3265" t="s">
        <v>3129</v>
      </c>
      <c r="D54" s="3265" t="s">
        <v>3399</v>
      </c>
      <c r="E54" s="3265" t="s">
        <v>3400</v>
      </c>
      <c r="F54" s="3265" t="s">
        <v>3682</v>
      </c>
      <c r="G54" s="3265" t="s">
        <v>3402</v>
      </c>
      <c r="H54" s="3265">
        <v>10730.4</v>
      </c>
      <c r="I54" s="3265">
        <v>21460.799999999999</v>
      </c>
      <c r="J54" s="3265" t="s">
        <v>3492</v>
      </c>
      <c r="K54" s="3265" t="s">
        <v>3403</v>
      </c>
      <c r="L54" s="3265" t="s">
        <v>3402</v>
      </c>
      <c r="M54" s="3265" t="s">
        <v>3683</v>
      </c>
      <c r="N54" s="3265" t="s">
        <v>3460</v>
      </c>
      <c r="O54" s="3266">
        <v>43824</v>
      </c>
      <c r="P54" s="3265" t="s">
        <v>3684</v>
      </c>
      <c r="Q54" s="3265" t="s">
        <v>3406</v>
      </c>
      <c r="R54" s="3265" t="s">
        <v>3685</v>
      </c>
      <c r="S54" s="3265">
        <v>1558.05</v>
      </c>
      <c r="T54" s="3265">
        <v>96.8</v>
      </c>
      <c r="U54" s="3265">
        <v>726</v>
      </c>
      <c r="V54" s="3265">
        <v>0</v>
      </c>
      <c r="W54" s="3265" t="s">
        <v>3408</v>
      </c>
      <c r="X54" s="3265" t="s">
        <v>3409</v>
      </c>
      <c r="Y54" s="3265" t="s">
        <v>3409</v>
      </c>
    </row>
    <row r="55" spans="1:25" s="3267" customFormat="1">
      <c r="A55" s="3267" t="s">
        <v>3640</v>
      </c>
      <c r="B55" s="3267" t="s">
        <v>3641</v>
      </c>
      <c r="C55" s="3267" t="s">
        <v>3129</v>
      </c>
      <c r="D55" s="3267" t="s">
        <v>3399</v>
      </c>
      <c r="E55" s="3267" t="s">
        <v>3642</v>
      </c>
      <c r="F55" s="3267" t="s">
        <v>3643</v>
      </c>
      <c r="G55" s="3267" t="s">
        <v>3402</v>
      </c>
      <c r="H55" s="3267">
        <v>13606.6</v>
      </c>
      <c r="I55" s="3267">
        <v>27213.200000000001</v>
      </c>
      <c r="J55" s="3267" t="s">
        <v>3507</v>
      </c>
      <c r="K55" s="3267" t="s">
        <v>3403</v>
      </c>
      <c r="L55" s="3267" t="s">
        <v>3402</v>
      </c>
      <c r="M55" s="3267" t="s">
        <v>3644</v>
      </c>
      <c r="N55" s="3267" t="s">
        <v>3508</v>
      </c>
      <c r="O55" s="3268">
        <v>44084</v>
      </c>
      <c r="P55" s="3267" t="s">
        <v>3645</v>
      </c>
      <c r="Q55" s="3267" t="s">
        <v>3406</v>
      </c>
      <c r="R55" s="3267" t="s">
        <v>3646</v>
      </c>
      <c r="S55" s="3267">
        <v>1975.68</v>
      </c>
      <c r="T55" s="3267">
        <v>96.8</v>
      </c>
      <c r="U55" s="3267">
        <v>726</v>
      </c>
      <c r="V55" s="3267">
        <v>0</v>
      </c>
      <c r="W55" s="3267" t="s">
        <v>3408</v>
      </c>
      <c r="X55" s="3267">
        <f>ROUND(U55*年期修正系数!$F$10/年期修正系数!$F$9,0)</f>
        <v>1103</v>
      </c>
    </row>
    <row r="56" spans="1:25" s="3267" customFormat="1">
      <c r="A56" s="3267" t="s">
        <v>3673</v>
      </c>
      <c r="B56" s="3267" t="s">
        <v>3674</v>
      </c>
      <c r="C56" s="3267" t="s">
        <v>3129</v>
      </c>
      <c r="D56" s="3267" t="s">
        <v>3399</v>
      </c>
      <c r="E56" s="3267" t="s">
        <v>3400</v>
      </c>
      <c r="F56" s="3267" t="s">
        <v>3675</v>
      </c>
      <c r="G56" s="3267" t="s">
        <v>3402</v>
      </c>
      <c r="H56" s="3267">
        <v>30911.9</v>
      </c>
      <c r="I56" s="3267">
        <v>52550.23</v>
      </c>
      <c r="J56" s="3267" t="s">
        <v>3676</v>
      </c>
      <c r="K56" s="3267" t="s">
        <v>3403</v>
      </c>
      <c r="L56" s="3267" t="s">
        <v>3625</v>
      </c>
      <c r="M56" s="3267" t="s">
        <v>3561</v>
      </c>
      <c r="N56" s="3267" t="s">
        <v>3677</v>
      </c>
      <c r="O56" s="3268">
        <v>43916</v>
      </c>
      <c r="P56" s="3267" t="s">
        <v>3678</v>
      </c>
      <c r="Q56" s="3267" t="s">
        <v>3406</v>
      </c>
      <c r="R56" s="3267" t="s">
        <v>3679</v>
      </c>
      <c r="S56" s="3267">
        <v>3815.15</v>
      </c>
      <c r="T56" s="3267">
        <v>82.28</v>
      </c>
      <c r="U56" s="3267">
        <v>726</v>
      </c>
      <c r="V56" s="3267">
        <v>0</v>
      </c>
      <c r="W56" s="3267" t="s">
        <v>3408</v>
      </c>
      <c r="X56" s="3267">
        <f>ROUND(U56*年期修正系数!$F$10/年期修正系数!$F$9,0)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3.5"/>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7" t="s">
        <v>3178</v>
      </c>
      <c r="B12" s="3608"/>
      <c r="C12" s="3608"/>
      <c r="D12" s="3609"/>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K32" sqref="K32"/>
    </sheetView>
  </sheetViews>
  <sheetFormatPr defaultColWidth="9" defaultRowHeight="13.5"/>
  <cols>
    <col min="1" max="1" width="9" style="3213"/>
    <col min="2" max="2" width="14.625" style="3213" bestFit="1" customWidth="1"/>
    <col min="3" max="3" width="9" style="3213"/>
    <col min="4" max="4" width="12.5" style="3213" customWidth="1"/>
    <col min="5" max="16384" width="9" style="3213"/>
  </cols>
  <sheetData>
    <row r="1" spans="1:6" ht="15" thickBot="1">
      <c r="A1" s="3210" t="s">
        <v>3179</v>
      </c>
      <c r="B1" s="3211">
        <f>项目基本情况!D3</f>
        <v>44601</v>
      </c>
      <c r="C1" s="3212"/>
      <c r="D1" s="3212"/>
      <c r="E1" s="3212"/>
      <c r="F1" s="3212"/>
    </row>
    <row r="2" spans="1:6" ht="40.5">
      <c r="A2" s="3214" t="s">
        <v>3180</v>
      </c>
      <c r="B2" s="3215" t="s">
        <v>3181</v>
      </c>
      <c r="C2" s="3216" t="s">
        <v>3182</v>
      </c>
      <c r="D2" s="3215" t="s">
        <v>3183</v>
      </c>
      <c r="E2" s="3217" t="s">
        <v>3184</v>
      </c>
      <c r="F2" s="3212"/>
    </row>
    <row r="3" spans="1:6" ht="14.25">
      <c r="A3" s="3218">
        <v>40</v>
      </c>
      <c r="B3" s="3219"/>
      <c r="C3" s="68">
        <f>ROUNDDOWN(MIN((B3-$B$1)/365,A3),2)</f>
        <v>-122.19</v>
      </c>
      <c r="D3" s="69">
        <f>IF(ISERROR(ROUND(POWER(1+E3,A3-C3)*(POWER(1+E3,C3)-1)/(POWER(1+E3,A3)-1),3)),0,ROUND(POWER(1+E3,A3-C3)*(POWER(1+E3,C3)-1)/(POWER(1+E3,A3)-1),3))</f>
        <v>0</v>
      </c>
      <c r="E3" s="3220"/>
      <c r="F3" s="3212"/>
    </row>
    <row r="4" spans="1:6" ht="14.25">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4.25" thickBot="1">
      <c r="A6" s="3212"/>
      <c r="B6" s="3212"/>
      <c r="C6" s="3212"/>
      <c r="D6" s="3212"/>
      <c r="E6" s="3212"/>
      <c r="F6" s="3212"/>
    </row>
    <row r="7" spans="1:6" ht="14.25" thickBot="1">
      <c r="A7" s="3227" t="s">
        <v>3185</v>
      </c>
      <c r="B7" s="3228"/>
      <c r="C7" s="3229"/>
      <c r="D7" s="3229"/>
      <c r="E7" s="3229"/>
      <c r="F7" s="3229"/>
    </row>
    <row r="8" spans="1:6" ht="14.25" thickBot="1">
      <c r="A8" s="3610" t="s">
        <v>3186</v>
      </c>
      <c r="B8" s="3611"/>
      <c r="C8" s="3230"/>
      <c r="D8" s="3231" t="s">
        <v>3184</v>
      </c>
      <c r="E8" s="3230"/>
      <c r="F8" s="3232" t="s">
        <v>3183</v>
      </c>
    </row>
    <row r="9" spans="1:6" ht="14.25">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ht="14.25">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ht="14.25">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7" workbookViewId="0">
      <selection activeCell="R54" sqref="R54"/>
    </sheetView>
  </sheetViews>
  <sheetFormatPr defaultRowHeight="13.5"/>
  <cols>
    <col min="1" max="1" width="32.75" style="3252" customWidth="1"/>
    <col min="2" max="2" width="6.25" style="3252" customWidth="1"/>
    <col min="3" max="3" width="7.875" style="3252" customWidth="1"/>
    <col min="4" max="5" width="13.875" style="3252" customWidth="1"/>
    <col min="6" max="6" width="8.75" style="3252" customWidth="1"/>
    <col min="7" max="7" width="7.875" style="3252" customWidth="1"/>
    <col min="8" max="8" width="14.375" style="3252" customWidth="1"/>
    <col min="9" max="9" width="9" style="3252" hidden="1" customWidth="1"/>
    <col min="10" max="10" width="11.5" style="3252" customWidth="1"/>
    <col min="11" max="12" width="10.625" style="3252" customWidth="1"/>
    <col min="13" max="14" width="14.375" style="3252" customWidth="1"/>
    <col min="15" max="15" width="6.25" style="3252" customWidth="1"/>
    <col min="16" max="16" width="30.375" style="3252" customWidth="1"/>
    <col min="17" max="17" width="7.875" style="3252" customWidth="1"/>
    <col min="18" max="257" width="9" style="3252"/>
    <col min="258" max="258" width="72.125" style="3252" customWidth="1"/>
    <col min="259" max="259" width="6.25" style="3252" customWidth="1"/>
    <col min="260" max="260" width="7.875" style="3252" customWidth="1"/>
    <col min="261" max="262" width="13.875" style="3252" customWidth="1"/>
    <col min="263" max="263" width="8.75" style="3252" customWidth="1"/>
    <col min="264" max="264" width="7.875" style="3252" customWidth="1"/>
    <col min="265" max="265" width="14.375" style="3252" customWidth="1"/>
    <col min="266" max="267" width="9" style="3252" customWidth="1"/>
    <col min="268" max="269" width="10.625" style="3252" customWidth="1"/>
    <col min="270" max="270" width="14.375" style="3252" customWidth="1"/>
    <col min="271" max="271" width="6.25" style="3252" customWidth="1"/>
    <col min="272" max="272" width="30.375" style="3252" customWidth="1"/>
    <col min="273" max="273" width="7.875" style="3252" customWidth="1"/>
    <col min="274" max="513" width="9" style="3252"/>
    <col min="514" max="514" width="72.125" style="3252" customWidth="1"/>
    <col min="515" max="515" width="6.25" style="3252" customWidth="1"/>
    <col min="516" max="516" width="7.875" style="3252" customWidth="1"/>
    <col min="517" max="518" width="13.875" style="3252" customWidth="1"/>
    <col min="519" max="519" width="8.75" style="3252" customWidth="1"/>
    <col min="520" max="520" width="7.875" style="3252" customWidth="1"/>
    <col min="521" max="521" width="14.375" style="3252" customWidth="1"/>
    <col min="522" max="523" width="9" style="3252" customWidth="1"/>
    <col min="524" max="525" width="10.625" style="3252" customWidth="1"/>
    <col min="526" max="526" width="14.375" style="3252" customWidth="1"/>
    <col min="527" max="527" width="6.25" style="3252" customWidth="1"/>
    <col min="528" max="528" width="30.375" style="3252" customWidth="1"/>
    <col min="529" max="529" width="7.875" style="3252" customWidth="1"/>
    <col min="530" max="769" width="9" style="3252"/>
    <col min="770" max="770" width="72.125" style="3252" customWidth="1"/>
    <col min="771" max="771" width="6.25" style="3252" customWidth="1"/>
    <col min="772" max="772" width="7.875" style="3252" customWidth="1"/>
    <col min="773" max="774" width="13.875" style="3252" customWidth="1"/>
    <col min="775" max="775" width="8.75" style="3252" customWidth="1"/>
    <col min="776" max="776" width="7.875" style="3252" customWidth="1"/>
    <col min="777" max="777" width="14.375" style="3252" customWidth="1"/>
    <col min="778" max="779" width="9" style="3252" customWidth="1"/>
    <col min="780" max="781" width="10.625" style="3252" customWidth="1"/>
    <col min="782" max="782" width="14.375" style="3252" customWidth="1"/>
    <col min="783" max="783" width="6.25" style="3252" customWidth="1"/>
    <col min="784" max="784" width="30.375" style="3252" customWidth="1"/>
    <col min="785" max="785" width="7.875" style="3252" customWidth="1"/>
    <col min="786" max="1025" width="9" style="3252"/>
    <col min="1026" max="1026" width="72.125" style="3252" customWidth="1"/>
    <col min="1027" max="1027" width="6.25" style="3252" customWidth="1"/>
    <col min="1028" max="1028" width="7.875" style="3252" customWidth="1"/>
    <col min="1029" max="1030" width="13.875" style="3252" customWidth="1"/>
    <col min="1031" max="1031" width="8.75" style="3252" customWidth="1"/>
    <col min="1032" max="1032" width="7.875" style="3252" customWidth="1"/>
    <col min="1033" max="1033" width="14.375" style="3252" customWidth="1"/>
    <col min="1034" max="1035" width="9" style="3252" customWidth="1"/>
    <col min="1036" max="1037" width="10.625" style="3252" customWidth="1"/>
    <col min="1038" max="1038" width="14.375" style="3252" customWidth="1"/>
    <col min="1039" max="1039" width="6.25" style="3252" customWidth="1"/>
    <col min="1040" max="1040" width="30.375" style="3252" customWidth="1"/>
    <col min="1041" max="1041" width="7.875" style="3252" customWidth="1"/>
    <col min="1042" max="1281" width="9" style="3252"/>
    <col min="1282" max="1282" width="72.125" style="3252" customWidth="1"/>
    <col min="1283" max="1283" width="6.25" style="3252" customWidth="1"/>
    <col min="1284" max="1284" width="7.875" style="3252" customWidth="1"/>
    <col min="1285" max="1286" width="13.875" style="3252" customWidth="1"/>
    <col min="1287" max="1287" width="8.75" style="3252" customWidth="1"/>
    <col min="1288" max="1288" width="7.875" style="3252" customWidth="1"/>
    <col min="1289" max="1289" width="14.375" style="3252" customWidth="1"/>
    <col min="1290" max="1291" width="9" style="3252" customWidth="1"/>
    <col min="1292" max="1293" width="10.625" style="3252" customWidth="1"/>
    <col min="1294" max="1294" width="14.375" style="3252" customWidth="1"/>
    <col min="1295" max="1295" width="6.25" style="3252" customWidth="1"/>
    <col min="1296" max="1296" width="30.375" style="3252" customWidth="1"/>
    <col min="1297" max="1297" width="7.875" style="3252" customWidth="1"/>
    <col min="1298" max="1537" width="9" style="3252"/>
    <col min="1538" max="1538" width="72.125" style="3252" customWidth="1"/>
    <col min="1539" max="1539" width="6.25" style="3252" customWidth="1"/>
    <col min="1540" max="1540" width="7.875" style="3252" customWidth="1"/>
    <col min="1541" max="1542" width="13.875" style="3252" customWidth="1"/>
    <col min="1543" max="1543" width="8.75" style="3252" customWidth="1"/>
    <col min="1544" max="1544" width="7.875" style="3252" customWidth="1"/>
    <col min="1545" max="1545" width="14.375" style="3252" customWidth="1"/>
    <col min="1546" max="1547" width="9" style="3252" customWidth="1"/>
    <col min="1548" max="1549" width="10.625" style="3252" customWidth="1"/>
    <col min="1550" max="1550" width="14.375" style="3252" customWidth="1"/>
    <col min="1551" max="1551" width="6.25" style="3252" customWidth="1"/>
    <col min="1552" max="1552" width="30.375" style="3252" customWidth="1"/>
    <col min="1553" max="1553" width="7.875" style="3252" customWidth="1"/>
    <col min="1554" max="1793" width="9" style="3252"/>
    <col min="1794" max="1794" width="72.125" style="3252" customWidth="1"/>
    <col min="1795" max="1795" width="6.25" style="3252" customWidth="1"/>
    <col min="1796" max="1796" width="7.875" style="3252" customWidth="1"/>
    <col min="1797" max="1798" width="13.875" style="3252" customWidth="1"/>
    <col min="1799" max="1799" width="8.75" style="3252" customWidth="1"/>
    <col min="1800" max="1800" width="7.875" style="3252" customWidth="1"/>
    <col min="1801" max="1801" width="14.375" style="3252" customWidth="1"/>
    <col min="1802" max="1803" width="9" style="3252" customWidth="1"/>
    <col min="1804" max="1805" width="10.625" style="3252" customWidth="1"/>
    <col min="1806" max="1806" width="14.375" style="3252" customWidth="1"/>
    <col min="1807" max="1807" width="6.25" style="3252" customWidth="1"/>
    <col min="1808" max="1808" width="30.375" style="3252" customWidth="1"/>
    <col min="1809" max="1809" width="7.875" style="3252" customWidth="1"/>
    <col min="1810" max="2049" width="9" style="3252"/>
    <col min="2050" max="2050" width="72.125" style="3252" customWidth="1"/>
    <col min="2051" max="2051" width="6.25" style="3252" customWidth="1"/>
    <col min="2052" max="2052" width="7.875" style="3252" customWidth="1"/>
    <col min="2053" max="2054" width="13.875" style="3252" customWidth="1"/>
    <col min="2055" max="2055" width="8.75" style="3252" customWidth="1"/>
    <col min="2056" max="2056" width="7.875" style="3252" customWidth="1"/>
    <col min="2057" max="2057" width="14.375" style="3252" customWidth="1"/>
    <col min="2058" max="2059" width="9" style="3252" customWidth="1"/>
    <col min="2060" max="2061" width="10.625" style="3252" customWidth="1"/>
    <col min="2062" max="2062" width="14.375" style="3252" customWidth="1"/>
    <col min="2063" max="2063" width="6.25" style="3252" customWidth="1"/>
    <col min="2064" max="2064" width="30.375" style="3252" customWidth="1"/>
    <col min="2065" max="2065" width="7.875" style="3252" customWidth="1"/>
    <col min="2066" max="2305" width="9" style="3252"/>
    <col min="2306" max="2306" width="72.125" style="3252" customWidth="1"/>
    <col min="2307" max="2307" width="6.25" style="3252" customWidth="1"/>
    <col min="2308" max="2308" width="7.875" style="3252" customWidth="1"/>
    <col min="2309" max="2310" width="13.875" style="3252" customWidth="1"/>
    <col min="2311" max="2311" width="8.75" style="3252" customWidth="1"/>
    <col min="2312" max="2312" width="7.875" style="3252" customWidth="1"/>
    <col min="2313" max="2313" width="14.375" style="3252" customWidth="1"/>
    <col min="2314" max="2315" width="9" style="3252" customWidth="1"/>
    <col min="2316" max="2317" width="10.625" style="3252" customWidth="1"/>
    <col min="2318" max="2318" width="14.375" style="3252" customWidth="1"/>
    <col min="2319" max="2319" width="6.25" style="3252" customWidth="1"/>
    <col min="2320" max="2320" width="30.375" style="3252" customWidth="1"/>
    <col min="2321" max="2321" width="7.875" style="3252" customWidth="1"/>
    <col min="2322" max="2561" width="9" style="3252"/>
    <col min="2562" max="2562" width="72.125" style="3252" customWidth="1"/>
    <col min="2563" max="2563" width="6.25" style="3252" customWidth="1"/>
    <col min="2564" max="2564" width="7.875" style="3252" customWidth="1"/>
    <col min="2565" max="2566" width="13.875" style="3252" customWidth="1"/>
    <col min="2567" max="2567" width="8.75" style="3252" customWidth="1"/>
    <col min="2568" max="2568" width="7.875" style="3252" customWidth="1"/>
    <col min="2569" max="2569" width="14.375" style="3252" customWidth="1"/>
    <col min="2570" max="2571" width="9" style="3252" customWidth="1"/>
    <col min="2572" max="2573" width="10.625" style="3252" customWidth="1"/>
    <col min="2574" max="2574" width="14.375" style="3252" customWidth="1"/>
    <col min="2575" max="2575" width="6.25" style="3252" customWidth="1"/>
    <col min="2576" max="2576" width="30.375" style="3252" customWidth="1"/>
    <col min="2577" max="2577" width="7.875" style="3252" customWidth="1"/>
    <col min="2578" max="2817" width="9" style="3252"/>
    <col min="2818" max="2818" width="72.125" style="3252" customWidth="1"/>
    <col min="2819" max="2819" width="6.25" style="3252" customWidth="1"/>
    <col min="2820" max="2820" width="7.875" style="3252" customWidth="1"/>
    <col min="2821" max="2822" width="13.875" style="3252" customWidth="1"/>
    <col min="2823" max="2823" width="8.75" style="3252" customWidth="1"/>
    <col min="2824" max="2824" width="7.875" style="3252" customWidth="1"/>
    <col min="2825" max="2825" width="14.375" style="3252" customWidth="1"/>
    <col min="2826" max="2827" width="9" style="3252" customWidth="1"/>
    <col min="2828" max="2829" width="10.625" style="3252" customWidth="1"/>
    <col min="2830" max="2830" width="14.375" style="3252" customWidth="1"/>
    <col min="2831" max="2831" width="6.25" style="3252" customWidth="1"/>
    <col min="2832" max="2832" width="30.375" style="3252" customWidth="1"/>
    <col min="2833" max="2833" width="7.875" style="3252" customWidth="1"/>
    <col min="2834" max="3073" width="9" style="3252"/>
    <col min="3074" max="3074" width="72.125" style="3252" customWidth="1"/>
    <col min="3075" max="3075" width="6.25" style="3252" customWidth="1"/>
    <col min="3076" max="3076" width="7.875" style="3252" customWidth="1"/>
    <col min="3077" max="3078" width="13.875" style="3252" customWidth="1"/>
    <col min="3079" max="3079" width="8.75" style="3252" customWidth="1"/>
    <col min="3080" max="3080" width="7.875" style="3252" customWidth="1"/>
    <col min="3081" max="3081" width="14.375" style="3252" customWidth="1"/>
    <col min="3082" max="3083" width="9" style="3252" customWidth="1"/>
    <col min="3084" max="3085" width="10.625" style="3252" customWidth="1"/>
    <col min="3086" max="3086" width="14.375" style="3252" customWidth="1"/>
    <col min="3087" max="3087" width="6.25" style="3252" customWidth="1"/>
    <col min="3088" max="3088" width="30.375" style="3252" customWidth="1"/>
    <col min="3089" max="3089" width="7.875" style="3252" customWidth="1"/>
    <col min="3090" max="3329" width="9" style="3252"/>
    <col min="3330" max="3330" width="72.125" style="3252" customWidth="1"/>
    <col min="3331" max="3331" width="6.25" style="3252" customWidth="1"/>
    <col min="3332" max="3332" width="7.875" style="3252" customWidth="1"/>
    <col min="3333" max="3334" width="13.875" style="3252" customWidth="1"/>
    <col min="3335" max="3335" width="8.75" style="3252" customWidth="1"/>
    <col min="3336" max="3336" width="7.875" style="3252" customWidth="1"/>
    <col min="3337" max="3337" width="14.375" style="3252" customWidth="1"/>
    <col min="3338" max="3339" width="9" style="3252" customWidth="1"/>
    <col min="3340" max="3341" width="10.625" style="3252" customWidth="1"/>
    <col min="3342" max="3342" width="14.375" style="3252" customWidth="1"/>
    <col min="3343" max="3343" width="6.25" style="3252" customWidth="1"/>
    <col min="3344" max="3344" width="30.375" style="3252" customWidth="1"/>
    <col min="3345" max="3345" width="7.875" style="3252" customWidth="1"/>
    <col min="3346" max="3585" width="9" style="3252"/>
    <col min="3586" max="3586" width="72.125" style="3252" customWidth="1"/>
    <col min="3587" max="3587" width="6.25" style="3252" customWidth="1"/>
    <col min="3588" max="3588" width="7.875" style="3252" customWidth="1"/>
    <col min="3589" max="3590" width="13.875" style="3252" customWidth="1"/>
    <col min="3591" max="3591" width="8.75" style="3252" customWidth="1"/>
    <col min="3592" max="3592" width="7.875" style="3252" customWidth="1"/>
    <col min="3593" max="3593" width="14.375" style="3252" customWidth="1"/>
    <col min="3594" max="3595" width="9" style="3252" customWidth="1"/>
    <col min="3596" max="3597" width="10.625" style="3252" customWidth="1"/>
    <col min="3598" max="3598" width="14.375" style="3252" customWidth="1"/>
    <col min="3599" max="3599" width="6.25" style="3252" customWidth="1"/>
    <col min="3600" max="3600" width="30.375" style="3252" customWidth="1"/>
    <col min="3601" max="3601" width="7.875" style="3252" customWidth="1"/>
    <col min="3602" max="3841" width="9" style="3252"/>
    <col min="3842" max="3842" width="72.125" style="3252" customWidth="1"/>
    <col min="3843" max="3843" width="6.25" style="3252" customWidth="1"/>
    <col min="3844" max="3844" width="7.875" style="3252" customWidth="1"/>
    <col min="3845" max="3846" width="13.875" style="3252" customWidth="1"/>
    <col min="3847" max="3847" width="8.75" style="3252" customWidth="1"/>
    <col min="3848" max="3848" width="7.875" style="3252" customWidth="1"/>
    <col min="3849" max="3849" width="14.375" style="3252" customWidth="1"/>
    <col min="3850" max="3851" width="9" style="3252" customWidth="1"/>
    <col min="3852" max="3853" width="10.625" style="3252" customWidth="1"/>
    <col min="3854" max="3854" width="14.375" style="3252" customWidth="1"/>
    <col min="3855" max="3855" width="6.25" style="3252" customWidth="1"/>
    <col min="3856" max="3856" width="30.375" style="3252" customWidth="1"/>
    <col min="3857" max="3857" width="7.875" style="3252" customWidth="1"/>
    <col min="3858" max="4097" width="9" style="3252"/>
    <col min="4098" max="4098" width="72.125" style="3252" customWidth="1"/>
    <col min="4099" max="4099" width="6.25" style="3252" customWidth="1"/>
    <col min="4100" max="4100" width="7.875" style="3252" customWidth="1"/>
    <col min="4101" max="4102" width="13.875" style="3252" customWidth="1"/>
    <col min="4103" max="4103" width="8.75" style="3252" customWidth="1"/>
    <col min="4104" max="4104" width="7.875" style="3252" customWidth="1"/>
    <col min="4105" max="4105" width="14.375" style="3252" customWidth="1"/>
    <col min="4106" max="4107" width="9" style="3252" customWidth="1"/>
    <col min="4108" max="4109" width="10.625" style="3252" customWidth="1"/>
    <col min="4110" max="4110" width="14.375" style="3252" customWidth="1"/>
    <col min="4111" max="4111" width="6.25" style="3252" customWidth="1"/>
    <col min="4112" max="4112" width="30.375" style="3252" customWidth="1"/>
    <col min="4113" max="4113" width="7.875" style="3252" customWidth="1"/>
    <col min="4114" max="4353" width="9" style="3252"/>
    <col min="4354" max="4354" width="72.125" style="3252" customWidth="1"/>
    <col min="4355" max="4355" width="6.25" style="3252" customWidth="1"/>
    <col min="4356" max="4356" width="7.875" style="3252" customWidth="1"/>
    <col min="4357" max="4358" width="13.875" style="3252" customWidth="1"/>
    <col min="4359" max="4359" width="8.75" style="3252" customWidth="1"/>
    <col min="4360" max="4360" width="7.875" style="3252" customWidth="1"/>
    <col min="4361" max="4361" width="14.375" style="3252" customWidth="1"/>
    <col min="4362" max="4363" width="9" style="3252" customWidth="1"/>
    <col min="4364" max="4365" width="10.625" style="3252" customWidth="1"/>
    <col min="4366" max="4366" width="14.375" style="3252" customWidth="1"/>
    <col min="4367" max="4367" width="6.25" style="3252" customWidth="1"/>
    <col min="4368" max="4368" width="30.375" style="3252" customWidth="1"/>
    <col min="4369" max="4369" width="7.875" style="3252" customWidth="1"/>
    <col min="4370" max="4609" width="9" style="3252"/>
    <col min="4610" max="4610" width="72.125" style="3252" customWidth="1"/>
    <col min="4611" max="4611" width="6.25" style="3252" customWidth="1"/>
    <col min="4612" max="4612" width="7.875" style="3252" customWidth="1"/>
    <col min="4613" max="4614" width="13.875" style="3252" customWidth="1"/>
    <col min="4615" max="4615" width="8.75" style="3252" customWidth="1"/>
    <col min="4616" max="4616" width="7.875" style="3252" customWidth="1"/>
    <col min="4617" max="4617" width="14.375" style="3252" customWidth="1"/>
    <col min="4618" max="4619" width="9" style="3252" customWidth="1"/>
    <col min="4620" max="4621" width="10.625" style="3252" customWidth="1"/>
    <col min="4622" max="4622" width="14.375" style="3252" customWidth="1"/>
    <col min="4623" max="4623" width="6.25" style="3252" customWidth="1"/>
    <col min="4624" max="4624" width="30.375" style="3252" customWidth="1"/>
    <col min="4625" max="4625" width="7.875" style="3252" customWidth="1"/>
    <col min="4626" max="4865" width="9" style="3252"/>
    <col min="4866" max="4866" width="72.125" style="3252" customWidth="1"/>
    <col min="4867" max="4867" width="6.25" style="3252" customWidth="1"/>
    <col min="4868" max="4868" width="7.875" style="3252" customWidth="1"/>
    <col min="4869" max="4870" width="13.875" style="3252" customWidth="1"/>
    <col min="4871" max="4871" width="8.75" style="3252" customWidth="1"/>
    <col min="4872" max="4872" width="7.875" style="3252" customWidth="1"/>
    <col min="4873" max="4873" width="14.375" style="3252" customWidth="1"/>
    <col min="4874" max="4875" width="9" style="3252" customWidth="1"/>
    <col min="4876" max="4877" width="10.625" style="3252" customWidth="1"/>
    <col min="4878" max="4878" width="14.375" style="3252" customWidth="1"/>
    <col min="4879" max="4879" width="6.25" style="3252" customWidth="1"/>
    <col min="4880" max="4880" width="30.375" style="3252" customWidth="1"/>
    <col min="4881" max="4881" width="7.875" style="3252" customWidth="1"/>
    <col min="4882" max="5121" width="9" style="3252"/>
    <col min="5122" max="5122" width="72.125" style="3252" customWidth="1"/>
    <col min="5123" max="5123" width="6.25" style="3252" customWidth="1"/>
    <col min="5124" max="5124" width="7.875" style="3252" customWidth="1"/>
    <col min="5125" max="5126" width="13.875" style="3252" customWidth="1"/>
    <col min="5127" max="5127" width="8.75" style="3252" customWidth="1"/>
    <col min="5128" max="5128" width="7.875" style="3252" customWidth="1"/>
    <col min="5129" max="5129" width="14.375" style="3252" customWidth="1"/>
    <col min="5130" max="5131" width="9" style="3252" customWidth="1"/>
    <col min="5132" max="5133" width="10.625" style="3252" customWidth="1"/>
    <col min="5134" max="5134" width="14.375" style="3252" customWidth="1"/>
    <col min="5135" max="5135" width="6.25" style="3252" customWidth="1"/>
    <col min="5136" max="5136" width="30.375" style="3252" customWidth="1"/>
    <col min="5137" max="5137" width="7.875" style="3252" customWidth="1"/>
    <col min="5138" max="5377" width="9" style="3252"/>
    <col min="5378" max="5378" width="72.125" style="3252" customWidth="1"/>
    <col min="5379" max="5379" width="6.25" style="3252" customWidth="1"/>
    <col min="5380" max="5380" width="7.875" style="3252" customWidth="1"/>
    <col min="5381" max="5382" width="13.875" style="3252" customWidth="1"/>
    <col min="5383" max="5383" width="8.75" style="3252" customWidth="1"/>
    <col min="5384" max="5384" width="7.875" style="3252" customWidth="1"/>
    <col min="5385" max="5385" width="14.375" style="3252" customWidth="1"/>
    <col min="5386" max="5387" width="9" style="3252" customWidth="1"/>
    <col min="5388" max="5389" width="10.625" style="3252" customWidth="1"/>
    <col min="5390" max="5390" width="14.375" style="3252" customWidth="1"/>
    <col min="5391" max="5391" width="6.25" style="3252" customWidth="1"/>
    <col min="5392" max="5392" width="30.375" style="3252" customWidth="1"/>
    <col min="5393" max="5393" width="7.875" style="3252" customWidth="1"/>
    <col min="5394" max="5633" width="9" style="3252"/>
    <col min="5634" max="5634" width="72.125" style="3252" customWidth="1"/>
    <col min="5635" max="5635" width="6.25" style="3252" customWidth="1"/>
    <col min="5636" max="5636" width="7.875" style="3252" customWidth="1"/>
    <col min="5637" max="5638" width="13.875" style="3252" customWidth="1"/>
    <col min="5639" max="5639" width="8.75" style="3252" customWidth="1"/>
    <col min="5640" max="5640" width="7.875" style="3252" customWidth="1"/>
    <col min="5641" max="5641" width="14.375" style="3252" customWidth="1"/>
    <col min="5642" max="5643" width="9" style="3252" customWidth="1"/>
    <col min="5644" max="5645" width="10.625" style="3252" customWidth="1"/>
    <col min="5646" max="5646" width="14.375" style="3252" customWidth="1"/>
    <col min="5647" max="5647" width="6.25" style="3252" customWidth="1"/>
    <col min="5648" max="5648" width="30.375" style="3252" customWidth="1"/>
    <col min="5649" max="5649" width="7.875" style="3252" customWidth="1"/>
    <col min="5650" max="5889" width="9" style="3252"/>
    <col min="5890" max="5890" width="72.125" style="3252" customWidth="1"/>
    <col min="5891" max="5891" width="6.25" style="3252" customWidth="1"/>
    <col min="5892" max="5892" width="7.875" style="3252" customWidth="1"/>
    <col min="5893" max="5894" width="13.875" style="3252" customWidth="1"/>
    <col min="5895" max="5895" width="8.75" style="3252" customWidth="1"/>
    <col min="5896" max="5896" width="7.875" style="3252" customWidth="1"/>
    <col min="5897" max="5897" width="14.375" style="3252" customWidth="1"/>
    <col min="5898" max="5899" width="9" style="3252" customWidth="1"/>
    <col min="5900" max="5901" width="10.625" style="3252" customWidth="1"/>
    <col min="5902" max="5902" width="14.375" style="3252" customWidth="1"/>
    <col min="5903" max="5903" width="6.25" style="3252" customWidth="1"/>
    <col min="5904" max="5904" width="30.375" style="3252" customWidth="1"/>
    <col min="5905" max="5905" width="7.875" style="3252" customWidth="1"/>
    <col min="5906" max="6145" width="9" style="3252"/>
    <col min="6146" max="6146" width="72.125" style="3252" customWidth="1"/>
    <col min="6147" max="6147" width="6.25" style="3252" customWidth="1"/>
    <col min="6148" max="6148" width="7.875" style="3252" customWidth="1"/>
    <col min="6149" max="6150" width="13.875" style="3252" customWidth="1"/>
    <col min="6151" max="6151" width="8.75" style="3252" customWidth="1"/>
    <col min="6152" max="6152" width="7.875" style="3252" customWidth="1"/>
    <col min="6153" max="6153" width="14.375" style="3252" customWidth="1"/>
    <col min="6154" max="6155" width="9" style="3252" customWidth="1"/>
    <col min="6156" max="6157" width="10.625" style="3252" customWidth="1"/>
    <col min="6158" max="6158" width="14.375" style="3252" customWidth="1"/>
    <col min="6159" max="6159" width="6.25" style="3252" customWidth="1"/>
    <col min="6160" max="6160" width="30.375" style="3252" customWidth="1"/>
    <col min="6161" max="6161" width="7.875" style="3252" customWidth="1"/>
    <col min="6162" max="6401" width="9" style="3252"/>
    <col min="6402" max="6402" width="72.125" style="3252" customWidth="1"/>
    <col min="6403" max="6403" width="6.25" style="3252" customWidth="1"/>
    <col min="6404" max="6404" width="7.875" style="3252" customWidth="1"/>
    <col min="6405" max="6406" width="13.875" style="3252" customWidth="1"/>
    <col min="6407" max="6407" width="8.75" style="3252" customWidth="1"/>
    <col min="6408" max="6408" width="7.875" style="3252" customWidth="1"/>
    <col min="6409" max="6409" width="14.375" style="3252" customWidth="1"/>
    <col min="6410" max="6411" width="9" style="3252" customWidth="1"/>
    <col min="6412" max="6413" width="10.625" style="3252" customWidth="1"/>
    <col min="6414" max="6414" width="14.375" style="3252" customWidth="1"/>
    <col min="6415" max="6415" width="6.25" style="3252" customWidth="1"/>
    <col min="6416" max="6416" width="30.375" style="3252" customWidth="1"/>
    <col min="6417" max="6417" width="7.875" style="3252" customWidth="1"/>
    <col min="6418" max="6657" width="9" style="3252"/>
    <col min="6658" max="6658" width="72.125" style="3252" customWidth="1"/>
    <col min="6659" max="6659" width="6.25" style="3252" customWidth="1"/>
    <col min="6660" max="6660" width="7.875" style="3252" customWidth="1"/>
    <col min="6661" max="6662" width="13.875" style="3252" customWidth="1"/>
    <col min="6663" max="6663" width="8.75" style="3252" customWidth="1"/>
    <col min="6664" max="6664" width="7.875" style="3252" customWidth="1"/>
    <col min="6665" max="6665" width="14.375" style="3252" customWidth="1"/>
    <col min="6666" max="6667" width="9" style="3252" customWidth="1"/>
    <col min="6668" max="6669" width="10.625" style="3252" customWidth="1"/>
    <col min="6670" max="6670" width="14.375" style="3252" customWidth="1"/>
    <col min="6671" max="6671" width="6.25" style="3252" customWidth="1"/>
    <col min="6672" max="6672" width="30.375" style="3252" customWidth="1"/>
    <col min="6673" max="6673" width="7.875" style="3252" customWidth="1"/>
    <col min="6674" max="6913" width="9" style="3252"/>
    <col min="6914" max="6914" width="72.125" style="3252" customWidth="1"/>
    <col min="6915" max="6915" width="6.25" style="3252" customWidth="1"/>
    <col min="6916" max="6916" width="7.875" style="3252" customWidth="1"/>
    <col min="6917" max="6918" width="13.875" style="3252" customWidth="1"/>
    <col min="6919" max="6919" width="8.75" style="3252" customWidth="1"/>
    <col min="6920" max="6920" width="7.875" style="3252" customWidth="1"/>
    <col min="6921" max="6921" width="14.375" style="3252" customWidth="1"/>
    <col min="6922" max="6923" width="9" style="3252" customWidth="1"/>
    <col min="6924" max="6925" width="10.625" style="3252" customWidth="1"/>
    <col min="6926" max="6926" width="14.375" style="3252" customWidth="1"/>
    <col min="6927" max="6927" width="6.25" style="3252" customWidth="1"/>
    <col min="6928" max="6928" width="30.375" style="3252" customWidth="1"/>
    <col min="6929" max="6929" width="7.875" style="3252" customWidth="1"/>
    <col min="6930" max="7169" width="9" style="3252"/>
    <col min="7170" max="7170" width="72.125" style="3252" customWidth="1"/>
    <col min="7171" max="7171" width="6.25" style="3252" customWidth="1"/>
    <col min="7172" max="7172" width="7.875" style="3252" customWidth="1"/>
    <col min="7173" max="7174" width="13.875" style="3252" customWidth="1"/>
    <col min="7175" max="7175" width="8.75" style="3252" customWidth="1"/>
    <col min="7176" max="7176" width="7.875" style="3252" customWidth="1"/>
    <col min="7177" max="7177" width="14.375" style="3252" customWidth="1"/>
    <col min="7178" max="7179" width="9" style="3252" customWidth="1"/>
    <col min="7180" max="7181" width="10.625" style="3252" customWidth="1"/>
    <col min="7182" max="7182" width="14.375" style="3252" customWidth="1"/>
    <col min="7183" max="7183" width="6.25" style="3252" customWidth="1"/>
    <col min="7184" max="7184" width="30.375" style="3252" customWidth="1"/>
    <col min="7185" max="7185" width="7.875" style="3252" customWidth="1"/>
    <col min="7186" max="7425" width="9" style="3252"/>
    <col min="7426" max="7426" width="72.125" style="3252" customWidth="1"/>
    <col min="7427" max="7427" width="6.25" style="3252" customWidth="1"/>
    <col min="7428" max="7428" width="7.875" style="3252" customWidth="1"/>
    <col min="7429" max="7430" width="13.875" style="3252" customWidth="1"/>
    <col min="7431" max="7431" width="8.75" style="3252" customWidth="1"/>
    <col min="7432" max="7432" width="7.875" style="3252" customWidth="1"/>
    <col min="7433" max="7433" width="14.375" style="3252" customWidth="1"/>
    <col min="7434" max="7435" width="9" style="3252" customWidth="1"/>
    <col min="7436" max="7437" width="10.625" style="3252" customWidth="1"/>
    <col min="7438" max="7438" width="14.375" style="3252" customWidth="1"/>
    <col min="7439" max="7439" width="6.25" style="3252" customWidth="1"/>
    <col min="7440" max="7440" width="30.375" style="3252" customWidth="1"/>
    <col min="7441" max="7441" width="7.875" style="3252" customWidth="1"/>
    <col min="7442" max="7681" width="9" style="3252"/>
    <col min="7682" max="7682" width="72.125" style="3252" customWidth="1"/>
    <col min="7683" max="7683" width="6.25" style="3252" customWidth="1"/>
    <col min="7684" max="7684" width="7.875" style="3252" customWidth="1"/>
    <col min="7685" max="7686" width="13.875" style="3252" customWidth="1"/>
    <col min="7687" max="7687" width="8.75" style="3252" customWidth="1"/>
    <col min="7688" max="7688" width="7.875" style="3252" customWidth="1"/>
    <col min="7689" max="7689" width="14.375" style="3252" customWidth="1"/>
    <col min="7690" max="7691" width="9" style="3252" customWidth="1"/>
    <col min="7692" max="7693" width="10.625" style="3252" customWidth="1"/>
    <col min="7694" max="7694" width="14.375" style="3252" customWidth="1"/>
    <col min="7695" max="7695" width="6.25" style="3252" customWidth="1"/>
    <col min="7696" max="7696" width="30.375" style="3252" customWidth="1"/>
    <col min="7697" max="7697" width="7.875" style="3252" customWidth="1"/>
    <col min="7698" max="7937" width="9" style="3252"/>
    <col min="7938" max="7938" width="72.125" style="3252" customWidth="1"/>
    <col min="7939" max="7939" width="6.25" style="3252" customWidth="1"/>
    <col min="7940" max="7940" width="7.875" style="3252" customWidth="1"/>
    <col min="7941" max="7942" width="13.875" style="3252" customWidth="1"/>
    <col min="7943" max="7943" width="8.75" style="3252" customWidth="1"/>
    <col min="7944" max="7944" width="7.875" style="3252" customWidth="1"/>
    <col min="7945" max="7945" width="14.375" style="3252" customWidth="1"/>
    <col min="7946" max="7947" width="9" style="3252" customWidth="1"/>
    <col min="7948" max="7949" width="10.625" style="3252" customWidth="1"/>
    <col min="7950" max="7950" width="14.375" style="3252" customWidth="1"/>
    <col min="7951" max="7951" width="6.25" style="3252" customWidth="1"/>
    <col min="7952" max="7952" width="30.375" style="3252" customWidth="1"/>
    <col min="7953" max="7953" width="7.875" style="3252" customWidth="1"/>
    <col min="7954" max="8193" width="9" style="3252"/>
    <col min="8194" max="8194" width="72.125" style="3252" customWidth="1"/>
    <col min="8195" max="8195" width="6.25" style="3252" customWidth="1"/>
    <col min="8196" max="8196" width="7.875" style="3252" customWidth="1"/>
    <col min="8197" max="8198" width="13.875" style="3252" customWidth="1"/>
    <col min="8199" max="8199" width="8.75" style="3252" customWidth="1"/>
    <col min="8200" max="8200" width="7.875" style="3252" customWidth="1"/>
    <col min="8201" max="8201" width="14.375" style="3252" customWidth="1"/>
    <col min="8202" max="8203" width="9" style="3252" customWidth="1"/>
    <col min="8204" max="8205" width="10.625" style="3252" customWidth="1"/>
    <col min="8206" max="8206" width="14.375" style="3252" customWidth="1"/>
    <col min="8207" max="8207" width="6.25" style="3252" customWidth="1"/>
    <col min="8208" max="8208" width="30.375" style="3252" customWidth="1"/>
    <col min="8209" max="8209" width="7.875" style="3252" customWidth="1"/>
    <col min="8210" max="8449" width="9" style="3252"/>
    <col min="8450" max="8450" width="72.125" style="3252" customWidth="1"/>
    <col min="8451" max="8451" width="6.25" style="3252" customWidth="1"/>
    <col min="8452" max="8452" width="7.875" style="3252" customWidth="1"/>
    <col min="8453" max="8454" width="13.875" style="3252" customWidth="1"/>
    <col min="8455" max="8455" width="8.75" style="3252" customWidth="1"/>
    <col min="8456" max="8456" width="7.875" style="3252" customWidth="1"/>
    <col min="8457" max="8457" width="14.375" style="3252" customWidth="1"/>
    <col min="8458" max="8459" width="9" style="3252" customWidth="1"/>
    <col min="8460" max="8461" width="10.625" style="3252" customWidth="1"/>
    <col min="8462" max="8462" width="14.375" style="3252" customWidth="1"/>
    <col min="8463" max="8463" width="6.25" style="3252" customWidth="1"/>
    <col min="8464" max="8464" width="30.375" style="3252" customWidth="1"/>
    <col min="8465" max="8465" width="7.875" style="3252" customWidth="1"/>
    <col min="8466" max="8705" width="9" style="3252"/>
    <col min="8706" max="8706" width="72.125" style="3252" customWidth="1"/>
    <col min="8707" max="8707" width="6.25" style="3252" customWidth="1"/>
    <col min="8708" max="8708" width="7.875" style="3252" customWidth="1"/>
    <col min="8709" max="8710" width="13.875" style="3252" customWidth="1"/>
    <col min="8711" max="8711" width="8.75" style="3252" customWidth="1"/>
    <col min="8712" max="8712" width="7.875" style="3252" customWidth="1"/>
    <col min="8713" max="8713" width="14.375" style="3252" customWidth="1"/>
    <col min="8714" max="8715" width="9" style="3252" customWidth="1"/>
    <col min="8716" max="8717" width="10.625" style="3252" customWidth="1"/>
    <col min="8718" max="8718" width="14.375" style="3252" customWidth="1"/>
    <col min="8719" max="8719" width="6.25" style="3252" customWidth="1"/>
    <col min="8720" max="8720" width="30.375" style="3252" customWidth="1"/>
    <col min="8721" max="8721" width="7.875" style="3252" customWidth="1"/>
    <col min="8722" max="8961" width="9" style="3252"/>
    <col min="8962" max="8962" width="72.125" style="3252" customWidth="1"/>
    <col min="8963" max="8963" width="6.25" style="3252" customWidth="1"/>
    <col min="8964" max="8964" width="7.875" style="3252" customWidth="1"/>
    <col min="8965" max="8966" width="13.875" style="3252" customWidth="1"/>
    <col min="8967" max="8967" width="8.75" style="3252" customWidth="1"/>
    <col min="8968" max="8968" width="7.875" style="3252" customWidth="1"/>
    <col min="8969" max="8969" width="14.375" style="3252" customWidth="1"/>
    <col min="8970" max="8971" width="9" style="3252" customWidth="1"/>
    <col min="8972" max="8973" width="10.625" style="3252" customWidth="1"/>
    <col min="8974" max="8974" width="14.375" style="3252" customWidth="1"/>
    <col min="8975" max="8975" width="6.25" style="3252" customWidth="1"/>
    <col min="8976" max="8976" width="30.375" style="3252" customWidth="1"/>
    <col min="8977" max="8977" width="7.875" style="3252" customWidth="1"/>
    <col min="8978" max="9217" width="9" style="3252"/>
    <col min="9218" max="9218" width="72.125" style="3252" customWidth="1"/>
    <col min="9219" max="9219" width="6.25" style="3252" customWidth="1"/>
    <col min="9220" max="9220" width="7.875" style="3252" customWidth="1"/>
    <col min="9221" max="9222" width="13.875" style="3252" customWidth="1"/>
    <col min="9223" max="9223" width="8.75" style="3252" customWidth="1"/>
    <col min="9224" max="9224" width="7.875" style="3252" customWidth="1"/>
    <col min="9225" max="9225" width="14.375" style="3252" customWidth="1"/>
    <col min="9226" max="9227" width="9" style="3252" customWidth="1"/>
    <col min="9228" max="9229" width="10.625" style="3252" customWidth="1"/>
    <col min="9230" max="9230" width="14.375" style="3252" customWidth="1"/>
    <col min="9231" max="9231" width="6.25" style="3252" customWidth="1"/>
    <col min="9232" max="9232" width="30.375" style="3252" customWidth="1"/>
    <col min="9233" max="9233" width="7.875" style="3252" customWidth="1"/>
    <col min="9234" max="9473" width="9" style="3252"/>
    <col min="9474" max="9474" width="72.125" style="3252" customWidth="1"/>
    <col min="9475" max="9475" width="6.25" style="3252" customWidth="1"/>
    <col min="9476" max="9476" width="7.875" style="3252" customWidth="1"/>
    <col min="9477" max="9478" width="13.875" style="3252" customWidth="1"/>
    <col min="9479" max="9479" width="8.75" style="3252" customWidth="1"/>
    <col min="9480" max="9480" width="7.875" style="3252" customWidth="1"/>
    <col min="9481" max="9481" width="14.375" style="3252" customWidth="1"/>
    <col min="9482" max="9483" width="9" style="3252" customWidth="1"/>
    <col min="9484" max="9485" width="10.625" style="3252" customWidth="1"/>
    <col min="9486" max="9486" width="14.375" style="3252" customWidth="1"/>
    <col min="9487" max="9487" width="6.25" style="3252" customWidth="1"/>
    <col min="9488" max="9488" width="30.375" style="3252" customWidth="1"/>
    <col min="9489" max="9489" width="7.875" style="3252" customWidth="1"/>
    <col min="9490" max="9729" width="9" style="3252"/>
    <col min="9730" max="9730" width="72.125" style="3252" customWidth="1"/>
    <col min="9731" max="9731" width="6.25" style="3252" customWidth="1"/>
    <col min="9732" max="9732" width="7.875" style="3252" customWidth="1"/>
    <col min="9733" max="9734" width="13.875" style="3252" customWidth="1"/>
    <col min="9735" max="9735" width="8.75" style="3252" customWidth="1"/>
    <col min="9736" max="9736" width="7.875" style="3252" customWidth="1"/>
    <col min="9737" max="9737" width="14.375" style="3252" customWidth="1"/>
    <col min="9738" max="9739" width="9" style="3252" customWidth="1"/>
    <col min="9740" max="9741" width="10.625" style="3252" customWidth="1"/>
    <col min="9742" max="9742" width="14.375" style="3252" customWidth="1"/>
    <col min="9743" max="9743" width="6.25" style="3252" customWidth="1"/>
    <col min="9744" max="9744" width="30.375" style="3252" customWidth="1"/>
    <col min="9745" max="9745" width="7.875" style="3252" customWidth="1"/>
    <col min="9746" max="9985" width="9" style="3252"/>
    <col min="9986" max="9986" width="72.125" style="3252" customWidth="1"/>
    <col min="9987" max="9987" width="6.25" style="3252" customWidth="1"/>
    <col min="9988" max="9988" width="7.875" style="3252" customWidth="1"/>
    <col min="9989" max="9990" width="13.875" style="3252" customWidth="1"/>
    <col min="9991" max="9991" width="8.75" style="3252" customWidth="1"/>
    <col min="9992" max="9992" width="7.875" style="3252" customWidth="1"/>
    <col min="9993" max="9993" width="14.375" style="3252" customWidth="1"/>
    <col min="9994" max="9995" width="9" style="3252" customWidth="1"/>
    <col min="9996" max="9997" width="10.625" style="3252" customWidth="1"/>
    <col min="9998" max="9998" width="14.375" style="3252" customWidth="1"/>
    <col min="9999" max="9999" width="6.25" style="3252" customWidth="1"/>
    <col min="10000" max="10000" width="30.375" style="3252" customWidth="1"/>
    <col min="10001" max="10001" width="7.875" style="3252" customWidth="1"/>
    <col min="10002" max="10241" width="9" style="3252"/>
    <col min="10242" max="10242" width="72.125" style="3252" customWidth="1"/>
    <col min="10243" max="10243" width="6.25" style="3252" customWidth="1"/>
    <col min="10244" max="10244" width="7.875" style="3252" customWidth="1"/>
    <col min="10245" max="10246" width="13.875" style="3252" customWidth="1"/>
    <col min="10247" max="10247" width="8.75" style="3252" customWidth="1"/>
    <col min="10248" max="10248" width="7.875" style="3252" customWidth="1"/>
    <col min="10249" max="10249" width="14.375" style="3252" customWidth="1"/>
    <col min="10250" max="10251" width="9" style="3252" customWidth="1"/>
    <col min="10252" max="10253" width="10.625" style="3252" customWidth="1"/>
    <col min="10254" max="10254" width="14.375" style="3252" customWidth="1"/>
    <col min="10255" max="10255" width="6.25" style="3252" customWidth="1"/>
    <col min="10256" max="10256" width="30.375" style="3252" customWidth="1"/>
    <col min="10257" max="10257" width="7.875" style="3252" customWidth="1"/>
    <col min="10258" max="10497" width="9" style="3252"/>
    <col min="10498" max="10498" width="72.125" style="3252" customWidth="1"/>
    <col min="10499" max="10499" width="6.25" style="3252" customWidth="1"/>
    <col min="10500" max="10500" width="7.875" style="3252" customWidth="1"/>
    <col min="10501" max="10502" width="13.875" style="3252" customWidth="1"/>
    <col min="10503" max="10503" width="8.75" style="3252" customWidth="1"/>
    <col min="10504" max="10504" width="7.875" style="3252" customWidth="1"/>
    <col min="10505" max="10505" width="14.375" style="3252" customWidth="1"/>
    <col min="10506" max="10507" width="9" style="3252" customWidth="1"/>
    <col min="10508" max="10509" width="10.625" style="3252" customWidth="1"/>
    <col min="10510" max="10510" width="14.375" style="3252" customWidth="1"/>
    <col min="10511" max="10511" width="6.25" style="3252" customWidth="1"/>
    <col min="10512" max="10512" width="30.375" style="3252" customWidth="1"/>
    <col min="10513" max="10513" width="7.875" style="3252" customWidth="1"/>
    <col min="10514" max="10753" width="9" style="3252"/>
    <col min="10754" max="10754" width="72.125" style="3252" customWidth="1"/>
    <col min="10755" max="10755" width="6.25" style="3252" customWidth="1"/>
    <col min="10756" max="10756" width="7.875" style="3252" customWidth="1"/>
    <col min="10757" max="10758" width="13.875" style="3252" customWidth="1"/>
    <col min="10759" max="10759" width="8.75" style="3252" customWidth="1"/>
    <col min="10760" max="10760" width="7.875" style="3252" customWidth="1"/>
    <col min="10761" max="10761" width="14.375" style="3252" customWidth="1"/>
    <col min="10762" max="10763" width="9" style="3252" customWidth="1"/>
    <col min="10764" max="10765" width="10.625" style="3252" customWidth="1"/>
    <col min="10766" max="10766" width="14.375" style="3252" customWidth="1"/>
    <col min="10767" max="10767" width="6.25" style="3252" customWidth="1"/>
    <col min="10768" max="10768" width="30.375" style="3252" customWidth="1"/>
    <col min="10769" max="10769" width="7.875" style="3252" customWidth="1"/>
    <col min="10770" max="11009" width="9" style="3252"/>
    <col min="11010" max="11010" width="72.125" style="3252" customWidth="1"/>
    <col min="11011" max="11011" width="6.25" style="3252" customWidth="1"/>
    <col min="11012" max="11012" width="7.875" style="3252" customWidth="1"/>
    <col min="11013" max="11014" width="13.875" style="3252" customWidth="1"/>
    <col min="11015" max="11015" width="8.75" style="3252" customWidth="1"/>
    <col min="11016" max="11016" width="7.875" style="3252" customWidth="1"/>
    <col min="11017" max="11017" width="14.375" style="3252" customWidth="1"/>
    <col min="11018" max="11019" width="9" style="3252" customWidth="1"/>
    <col min="11020" max="11021" width="10.625" style="3252" customWidth="1"/>
    <col min="11022" max="11022" width="14.375" style="3252" customWidth="1"/>
    <col min="11023" max="11023" width="6.25" style="3252" customWidth="1"/>
    <col min="11024" max="11024" width="30.375" style="3252" customWidth="1"/>
    <col min="11025" max="11025" width="7.875" style="3252" customWidth="1"/>
    <col min="11026" max="11265" width="9" style="3252"/>
    <col min="11266" max="11266" width="72.125" style="3252" customWidth="1"/>
    <col min="11267" max="11267" width="6.25" style="3252" customWidth="1"/>
    <col min="11268" max="11268" width="7.875" style="3252" customWidth="1"/>
    <col min="11269" max="11270" width="13.875" style="3252" customWidth="1"/>
    <col min="11271" max="11271" width="8.75" style="3252" customWidth="1"/>
    <col min="11272" max="11272" width="7.875" style="3252" customWidth="1"/>
    <col min="11273" max="11273" width="14.375" style="3252" customWidth="1"/>
    <col min="11274" max="11275" width="9" style="3252" customWidth="1"/>
    <col min="11276" max="11277" width="10.625" style="3252" customWidth="1"/>
    <col min="11278" max="11278" width="14.375" style="3252" customWidth="1"/>
    <col min="11279" max="11279" width="6.25" style="3252" customWidth="1"/>
    <col min="11280" max="11280" width="30.375" style="3252" customWidth="1"/>
    <col min="11281" max="11281" width="7.875" style="3252" customWidth="1"/>
    <col min="11282" max="11521" width="9" style="3252"/>
    <col min="11522" max="11522" width="72.125" style="3252" customWidth="1"/>
    <col min="11523" max="11523" width="6.25" style="3252" customWidth="1"/>
    <col min="11524" max="11524" width="7.875" style="3252" customWidth="1"/>
    <col min="11525" max="11526" width="13.875" style="3252" customWidth="1"/>
    <col min="11527" max="11527" width="8.75" style="3252" customWidth="1"/>
    <col min="11528" max="11528" width="7.875" style="3252" customWidth="1"/>
    <col min="11529" max="11529" width="14.375" style="3252" customWidth="1"/>
    <col min="11530" max="11531" width="9" style="3252" customWidth="1"/>
    <col min="11532" max="11533" width="10.625" style="3252" customWidth="1"/>
    <col min="11534" max="11534" width="14.375" style="3252" customWidth="1"/>
    <col min="11535" max="11535" width="6.25" style="3252" customWidth="1"/>
    <col min="11536" max="11536" width="30.375" style="3252" customWidth="1"/>
    <col min="11537" max="11537" width="7.875" style="3252" customWidth="1"/>
    <col min="11538" max="11777" width="9" style="3252"/>
    <col min="11778" max="11778" width="72.125" style="3252" customWidth="1"/>
    <col min="11779" max="11779" width="6.25" style="3252" customWidth="1"/>
    <col min="11780" max="11780" width="7.875" style="3252" customWidth="1"/>
    <col min="11781" max="11782" width="13.875" style="3252" customWidth="1"/>
    <col min="11783" max="11783" width="8.75" style="3252" customWidth="1"/>
    <col min="11784" max="11784" width="7.875" style="3252" customWidth="1"/>
    <col min="11785" max="11785" width="14.375" style="3252" customWidth="1"/>
    <col min="11786" max="11787" width="9" style="3252" customWidth="1"/>
    <col min="11788" max="11789" width="10.625" style="3252" customWidth="1"/>
    <col min="11790" max="11790" width="14.375" style="3252" customWidth="1"/>
    <col min="11791" max="11791" width="6.25" style="3252" customWidth="1"/>
    <col min="11792" max="11792" width="30.375" style="3252" customWidth="1"/>
    <col min="11793" max="11793" width="7.875" style="3252" customWidth="1"/>
    <col min="11794" max="12033" width="9" style="3252"/>
    <col min="12034" max="12034" width="72.125" style="3252" customWidth="1"/>
    <col min="12035" max="12035" width="6.25" style="3252" customWidth="1"/>
    <col min="12036" max="12036" width="7.875" style="3252" customWidth="1"/>
    <col min="12037" max="12038" width="13.875" style="3252" customWidth="1"/>
    <col min="12039" max="12039" width="8.75" style="3252" customWidth="1"/>
    <col min="12040" max="12040" width="7.875" style="3252" customWidth="1"/>
    <col min="12041" max="12041" width="14.375" style="3252" customWidth="1"/>
    <col min="12042" max="12043" width="9" style="3252" customWidth="1"/>
    <col min="12044" max="12045" width="10.625" style="3252" customWidth="1"/>
    <col min="12046" max="12046" width="14.375" style="3252" customWidth="1"/>
    <col min="12047" max="12047" width="6.25" style="3252" customWidth="1"/>
    <col min="12048" max="12048" width="30.375" style="3252" customWidth="1"/>
    <col min="12049" max="12049" width="7.875" style="3252" customWidth="1"/>
    <col min="12050" max="12289" width="9" style="3252"/>
    <col min="12290" max="12290" width="72.125" style="3252" customWidth="1"/>
    <col min="12291" max="12291" width="6.25" style="3252" customWidth="1"/>
    <col min="12292" max="12292" width="7.875" style="3252" customWidth="1"/>
    <col min="12293" max="12294" width="13.875" style="3252" customWidth="1"/>
    <col min="12295" max="12295" width="8.75" style="3252" customWidth="1"/>
    <col min="12296" max="12296" width="7.875" style="3252" customWidth="1"/>
    <col min="12297" max="12297" width="14.375" style="3252" customWidth="1"/>
    <col min="12298" max="12299" width="9" style="3252" customWidth="1"/>
    <col min="12300" max="12301" width="10.625" style="3252" customWidth="1"/>
    <col min="12302" max="12302" width="14.375" style="3252" customWidth="1"/>
    <col min="12303" max="12303" width="6.25" style="3252" customWidth="1"/>
    <col min="12304" max="12304" width="30.375" style="3252" customWidth="1"/>
    <col min="12305" max="12305" width="7.875" style="3252" customWidth="1"/>
    <col min="12306" max="12545" width="9" style="3252"/>
    <col min="12546" max="12546" width="72.125" style="3252" customWidth="1"/>
    <col min="12547" max="12547" width="6.25" style="3252" customWidth="1"/>
    <col min="12548" max="12548" width="7.875" style="3252" customWidth="1"/>
    <col min="12549" max="12550" width="13.875" style="3252" customWidth="1"/>
    <col min="12551" max="12551" width="8.75" style="3252" customWidth="1"/>
    <col min="12552" max="12552" width="7.875" style="3252" customWidth="1"/>
    <col min="12553" max="12553" width="14.375" style="3252" customWidth="1"/>
    <col min="12554" max="12555" width="9" style="3252" customWidth="1"/>
    <col min="12556" max="12557" width="10.625" style="3252" customWidth="1"/>
    <col min="12558" max="12558" width="14.375" style="3252" customWidth="1"/>
    <col min="12559" max="12559" width="6.25" style="3252" customWidth="1"/>
    <col min="12560" max="12560" width="30.375" style="3252" customWidth="1"/>
    <col min="12561" max="12561" width="7.875" style="3252" customWidth="1"/>
    <col min="12562" max="12801" width="9" style="3252"/>
    <col min="12802" max="12802" width="72.125" style="3252" customWidth="1"/>
    <col min="12803" max="12803" width="6.25" style="3252" customWidth="1"/>
    <col min="12804" max="12804" width="7.875" style="3252" customWidth="1"/>
    <col min="12805" max="12806" width="13.875" style="3252" customWidth="1"/>
    <col min="12807" max="12807" width="8.75" style="3252" customWidth="1"/>
    <col min="12808" max="12808" width="7.875" style="3252" customWidth="1"/>
    <col min="12809" max="12809" width="14.375" style="3252" customWidth="1"/>
    <col min="12810" max="12811" width="9" style="3252" customWidth="1"/>
    <col min="12812" max="12813" width="10.625" style="3252" customWidth="1"/>
    <col min="12814" max="12814" width="14.375" style="3252" customWidth="1"/>
    <col min="12815" max="12815" width="6.25" style="3252" customWidth="1"/>
    <col min="12816" max="12816" width="30.375" style="3252" customWidth="1"/>
    <col min="12817" max="12817" width="7.875" style="3252" customWidth="1"/>
    <col min="12818" max="13057" width="9" style="3252"/>
    <col min="13058" max="13058" width="72.125" style="3252" customWidth="1"/>
    <col min="13059" max="13059" width="6.25" style="3252" customWidth="1"/>
    <col min="13060" max="13060" width="7.875" style="3252" customWidth="1"/>
    <col min="13061" max="13062" width="13.875" style="3252" customWidth="1"/>
    <col min="13063" max="13063" width="8.75" style="3252" customWidth="1"/>
    <col min="13064" max="13064" width="7.875" style="3252" customWidth="1"/>
    <col min="13065" max="13065" width="14.375" style="3252" customWidth="1"/>
    <col min="13066" max="13067" width="9" style="3252" customWidth="1"/>
    <col min="13068" max="13069" width="10.625" style="3252" customWidth="1"/>
    <col min="13070" max="13070" width="14.375" style="3252" customWidth="1"/>
    <col min="13071" max="13071" width="6.25" style="3252" customWidth="1"/>
    <col min="13072" max="13072" width="30.375" style="3252" customWidth="1"/>
    <col min="13073" max="13073" width="7.875" style="3252" customWidth="1"/>
    <col min="13074" max="13313" width="9" style="3252"/>
    <col min="13314" max="13314" width="72.125" style="3252" customWidth="1"/>
    <col min="13315" max="13315" width="6.25" style="3252" customWidth="1"/>
    <col min="13316" max="13316" width="7.875" style="3252" customWidth="1"/>
    <col min="13317" max="13318" width="13.875" style="3252" customWidth="1"/>
    <col min="13319" max="13319" width="8.75" style="3252" customWidth="1"/>
    <col min="13320" max="13320" width="7.875" style="3252" customWidth="1"/>
    <col min="13321" max="13321" width="14.375" style="3252" customWidth="1"/>
    <col min="13322" max="13323" width="9" style="3252" customWidth="1"/>
    <col min="13324" max="13325" width="10.625" style="3252" customWidth="1"/>
    <col min="13326" max="13326" width="14.375" style="3252" customWidth="1"/>
    <col min="13327" max="13327" width="6.25" style="3252" customWidth="1"/>
    <col min="13328" max="13328" width="30.375" style="3252" customWidth="1"/>
    <col min="13329" max="13329" width="7.875" style="3252" customWidth="1"/>
    <col min="13330" max="13569" width="9" style="3252"/>
    <col min="13570" max="13570" width="72.125" style="3252" customWidth="1"/>
    <col min="13571" max="13571" width="6.25" style="3252" customWidth="1"/>
    <col min="13572" max="13572" width="7.875" style="3252" customWidth="1"/>
    <col min="13573" max="13574" width="13.875" style="3252" customWidth="1"/>
    <col min="13575" max="13575" width="8.75" style="3252" customWidth="1"/>
    <col min="13576" max="13576" width="7.875" style="3252" customWidth="1"/>
    <col min="13577" max="13577" width="14.375" style="3252" customWidth="1"/>
    <col min="13578" max="13579" width="9" style="3252" customWidth="1"/>
    <col min="13580" max="13581" width="10.625" style="3252" customWidth="1"/>
    <col min="13582" max="13582" width="14.375" style="3252" customWidth="1"/>
    <col min="13583" max="13583" width="6.25" style="3252" customWidth="1"/>
    <col min="13584" max="13584" width="30.375" style="3252" customWidth="1"/>
    <col min="13585" max="13585" width="7.875" style="3252" customWidth="1"/>
    <col min="13586" max="13825" width="9" style="3252"/>
    <col min="13826" max="13826" width="72.125" style="3252" customWidth="1"/>
    <col min="13827" max="13827" width="6.25" style="3252" customWidth="1"/>
    <col min="13828" max="13828" width="7.875" style="3252" customWidth="1"/>
    <col min="13829" max="13830" width="13.875" style="3252" customWidth="1"/>
    <col min="13831" max="13831" width="8.75" style="3252" customWidth="1"/>
    <col min="13832" max="13832" width="7.875" style="3252" customWidth="1"/>
    <col min="13833" max="13833" width="14.375" style="3252" customWidth="1"/>
    <col min="13834" max="13835" width="9" style="3252" customWidth="1"/>
    <col min="13836" max="13837" width="10.625" style="3252" customWidth="1"/>
    <col min="13838" max="13838" width="14.375" style="3252" customWidth="1"/>
    <col min="13839" max="13839" width="6.25" style="3252" customWidth="1"/>
    <col min="13840" max="13840" width="30.375" style="3252" customWidth="1"/>
    <col min="13841" max="13841" width="7.875" style="3252" customWidth="1"/>
    <col min="13842" max="14081" width="9" style="3252"/>
    <col min="14082" max="14082" width="72.125" style="3252" customWidth="1"/>
    <col min="14083" max="14083" width="6.25" style="3252" customWidth="1"/>
    <col min="14084" max="14084" width="7.875" style="3252" customWidth="1"/>
    <col min="14085" max="14086" width="13.875" style="3252" customWidth="1"/>
    <col min="14087" max="14087" width="8.75" style="3252" customWidth="1"/>
    <col min="14088" max="14088" width="7.875" style="3252" customWidth="1"/>
    <col min="14089" max="14089" width="14.375" style="3252" customWidth="1"/>
    <col min="14090" max="14091" width="9" style="3252" customWidth="1"/>
    <col min="14092" max="14093" width="10.625" style="3252" customWidth="1"/>
    <col min="14094" max="14094" width="14.375" style="3252" customWidth="1"/>
    <col min="14095" max="14095" width="6.25" style="3252" customWidth="1"/>
    <col min="14096" max="14096" width="30.375" style="3252" customWidth="1"/>
    <col min="14097" max="14097" width="7.875" style="3252" customWidth="1"/>
    <col min="14098" max="14337" width="9" style="3252"/>
    <col min="14338" max="14338" width="72.125" style="3252" customWidth="1"/>
    <col min="14339" max="14339" width="6.25" style="3252" customWidth="1"/>
    <col min="14340" max="14340" width="7.875" style="3252" customWidth="1"/>
    <col min="14341" max="14342" width="13.875" style="3252" customWidth="1"/>
    <col min="14343" max="14343" width="8.75" style="3252" customWidth="1"/>
    <col min="14344" max="14344" width="7.875" style="3252" customWidth="1"/>
    <col min="14345" max="14345" width="14.375" style="3252" customWidth="1"/>
    <col min="14346" max="14347" width="9" style="3252" customWidth="1"/>
    <col min="14348" max="14349" width="10.625" style="3252" customWidth="1"/>
    <col min="14350" max="14350" width="14.375" style="3252" customWidth="1"/>
    <col min="14351" max="14351" width="6.25" style="3252" customWidth="1"/>
    <col min="14352" max="14352" width="30.375" style="3252" customWidth="1"/>
    <col min="14353" max="14353" width="7.875" style="3252" customWidth="1"/>
    <col min="14354" max="14593" width="9" style="3252"/>
    <col min="14594" max="14594" width="72.125" style="3252" customWidth="1"/>
    <col min="14595" max="14595" width="6.25" style="3252" customWidth="1"/>
    <col min="14596" max="14596" width="7.875" style="3252" customWidth="1"/>
    <col min="14597" max="14598" width="13.875" style="3252" customWidth="1"/>
    <col min="14599" max="14599" width="8.75" style="3252" customWidth="1"/>
    <col min="14600" max="14600" width="7.875" style="3252" customWidth="1"/>
    <col min="14601" max="14601" width="14.375" style="3252" customWidth="1"/>
    <col min="14602" max="14603" width="9" style="3252" customWidth="1"/>
    <col min="14604" max="14605" width="10.625" style="3252" customWidth="1"/>
    <col min="14606" max="14606" width="14.375" style="3252" customWidth="1"/>
    <col min="14607" max="14607" width="6.25" style="3252" customWidth="1"/>
    <col min="14608" max="14608" width="30.375" style="3252" customWidth="1"/>
    <col min="14609" max="14609" width="7.875" style="3252" customWidth="1"/>
    <col min="14610" max="14849" width="9" style="3252"/>
    <col min="14850" max="14850" width="72.125" style="3252" customWidth="1"/>
    <col min="14851" max="14851" width="6.25" style="3252" customWidth="1"/>
    <col min="14852" max="14852" width="7.875" style="3252" customWidth="1"/>
    <col min="14853" max="14854" width="13.875" style="3252" customWidth="1"/>
    <col min="14855" max="14855" width="8.75" style="3252" customWidth="1"/>
    <col min="14856" max="14856" width="7.875" style="3252" customWidth="1"/>
    <col min="14857" max="14857" width="14.375" style="3252" customWidth="1"/>
    <col min="14858" max="14859" width="9" style="3252" customWidth="1"/>
    <col min="14860" max="14861" width="10.625" style="3252" customWidth="1"/>
    <col min="14862" max="14862" width="14.375" style="3252" customWidth="1"/>
    <col min="14863" max="14863" width="6.25" style="3252" customWidth="1"/>
    <col min="14864" max="14864" width="30.375" style="3252" customWidth="1"/>
    <col min="14865" max="14865" width="7.875" style="3252" customWidth="1"/>
    <col min="14866" max="15105" width="9" style="3252"/>
    <col min="15106" max="15106" width="72.125" style="3252" customWidth="1"/>
    <col min="15107" max="15107" width="6.25" style="3252" customWidth="1"/>
    <col min="15108" max="15108" width="7.875" style="3252" customWidth="1"/>
    <col min="15109" max="15110" width="13.875" style="3252" customWidth="1"/>
    <col min="15111" max="15111" width="8.75" style="3252" customWidth="1"/>
    <col min="15112" max="15112" width="7.875" style="3252" customWidth="1"/>
    <col min="15113" max="15113" width="14.375" style="3252" customWidth="1"/>
    <col min="15114" max="15115" width="9" style="3252" customWidth="1"/>
    <col min="15116" max="15117" width="10.625" style="3252" customWidth="1"/>
    <col min="15118" max="15118" width="14.375" style="3252" customWidth="1"/>
    <col min="15119" max="15119" width="6.25" style="3252" customWidth="1"/>
    <col min="15120" max="15120" width="30.375" style="3252" customWidth="1"/>
    <col min="15121" max="15121" width="7.875" style="3252" customWidth="1"/>
    <col min="15122" max="15361" width="9" style="3252"/>
    <col min="15362" max="15362" width="72.125" style="3252" customWidth="1"/>
    <col min="15363" max="15363" width="6.25" style="3252" customWidth="1"/>
    <col min="15364" max="15364" width="7.875" style="3252" customWidth="1"/>
    <col min="15365" max="15366" width="13.875" style="3252" customWidth="1"/>
    <col min="15367" max="15367" width="8.75" style="3252" customWidth="1"/>
    <col min="15368" max="15368" width="7.875" style="3252" customWidth="1"/>
    <col min="15369" max="15369" width="14.375" style="3252" customWidth="1"/>
    <col min="15370" max="15371" width="9" style="3252" customWidth="1"/>
    <col min="15372" max="15373" width="10.625" style="3252" customWidth="1"/>
    <col min="15374" max="15374" width="14.375" style="3252" customWidth="1"/>
    <col min="15375" max="15375" width="6.25" style="3252" customWidth="1"/>
    <col min="15376" max="15376" width="30.375" style="3252" customWidth="1"/>
    <col min="15377" max="15377" width="7.875" style="3252" customWidth="1"/>
    <col min="15378" max="15617" width="9" style="3252"/>
    <col min="15618" max="15618" width="72.125" style="3252" customWidth="1"/>
    <col min="15619" max="15619" width="6.25" style="3252" customWidth="1"/>
    <col min="15620" max="15620" width="7.875" style="3252" customWidth="1"/>
    <col min="15621" max="15622" width="13.875" style="3252" customWidth="1"/>
    <col min="15623" max="15623" width="8.75" style="3252" customWidth="1"/>
    <col min="15624" max="15624" width="7.875" style="3252" customWidth="1"/>
    <col min="15625" max="15625" width="14.375" style="3252" customWidth="1"/>
    <col min="15626" max="15627" width="9" style="3252" customWidth="1"/>
    <col min="15628" max="15629" width="10.625" style="3252" customWidth="1"/>
    <col min="15630" max="15630" width="14.375" style="3252" customWidth="1"/>
    <col min="15631" max="15631" width="6.25" style="3252" customWidth="1"/>
    <col min="15632" max="15632" width="30.375" style="3252" customWidth="1"/>
    <col min="15633" max="15633" width="7.875" style="3252" customWidth="1"/>
    <col min="15634" max="15873" width="9" style="3252"/>
    <col min="15874" max="15874" width="72.125" style="3252" customWidth="1"/>
    <col min="15875" max="15875" width="6.25" style="3252" customWidth="1"/>
    <col min="15876" max="15876" width="7.875" style="3252" customWidth="1"/>
    <col min="15877" max="15878" width="13.875" style="3252" customWidth="1"/>
    <col min="15879" max="15879" width="8.75" style="3252" customWidth="1"/>
    <col min="15880" max="15880" width="7.875" style="3252" customWidth="1"/>
    <col min="15881" max="15881" width="14.375" style="3252" customWidth="1"/>
    <col min="15882" max="15883" width="9" style="3252" customWidth="1"/>
    <col min="15884" max="15885" width="10.625" style="3252" customWidth="1"/>
    <col min="15886" max="15886" width="14.375" style="3252" customWidth="1"/>
    <col min="15887" max="15887" width="6.25" style="3252" customWidth="1"/>
    <col min="15888" max="15888" width="30.375" style="3252" customWidth="1"/>
    <col min="15889" max="15889" width="7.875" style="3252" customWidth="1"/>
    <col min="15890" max="16129" width="9" style="3252"/>
    <col min="16130" max="16130" width="72.125" style="3252" customWidth="1"/>
    <col min="16131" max="16131" width="6.25" style="3252" customWidth="1"/>
    <col min="16132" max="16132" width="7.875" style="3252" customWidth="1"/>
    <col min="16133" max="16134" width="13.875" style="3252" customWidth="1"/>
    <col min="16135" max="16135" width="8.75" style="3252" customWidth="1"/>
    <col min="16136" max="16136" width="7.875" style="3252" customWidth="1"/>
    <col min="16137" max="16137" width="14.375" style="3252" customWidth="1"/>
    <col min="16138" max="16139" width="9" style="3252" customWidth="1"/>
    <col min="16140" max="16141" width="10.625" style="3252" customWidth="1"/>
    <col min="16142" max="16142" width="14.375" style="3252" customWidth="1"/>
    <col min="16143" max="16143" width="6.25" style="3252" customWidth="1"/>
    <col min="16144" max="16144" width="30.375" style="3252" customWidth="1"/>
    <col min="16145" max="16145" width="7.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1546</v>
      </c>
      <c r="B2" s="3291" t="s">
        <v>1547</v>
      </c>
      <c r="C2" s="3291" t="s">
        <v>1548</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22491</v>
      </c>
      <c r="E4" s="963">
        <f ca="1">结果表!E118</f>
        <v>1400</v>
      </c>
      <c r="F4" s="963">
        <f ca="1">结果表!F118</f>
        <v>117203</v>
      </c>
      <c r="G4" s="963">
        <f ca="1">结果表!G118</f>
        <v>7297</v>
      </c>
      <c r="H4" s="963">
        <f ca="1">结果表!H118</f>
        <v>139694</v>
      </c>
      <c r="I4" s="963">
        <f ca="1">结果表!I118</f>
        <v>8697</v>
      </c>
    </row>
    <row r="5" spans="1:9" ht="30" customHeight="1">
      <c r="A5" s="3285" t="s">
        <v>1545</v>
      </c>
      <c r="B5" s="3285"/>
      <c r="C5" s="3285"/>
      <c r="D5" s="3286" t="str">
        <f ca="1">结果表!D119</f>
        <v>贰亿贰仟肆佰玖拾壹万元整</v>
      </c>
      <c r="E5" s="3286"/>
      <c r="F5" s="3286" t="str">
        <f ca="1">结果表!F119</f>
        <v>壹拾壹亿柒仟贰佰零叁万元整</v>
      </c>
      <c r="G5" s="3286"/>
      <c r="H5" s="3286" t="str">
        <f ca="1">结果表!H119</f>
        <v>壹拾叁亿玖仟陆佰玖拾肆万元整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1545</v>
      </c>
      <c r="B7" s="3285"/>
      <c r="C7" s="3285"/>
      <c r="D7" s="3287" t="str">
        <f>结果表!D121</f>
        <v>零元整</v>
      </c>
      <c r="E7" s="3288"/>
      <c r="F7" s="3288"/>
      <c r="G7" s="3288"/>
      <c r="H7" s="3288"/>
      <c r="I7" s="3289"/>
    </row>
    <row r="8" spans="1:9" ht="15.75">
      <c r="A8" s="3284" t="str">
        <f>结果表!A122</f>
        <v>房地产抵押价值</v>
      </c>
      <c r="B8" s="3284"/>
      <c r="C8" s="3284"/>
      <c r="D8" s="3284">
        <f ca="1">结果表!D122</f>
        <v>139694</v>
      </c>
      <c r="E8" s="3284"/>
      <c r="F8" s="3284"/>
      <c r="G8" s="3284"/>
      <c r="H8" s="3284"/>
      <c r="I8" s="3284"/>
    </row>
    <row r="9" spans="1:9" ht="15">
      <c r="A9" s="3285" t="s">
        <v>1545</v>
      </c>
      <c r="B9" s="3285"/>
      <c r="C9" s="3285"/>
      <c r="D9" s="3286" t="str">
        <f ca="1">结果表!D123</f>
        <v>壹拾叁亿玖仟陆佰玖拾肆万元整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1545</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1545</v>
      </c>
      <c r="B13" s="3281"/>
      <c r="C13" s="3281"/>
      <c r="D13" s="3282" t="e">
        <f>结果表!D127</f>
        <v>#VALUE!</v>
      </c>
      <c r="E13" s="3282"/>
      <c r="F13" s="3282"/>
      <c r="G13" s="3282"/>
      <c r="H13" s="3282"/>
      <c r="I13" s="3282"/>
    </row>
    <row r="14" spans="1:9" ht="15" thickTop="1">
      <c r="A14" s="3283" t="s">
        <v>1550</v>
      </c>
      <c r="B14" s="3283"/>
      <c r="C14" s="3283"/>
      <c r="D14" s="3283"/>
      <c r="E14" s="3283"/>
      <c r="F14" s="3283"/>
      <c r="G14" s="3283"/>
      <c r="H14" s="3283"/>
      <c r="I14" s="328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98" t="s">
        <v>1567</v>
      </c>
      <c r="B1" s="3298"/>
      <c r="C1" s="3298"/>
      <c r="D1" s="3298"/>
    </row>
    <row r="2" spans="1:4" ht="18">
      <c r="A2" s="3299" t="s">
        <v>1551</v>
      </c>
      <c r="B2" s="3299"/>
      <c r="C2" s="3299"/>
      <c r="D2" s="3299"/>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99" t="s">
        <v>1557</v>
      </c>
      <c r="B6" s="3299"/>
      <c r="C6" s="3299"/>
      <c r="D6" s="3299"/>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00" t="s">
        <v>1560</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1561</v>
      </c>
      <c r="B16" s="3294"/>
      <c r="C16" s="3294"/>
      <c r="D16" s="3294"/>
    </row>
    <row r="17" spans="1:4" ht="144" customHeight="1">
      <c r="A17" s="3294" t="s">
        <v>1562</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5"/>
      <c r="C21" s="3295"/>
      <c r="D21" s="3295"/>
    </row>
    <row r="22" spans="1:4" ht="18.75" customHeight="1">
      <c r="A22" s="3296" t="s">
        <v>1563</v>
      </c>
      <c r="B22" s="3296"/>
      <c r="C22" s="3296"/>
      <c r="D22" s="329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06" t="s">
        <v>1574</v>
      </c>
      <c r="B15" s="3301" t="s">
        <v>136</v>
      </c>
      <c r="C15" s="3302"/>
    </row>
    <row r="16" spans="1:7" ht="13.5">
      <c r="A16" s="3307"/>
      <c r="B16" s="3301" t="s">
        <v>69</v>
      </c>
      <c r="C16" s="3302"/>
    </row>
    <row r="17" spans="1:3" ht="13.5">
      <c r="A17" s="3307"/>
      <c r="B17" s="3304" t="s">
        <v>1575</v>
      </c>
      <c r="C17" s="1686" t="s">
        <v>1574</v>
      </c>
    </row>
    <row r="18" spans="1:3" ht="13.5">
      <c r="A18" s="3307"/>
      <c r="B18" s="3304"/>
      <c r="C18" s="1686" t="s">
        <v>1576</v>
      </c>
    </row>
    <row r="19" spans="1:3" ht="13.5">
      <c r="A19" s="3307"/>
      <c r="B19" s="3304"/>
      <c r="C19" s="1686" t="s">
        <v>1577</v>
      </c>
    </row>
    <row r="20" spans="1:3" ht="13.5">
      <c r="A20" s="3308"/>
      <c r="B20" s="3303" t="s">
        <v>1578</v>
      </c>
      <c r="C20" s="3302"/>
    </row>
    <row r="21" spans="1:3" ht="13.5">
      <c r="A21" s="1687" t="s">
        <v>1579</v>
      </c>
      <c r="B21" s="1688"/>
      <c r="C21" s="1689"/>
    </row>
    <row r="22" spans="1:3" ht="13.5">
      <c r="A22" s="3305" t="s">
        <v>1580</v>
      </c>
      <c r="B22" s="3303" t="s">
        <v>1581</v>
      </c>
      <c r="C22" s="3302"/>
    </row>
    <row r="23" spans="1:3" ht="13.5">
      <c r="A23" s="3305"/>
      <c r="B23" s="3303" t="s">
        <v>1582</v>
      </c>
      <c r="C23" s="3302"/>
    </row>
    <row r="24" spans="1:3" ht="13.5">
      <c r="A24" s="3305"/>
      <c r="B24" s="3303" t="s">
        <v>1583</v>
      </c>
      <c r="C24" s="3302"/>
    </row>
    <row r="25" spans="1:3" ht="13.5">
      <c r="A25" s="3305"/>
      <c r="B25" s="3304" t="s">
        <v>1584</v>
      </c>
      <c r="C25" s="1686" t="s">
        <v>1585</v>
      </c>
    </row>
    <row r="26" spans="1:3" ht="13.5">
      <c r="A26" s="3305"/>
      <c r="B26" s="3304"/>
      <c r="C26" s="1686" t="s">
        <v>1586</v>
      </c>
    </row>
    <row r="27" spans="1:3" ht="13.5">
      <c r="A27" s="3305"/>
      <c r="B27" s="3304"/>
      <c r="C27" s="1686" t="s">
        <v>1587</v>
      </c>
    </row>
    <row r="28" spans="1:3" ht="13.5">
      <c r="A28" s="3305"/>
      <c r="B28" s="3304"/>
      <c r="C28" s="1686" t="s">
        <v>1588</v>
      </c>
    </row>
    <row r="29" spans="1:3" ht="13.5">
      <c r="A29" s="3305"/>
      <c r="B29" s="3304"/>
      <c r="C29" s="1686" t="s">
        <v>1589</v>
      </c>
    </row>
    <row r="30" spans="1:3" ht="13.5">
      <c r="A30" s="3305"/>
      <c r="B30" s="3304"/>
      <c r="C30" s="1686" t="s">
        <v>1590</v>
      </c>
    </row>
    <row r="31" spans="1:3" ht="13.5">
      <c r="A31" s="3305"/>
      <c r="B31" s="3304"/>
      <c r="C31" s="1686" t="s">
        <v>1591</v>
      </c>
    </row>
    <row r="32" spans="1:3" ht="13.5">
      <c r="A32" s="3305"/>
      <c r="B32" s="3304"/>
      <c r="C32" s="1686" t="s">
        <v>1592</v>
      </c>
    </row>
    <row r="33" spans="1:3" ht="13.5">
      <c r="A33" s="3305"/>
      <c r="B33" s="330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44603</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9" t="s">
        <v>2841</v>
      </c>
      <c r="B17" s="3309"/>
      <c r="C17" s="3309"/>
      <c r="D17" s="3309"/>
      <c r="E17" s="3309"/>
      <c r="F17" s="3309"/>
      <c r="G17" s="3309"/>
      <c r="H17" s="3309"/>
    </row>
    <row r="18" spans="1:8" ht="24" customHeight="1">
      <c r="A18" s="3310" t="s">
        <v>2842</v>
      </c>
      <c r="B18" s="3310"/>
      <c r="C18" s="3310"/>
      <c r="D18" s="2535"/>
      <c r="E18" s="3311" t="s">
        <v>2843</v>
      </c>
      <c r="F18" s="3310"/>
      <c r="G18" s="3310"/>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2022-02-11T06:46:58Z</dcterms:modified>
</cp:coreProperties>
</file>