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1760" tabRatio="885" firstSheet="9" activeTab="2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酒店模型" sheetId="63" state="hidden" r:id="rId19"/>
    <sheet name="典型户型修正" sheetId="31" state="hidden" r:id="rId20"/>
    <sheet name="比较法-住宅" sheetId="21" state="hidden" r:id="rId21"/>
    <sheet name="比较法-商业" sheetId="33" state="hidden" r:id="rId22"/>
    <sheet name="比较法-办公" sheetId="34" r:id="rId23"/>
    <sheet name="案例情况" sheetId="64" r:id="rId24"/>
    <sheet name="收益法" sheetId="15"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2"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1"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4">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8">[1]定义!$D$1:$D$4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46" i="15" l="1"/>
  <c r="H18" i="1"/>
  <c r="H17" i="1"/>
  <c r="C34" i="34"/>
  <c r="G48" i="34" l="1"/>
  <c r="E48" i="34"/>
  <c r="I48" i="34"/>
  <c r="I34" i="34"/>
  <c r="D14" i="9"/>
  <c r="I37" i="34"/>
  <c r="G37" i="34"/>
  <c r="E37" i="34"/>
  <c r="C37" i="34"/>
  <c r="G34" i="34"/>
  <c r="E34" i="34"/>
  <c r="D6" i="64"/>
  <c r="D5" i="64"/>
  <c r="D4" i="64"/>
  <c r="D3" i="64"/>
  <c r="D2" i="64"/>
  <c r="I7" i="34"/>
  <c r="G7" i="34"/>
  <c r="E7" i="34"/>
  <c r="H20" i="1"/>
  <c r="G20" i="1"/>
  <c r="D2" i="4"/>
  <c r="G14" i="61"/>
  <c r="F14" i="61"/>
  <c r="E14" i="61"/>
  <c r="G15" i="61" l="1"/>
  <c r="F15" i="61"/>
  <c r="E15" i="61"/>
  <c r="AH5" i="59" l="1"/>
  <c r="AG5" i="59"/>
  <c r="AF5" i="59"/>
  <c r="AE5" i="59"/>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C32" i="63"/>
  <c r="C38" i="63" s="1"/>
  <c r="C39" i="63" s="1"/>
  <c r="E23" i="63"/>
  <c r="D26" i="63"/>
  <c r="C29" i="63"/>
  <c r="R35" i="63"/>
  <c r="U34" i="63" s="1"/>
  <c r="D29" i="63"/>
  <c r="D32" i="63"/>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s="1"/>
  <c r="AD14" i="59"/>
  <c r="Q15" i="59"/>
  <c r="Q16" i="59"/>
  <c r="P15" i="59"/>
  <c r="P16" i="59"/>
  <c r="AH15" i="59"/>
  <c r="AG15" i="59"/>
  <c r="AE15" i="59"/>
  <c r="AF15" i="59"/>
  <c r="AD15" i="59"/>
  <c r="M15" i="45"/>
  <c r="L15" i="45"/>
  <c r="K15" i="45"/>
  <c r="J15" i="45"/>
  <c r="I15" i="45"/>
  <c r="H15" i="45"/>
  <c r="G15" i="45"/>
  <c r="F15" i="45"/>
  <c r="E15" i="45"/>
  <c r="D15" i="45"/>
  <c r="C15" i="45"/>
  <c r="B15" i="45"/>
  <c r="AH16" i="59"/>
  <c r="AG16" i="59"/>
  <c r="AE16" i="59"/>
  <c r="AF16" i="59" s="1"/>
  <c r="AD16" i="59"/>
  <c r="AH17" i="59"/>
  <c r="AG17" i="59"/>
  <c r="AE17" i="59"/>
  <c r="AF17" i="59"/>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c r="AG19" i="59"/>
  <c r="AH19" i="59"/>
  <c r="M48" i="15"/>
  <c r="B2" i="1"/>
  <c r="F30" i="1" s="1"/>
  <c r="B24" i="1"/>
  <c r="J50" i="15"/>
  <c r="J51" i="15"/>
  <c r="B26" i="1"/>
  <c r="AH20" i="59"/>
  <c r="AG20" i="59"/>
  <c r="AE20" i="59"/>
  <c r="AF20" i="59" s="1"/>
  <c r="AD20" i="59"/>
  <c r="AH21" i="59"/>
  <c r="AG21" i="59"/>
  <c r="AE21" i="59"/>
  <c r="AF21" i="59"/>
  <c r="AD21" i="59"/>
  <c r="Q21" i="59"/>
  <c r="F21" i="59" s="1"/>
  <c r="P21" i="59"/>
  <c r="O21" i="59"/>
  <c r="N21" i="59"/>
  <c r="Q22" i="59"/>
  <c r="P22" i="59"/>
  <c r="O22" i="59"/>
  <c r="N22" i="59"/>
  <c r="D22" i="59"/>
  <c r="E21" i="59"/>
  <c r="E20" i="59" s="1"/>
  <c r="E19" i="59" s="1"/>
  <c r="E18" i="59" s="1"/>
  <c r="E17" i="59" s="1"/>
  <c r="E16" i="59" s="1"/>
  <c r="E15" i="59" s="1"/>
  <c r="E14" i="59" s="1"/>
  <c r="E13" i="59" s="1"/>
  <c r="F20" i="59"/>
  <c r="F19" i="59" s="1"/>
  <c r="A2" i="50"/>
  <c r="V21" i="59"/>
  <c r="K60" i="15"/>
  <c r="A127" i="57"/>
  <c r="A123" i="9"/>
  <c r="A16" i="54"/>
  <c r="B14" i="60" s="1"/>
  <c r="A14" i="54"/>
  <c r="B12" i="60" s="1"/>
  <c r="A19" i="55"/>
  <c r="A13" i="55"/>
  <c r="B43" i="60" s="1"/>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D33" i="59"/>
  <c r="AE33" i="59"/>
  <c r="AF33" i="59"/>
  <c r="AG33" i="59"/>
  <c r="AH33" i="59"/>
  <c r="AD34" i="59"/>
  <c r="AE34" i="59"/>
  <c r="AF34" i="59" s="1"/>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B9" i="60" s="1"/>
  <c r="Y12" i="43"/>
  <c r="Y10" i="43"/>
  <c r="AJ9" i="43"/>
  <c r="AI9" i="43"/>
  <c r="AI12" i="43" s="1"/>
  <c r="AH9" i="43"/>
  <c r="AH12" i="43" s="1"/>
  <c r="AG9" i="43"/>
  <c r="AG12" i="43" s="1"/>
  <c r="AF9" i="43"/>
  <c r="AE9" i="43"/>
  <c r="AE12" i="43" s="1"/>
  <c r="AD9" i="43"/>
  <c r="AC9" i="43"/>
  <c r="AC12" i="43" s="1"/>
  <c r="AB9" i="43"/>
  <c r="AA9" i="43"/>
  <c r="AA12" i="43"/>
  <c r="Z9" i="43"/>
  <c r="Z12" i="43"/>
  <c r="AA10" i="43"/>
  <c r="AC10" i="43"/>
  <c r="AE10" i="43"/>
  <c r="AG10" i="43"/>
  <c r="AI10" i="43"/>
  <c r="Z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C10" i="50"/>
  <c r="B24" i="60" s="1"/>
  <c r="C7" i="50"/>
  <c r="C15" i="50" s="1"/>
  <c r="C35" i="50"/>
  <c r="C34" i="50"/>
  <c r="C33" i="50"/>
  <c r="B13" i="60"/>
  <c r="C42" i="50"/>
  <c r="C36" i="50"/>
  <c r="C39" i="50"/>
  <c r="I19" i="43"/>
  <c r="A136" i="57"/>
  <c r="F119" i="57"/>
  <c r="D86" i="59"/>
  <c r="F85" i="59"/>
  <c r="E85" i="59"/>
  <c r="E84" i="59" s="1"/>
  <c r="E83" i="59"/>
  <c r="C85" i="59"/>
  <c r="D85" i="59"/>
  <c r="B85" i="59"/>
  <c r="F84" i="59"/>
  <c r="F83" i="59" s="1"/>
  <c r="B84" i="59"/>
  <c r="B83" i="59" s="1"/>
  <c r="D82" i="59"/>
  <c r="F81" i="59"/>
  <c r="E81" i="59"/>
  <c r="E80" i="59" s="1"/>
  <c r="E79" i="59" s="1"/>
  <c r="C81" i="59"/>
  <c r="D81" i="59"/>
  <c r="B81" i="59"/>
  <c r="F80" i="59"/>
  <c r="F79" i="59" s="1"/>
  <c r="B80" i="59"/>
  <c r="B79" i="59" s="1"/>
  <c r="D78" i="59"/>
  <c r="Q77" i="59"/>
  <c r="P77" i="59"/>
  <c r="O77" i="59"/>
  <c r="N77" i="59"/>
  <c r="F77" i="59"/>
  <c r="E77" i="59"/>
  <c r="U77" i="59" s="1"/>
  <c r="C77" i="59"/>
  <c r="B77" i="59"/>
  <c r="Q76" i="59"/>
  <c r="P76" i="59"/>
  <c r="O76" i="59"/>
  <c r="N76"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E69" i="59"/>
  <c r="C69" i="59"/>
  <c r="B69" i="59"/>
  <c r="Q68" i="59"/>
  <c r="P68" i="59"/>
  <c r="O68" i="59"/>
  <c r="N68" i="59"/>
  <c r="Q67" i="59"/>
  <c r="P67" i="59"/>
  <c r="O67" i="59"/>
  <c r="N67" i="59"/>
  <c r="Q66" i="59"/>
  <c r="P66" i="59"/>
  <c r="O66" i="59"/>
  <c r="N66" i="59"/>
  <c r="D66" i="59"/>
  <c r="F65" i="59"/>
  <c r="E65" i="59"/>
  <c r="C65" i="59"/>
  <c r="B65" i="59"/>
  <c r="B64" i="59"/>
  <c r="D62" i="59"/>
  <c r="Q61" i="59"/>
  <c r="P61" i="59"/>
  <c r="O61" i="59"/>
  <c r="N61" i="59"/>
  <c r="Q60" i="59"/>
  <c r="P60" i="59"/>
  <c r="O60" i="59"/>
  <c r="N60" i="59"/>
  <c r="F60" i="59"/>
  <c r="F61" i="59" s="1"/>
  <c r="V61" i="59" s="1"/>
  <c r="Q59" i="59"/>
  <c r="P59" i="59"/>
  <c r="O59" i="59"/>
  <c r="N59" i="59"/>
  <c r="Q58" i="59"/>
  <c r="F59" i="59"/>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P54" i="59"/>
  <c r="E55" i="59" s="1"/>
  <c r="E56" i="59" s="1"/>
  <c r="E57" i="59" s="1"/>
  <c r="U57" i="59" s="1"/>
  <c r="O54" i="59"/>
  <c r="C55" i="59" s="1"/>
  <c r="N54" i="59"/>
  <c r="B55" i="59" s="1"/>
  <c r="B56" i="59" s="1"/>
  <c r="D54" i="59"/>
  <c r="Q53" i="59"/>
  <c r="P53" i="59"/>
  <c r="O53" i="59"/>
  <c r="N53" i="59"/>
  <c r="Q52" i="59"/>
  <c r="P52" i="59"/>
  <c r="O52" i="59"/>
  <c r="N52" i="59"/>
  <c r="F52" i="59"/>
  <c r="F53" i="59" s="1"/>
  <c r="V53" i="59" s="1"/>
  <c r="Q51" i="59"/>
  <c r="P51" i="59"/>
  <c r="O51" i="59"/>
  <c r="N51" i="59"/>
  <c r="Q50" i="59"/>
  <c r="F51" i="59"/>
  <c r="P50" i="59"/>
  <c r="E51" i="59" s="1"/>
  <c r="O50" i="59"/>
  <c r="C51" i="59" s="1"/>
  <c r="N50" i="59"/>
  <c r="B51" i="59"/>
  <c r="B52" i="59" s="1"/>
  <c r="B53" i="59" s="1"/>
  <c r="S53" i="59" s="1"/>
  <c r="D50" i="59"/>
  <c r="Q49" i="59"/>
  <c r="P49" i="59"/>
  <c r="O49" i="59"/>
  <c r="N49" i="59"/>
  <c r="Q48" i="59"/>
  <c r="P48" i="59"/>
  <c r="O48" i="59"/>
  <c r="N48" i="59"/>
  <c r="Q47" i="59"/>
  <c r="P47" i="59"/>
  <c r="O47" i="59"/>
  <c r="N47" i="59"/>
  <c r="Q46" i="59"/>
  <c r="F47" i="59"/>
  <c r="F48" i="59" s="1"/>
  <c r="F49" i="59" s="1"/>
  <c r="V49" i="59" s="1"/>
  <c r="P46" i="59"/>
  <c r="E47" i="59" s="1"/>
  <c r="E48" i="59" s="1"/>
  <c r="E49" i="59" s="1"/>
  <c r="U49" i="59" s="1"/>
  <c r="O46" i="59"/>
  <c r="C47" i="59"/>
  <c r="D47" i="59" s="1"/>
  <c r="N46" i="59"/>
  <c r="B47" i="59"/>
  <c r="B48" i="59" s="1"/>
  <c r="B49" i="59" s="1"/>
  <c r="S49" i="59" s="1"/>
  <c r="D46" i="59"/>
  <c r="T45" i="59"/>
  <c r="Q45" i="59"/>
  <c r="P45" i="59"/>
  <c r="O45" i="59"/>
  <c r="N45" i="59"/>
  <c r="D45" i="59"/>
  <c r="Q44" i="59"/>
  <c r="P44" i="59"/>
  <c r="O44" i="59"/>
  <c r="N44" i="59"/>
  <c r="Q43" i="59"/>
  <c r="P43" i="59"/>
  <c r="O43" i="59"/>
  <c r="N43" i="59"/>
  <c r="V45" i="59"/>
  <c r="Q42" i="59"/>
  <c r="F43" i="59" s="1"/>
  <c r="F44" i="59" s="1"/>
  <c r="F45" i="59" s="1"/>
  <c r="P42" i="59"/>
  <c r="E43" i="59" s="1"/>
  <c r="E44" i="59" s="1"/>
  <c r="E45" i="59" s="1"/>
  <c r="U45" i="59" s="1"/>
  <c r="O42" i="59"/>
  <c r="C43" i="59"/>
  <c r="N42" i="59"/>
  <c r="B43" i="59"/>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O38" i="59"/>
  <c r="C39" i="59"/>
  <c r="C40" i="59" s="1"/>
  <c r="D40" i="59" s="1"/>
  <c r="N38" i="59"/>
  <c r="B39" i="59"/>
  <c r="B40" i="59" s="1"/>
  <c r="B41" i="59" s="1"/>
  <c r="S41" i="59" s="1"/>
  <c r="D38" i="59"/>
  <c r="Q37" i="59"/>
  <c r="P37" i="59"/>
  <c r="O37" i="59"/>
  <c r="N37" i="59"/>
  <c r="Q36" i="59"/>
  <c r="P36" i="59"/>
  <c r="AA36" i="59"/>
  <c r="O36" i="59"/>
  <c r="Y36" i="59"/>
  <c r="Z36" i="59" s="1"/>
  <c r="N36" i="59"/>
  <c r="Q35" i="59"/>
  <c r="AB35" i="59" s="1"/>
  <c r="P35" i="59"/>
  <c r="AA35" i="59" s="1"/>
  <c r="O35" i="59"/>
  <c r="Y35" i="59" s="1"/>
  <c r="Z35" i="59" s="1"/>
  <c r="N35" i="59"/>
  <c r="Q34" i="59"/>
  <c r="AB34" i="59" s="1"/>
  <c r="P34" i="59"/>
  <c r="AA34" i="59" s="1"/>
  <c r="E35" i="59"/>
  <c r="E36" i="59" s="1"/>
  <c r="E37" i="59" s="1"/>
  <c r="O34" i="59"/>
  <c r="N34" i="59"/>
  <c r="D34" i="59"/>
  <c r="Q33" i="59"/>
  <c r="P33" i="59"/>
  <c r="AA33" i="59" s="1"/>
  <c r="O33" i="59"/>
  <c r="N33" i="59"/>
  <c r="Q32" i="59"/>
  <c r="P32" i="59"/>
  <c r="AA32" i="59" s="1"/>
  <c r="O32" i="59"/>
  <c r="N32" i="59"/>
  <c r="Q31" i="59"/>
  <c r="P31" i="59"/>
  <c r="AA31" i="59" s="1"/>
  <c r="O31" i="59"/>
  <c r="N31" i="59"/>
  <c r="Q30" i="59"/>
  <c r="P30" i="59"/>
  <c r="AA30" i="59" s="1"/>
  <c r="E31" i="59"/>
  <c r="E32" i="59" s="1"/>
  <c r="E33" i="59"/>
  <c r="U33" i="59" s="1"/>
  <c r="O30" i="59"/>
  <c r="N30" i="59"/>
  <c r="D30" i="59"/>
  <c r="Q29" i="59"/>
  <c r="AB29" i="59" s="1"/>
  <c r="P29" i="59"/>
  <c r="AA29" i="59" s="1"/>
  <c r="O29" i="59"/>
  <c r="Y29" i="59" s="1"/>
  <c r="Z29" i="59" s="1"/>
  <c r="N29" i="59"/>
  <c r="Q28" i="59"/>
  <c r="AB28" i="59" s="1"/>
  <c r="P28" i="59"/>
  <c r="AA28" i="59" s="1"/>
  <c r="O28" i="59"/>
  <c r="Y28" i="59" s="1"/>
  <c r="Z28" i="59" s="1"/>
  <c r="N28" i="59"/>
  <c r="Q27" i="59"/>
  <c r="AB27" i="59" s="1"/>
  <c r="P27" i="59"/>
  <c r="AA27" i="59" s="1"/>
  <c r="O27" i="59"/>
  <c r="Y27" i="59" s="1"/>
  <c r="Z27" i="59" s="1"/>
  <c r="N27" i="59"/>
  <c r="Q26" i="59"/>
  <c r="P26" i="59"/>
  <c r="AA26" i="59" s="1"/>
  <c r="E27" i="59"/>
  <c r="E28" i="59" s="1"/>
  <c r="E29" i="59" s="1"/>
  <c r="U29" i="59" s="1"/>
  <c r="O26" i="59"/>
  <c r="N26" i="59"/>
  <c r="D26" i="59"/>
  <c r="O25" i="59"/>
  <c r="N25" i="59"/>
  <c r="C25" i="59"/>
  <c r="Y22" i="59"/>
  <c r="Z22" i="59" s="1"/>
  <c r="Y25" i="59"/>
  <c r="Z25" i="59" s="1"/>
  <c r="B25" i="59"/>
  <c r="X23" i="59"/>
  <c r="D39" i="59"/>
  <c r="C48" i="59"/>
  <c r="C49" i="59" s="1"/>
  <c r="D49" i="59" s="1"/>
  <c r="P25" i="59"/>
  <c r="E52" i="59"/>
  <c r="E53" i="59"/>
  <c r="U53" i="59" s="1"/>
  <c r="E60" i="59"/>
  <c r="E61" i="59"/>
  <c r="U61" i="59" s="1"/>
  <c r="U69" i="59"/>
  <c r="E68" i="59"/>
  <c r="E67" i="59"/>
  <c r="Q25" i="59"/>
  <c r="C56" i="59"/>
  <c r="D56" i="59" s="1"/>
  <c r="D55" i="59"/>
  <c r="N64" i="59"/>
  <c r="B63" i="59"/>
  <c r="T65" i="59"/>
  <c r="O65" i="59"/>
  <c r="D65" i="59"/>
  <c r="C64" i="59"/>
  <c r="T69" i="59"/>
  <c r="D69" i="59"/>
  <c r="C68" i="59"/>
  <c r="Q65" i="59"/>
  <c r="C72" i="59"/>
  <c r="E72" i="59"/>
  <c r="E71" i="59" s="1"/>
  <c r="D73" i="59"/>
  <c r="E76" i="59"/>
  <c r="E75" i="59" s="1"/>
  <c r="D77" i="59"/>
  <c r="C80" i="59"/>
  <c r="C84" i="59"/>
  <c r="D84" i="59" s="1"/>
  <c r="F25" i="59"/>
  <c r="F24" i="59" s="1"/>
  <c r="F23" i="59" s="1"/>
  <c r="AB24" i="59"/>
  <c r="E25" i="59"/>
  <c r="AA24" i="59"/>
  <c r="AA3" i="59"/>
  <c r="C24" i="59"/>
  <c r="C23" i="59" s="1"/>
  <c r="D23" i="59" s="1"/>
  <c r="D80" i="59"/>
  <c r="C79" i="59"/>
  <c r="D79" i="59"/>
  <c r="D72" i="59"/>
  <c r="C71" i="59"/>
  <c r="D71" i="59" s="1"/>
  <c r="C67" i="59"/>
  <c r="D67" i="59" s="1"/>
  <c r="D68" i="59"/>
  <c r="D48" i="59"/>
  <c r="O64" i="59"/>
  <c r="C57" i="59"/>
  <c r="D57" i="59" s="1"/>
  <c r="N62" i="59"/>
  <c r="N63" i="59"/>
  <c r="C41" i="59"/>
  <c r="D41" i="59" s="1"/>
  <c r="D24" i="59"/>
  <c r="V25" i="59"/>
  <c r="T49" i="59"/>
  <c r="T41" i="59"/>
  <c r="T57" i="59"/>
  <c r="B86" i="43"/>
  <c r="Z25" i="40"/>
  <c r="Q25" i="40"/>
  <c r="E94" i="40"/>
  <c r="F94" i="40" s="1"/>
  <c r="G94" i="40" s="1"/>
  <c r="D94" i="40"/>
  <c r="H25" i="40"/>
  <c r="U25" i="40"/>
  <c r="F25" i="40"/>
  <c r="AA25" i="40"/>
  <c r="Z27" i="39"/>
  <c r="Q27" i="39"/>
  <c r="D101" i="39"/>
  <c r="E101" i="39" s="1"/>
  <c r="F101" i="39" s="1"/>
  <c r="G101" i="39" s="1"/>
  <c r="Q18" i="36"/>
  <c r="Z18" i="36" s="1"/>
  <c r="F18" i="36"/>
  <c r="AA18" i="36"/>
  <c r="C18" i="36"/>
  <c r="E66" i="36"/>
  <c r="F66" i="36" s="1"/>
  <c r="G66" i="36"/>
  <c r="D66" i="36"/>
  <c r="Z18" i="35"/>
  <c r="Q18" i="35"/>
  <c r="D68" i="35"/>
  <c r="E68" i="35" s="1"/>
  <c r="F68" i="35" s="1"/>
  <c r="G68" i="35" s="1"/>
  <c r="J18" i="35"/>
  <c r="AC18" i="35" s="1"/>
  <c r="H18" i="35"/>
  <c r="F18" i="35"/>
  <c r="AA18" i="35" s="1"/>
  <c r="C18" i="35"/>
  <c r="Q21" i="37"/>
  <c r="Z21" i="37" s="1"/>
  <c r="D77" i="37"/>
  <c r="E77" i="37"/>
  <c r="F77" i="37" s="1"/>
  <c r="G77" i="37" s="1"/>
  <c r="H21" i="37"/>
  <c r="F21" i="37"/>
  <c r="AA21" i="37" s="1"/>
  <c r="C21" i="37"/>
  <c r="Q21" i="34"/>
  <c r="Z21" i="34" s="1"/>
  <c r="D84" i="34"/>
  <c r="E84" i="34"/>
  <c r="F84" i="34" s="1"/>
  <c r="F21" i="34"/>
  <c r="AA21" i="34"/>
  <c r="C21" i="34"/>
  <c r="Z21" i="33"/>
  <c r="Q21" i="33"/>
  <c r="D83" i="33"/>
  <c r="E83" i="33" s="1"/>
  <c r="F83" i="33" s="1"/>
  <c r="G83" i="33" s="1"/>
  <c r="H21" i="33"/>
  <c r="AB21" i="33"/>
  <c r="F21" i="33"/>
  <c r="AA21" i="33"/>
  <c r="C21" i="33"/>
  <c r="Z21" i="21"/>
  <c r="Q21" i="21"/>
  <c r="D83" i="21"/>
  <c r="E83" i="21" s="1"/>
  <c r="F83" i="21" s="1"/>
  <c r="F21" i="21"/>
  <c r="AA21" i="21" s="1"/>
  <c r="C21" i="21"/>
  <c r="G20" i="20"/>
  <c r="C25" i="40" s="1"/>
  <c r="C22" i="20"/>
  <c r="AB25" i="40"/>
  <c r="S25" i="40"/>
  <c r="S18" i="36"/>
  <c r="S18" i="35"/>
  <c r="S21" i="34"/>
  <c r="U21" i="33"/>
  <c r="S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A135" i="57" s="1"/>
  <c r="D17" i="57"/>
  <c r="C17" i="57"/>
  <c r="M4" i="57"/>
  <c r="L4" i="57"/>
  <c r="B32" i="9"/>
  <c r="F117" i="9" s="1"/>
  <c r="C23" i="31"/>
  <c r="C2" i="31" s="1"/>
  <c r="I23" i="31" s="1"/>
  <c r="C2" i="36"/>
  <c r="F2" i="36"/>
  <c r="C2" i="35"/>
  <c r="C2" i="37"/>
  <c r="F2" i="37" s="1"/>
  <c r="C2" i="34"/>
  <c r="C2" i="33"/>
  <c r="F2" i="33" s="1"/>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F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C18" i="9" s="1"/>
  <c r="D18" i="9" s="1"/>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s="1"/>
  <c r="F112" i="34" s="1"/>
  <c r="F40" i="33"/>
  <c r="J41" i="33"/>
  <c r="W41" i="33" s="1"/>
  <c r="D113" i="33"/>
  <c r="F37" i="33"/>
  <c r="S37" i="33"/>
  <c r="D111" i="33"/>
  <c r="E111" i="33"/>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AC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H9" i="35"/>
  <c r="AB9" i="35" s="1"/>
  <c r="F9" i="35"/>
  <c r="AA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AA10" i="34" s="1"/>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c r="I115" i="21" s="1"/>
  <c r="J115" i="21" s="1"/>
  <c r="K115" i="21" s="1"/>
  <c r="L115" i="21" s="1"/>
  <c r="M115" i="21" s="1"/>
  <c r="D113" i="21"/>
  <c r="E113" i="21" s="1"/>
  <c r="F113" i="21"/>
  <c r="G113" i="21" s="1"/>
  <c r="H113" i="21" s="1"/>
  <c r="F37" i="21"/>
  <c r="AA37" i="21"/>
  <c r="D110" i="21"/>
  <c r="E110" i="21"/>
  <c r="F110" i="21" s="1"/>
  <c r="G110" i="2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c r="F66" i="21" s="1"/>
  <c r="G66" i="21"/>
  <c r="H66" i="21" s="1"/>
  <c r="I66" i="21" s="1"/>
  <c r="D111" i="21"/>
  <c r="E111" i="21"/>
  <c r="F111" i="21"/>
  <c r="C111" i="21"/>
  <c r="D79" i="21"/>
  <c r="E79" i="21"/>
  <c r="F79" i="21" s="1"/>
  <c r="G79" i="21"/>
  <c r="D85" i="21"/>
  <c r="E85" i="21"/>
  <c r="F85" i="21" s="1"/>
  <c r="G85" i="21" s="1"/>
  <c r="D81" i="21"/>
  <c r="E81" i="21"/>
  <c r="F81" i="21" s="1"/>
  <c r="G81" i="21"/>
  <c r="D77" i="21"/>
  <c r="E77" i="21"/>
  <c r="F77" i="21" s="1"/>
  <c r="G77" i="21" s="1"/>
  <c r="H15" i="21"/>
  <c r="B130" i="21"/>
  <c r="B128" i="21"/>
  <c r="B126" i="21"/>
  <c r="B98" i="21"/>
  <c r="B96" i="21"/>
  <c r="B94" i="21"/>
  <c r="B92" i="21"/>
  <c r="B90" i="21"/>
  <c r="B74" i="21"/>
  <c r="B72" i="21"/>
  <c r="B70" i="21"/>
  <c r="F12" i="21" s="1"/>
  <c r="AA12" i="2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9" i="35"/>
  <c r="U31" i="35"/>
  <c r="S32" i="35"/>
  <c r="S31" i="35"/>
  <c r="W31" i="35"/>
  <c r="U32" i="35"/>
  <c r="F36" i="34"/>
  <c r="AA36" i="34" s="1"/>
  <c r="H39" i="33"/>
  <c r="AB39" i="33"/>
  <c r="F26" i="33"/>
  <c r="AA26" i="33"/>
  <c r="S40" i="33"/>
  <c r="W8" i="21"/>
  <c r="AC38" i="21"/>
  <c r="H39" i="37"/>
  <c r="AB39" i="37" s="1"/>
  <c r="S27" i="35"/>
  <c r="F11" i="40"/>
  <c r="AA11" i="40"/>
  <c r="S8" i="40"/>
  <c r="H11" i="40"/>
  <c r="AB11" i="40" s="1"/>
  <c r="W8" i="40"/>
  <c r="U9" i="40"/>
  <c r="S34" i="40"/>
  <c r="U34"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H40" i="34"/>
  <c r="U40" i="34" s="1"/>
  <c r="E114" i="34"/>
  <c r="F114" i="34" s="1"/>
  <c r="G114" i="34" s="1"/>
  <c r="H114" i="34" s="1"/>
  <c r="I114" i="34" s="1"/>
  <c r="J114" i="34" s="1"/>
  <c r="K114" i="34" s="1"/>
  <c r="L114" i="34" s="1"/>
  <c r="M114" i="34" s="1"/>
  <c r="F38" i="34"/>
  <c r="AA38" i="34" s="1"/>
  <c r="F28" i="34"/>
  <c r="AA28" i="34" s="1"/>
  <c r="J19" i="34"/>
  <c r="W19" i="34"/>
  <c r="J15" i="34"/>
  <c r="AC15" i="34"/>
  <c r="H15" i="34"/>
  <c r="AB15" i="34"/>
  <c r="J10" i="34"/>
  <c r="W10" i="34" s="1"/>
  <c r="H10" i="34"/>
  <c r="AB10" i="34" s="1"/>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AA37" i="40" s="1"/>
  <c r="F36" i="40"/>
  <c r="AA36" i="40" s="1"/>
  <c r="J27" i="40"/>
  <c r="W27" i="40" s="1"/>
  <c r="F27" i="40"/>
  <c r="S27" i="40" s="1"/>
  <c r="F23" i="40"/>
  <c r="AA23" i="40" s="1"/>
  <c r="AC11" i="40"/>
  <c r="AB30" i="36"/>
  <c r="AC34" i="36"/>
  <c r="F29" i="35"/>
  <c r="S29" i="35" s="1"/>
  <c r="U34" i="37"/>
  <c r="AB42" i="34"/>
  <c r="H38" i="34"/>
  <c r="AB38" i="34" s="1"/>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C12" i="35"/>
  <c r="U39" i="37"/>
  <c r="S25" i="37"/>
  <c r="W47" i="34"/>
  <c r="AB8" i="34"/>
  <c r="W14" i="33"/>
  <c r="AA13" i="33"/>
  <c r="AC31" i="33"/>
  <c r="AB10"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H16" i="44"/>
  <c r="D17" i="43"/>
  <c r="I17" i="43"/>
  <c r="D108" i="9"/>
  <c r="G22" i="43"/>
  <c r="H14" i="44"/>
  <c r="W40" i="39"/>
  <c r="AC20" i="35"/>
  <c r="AC10" i="34"/>
  <c r="AB30" i="34"/>
  <c r="AB12" i="34"/>
  <c r="AC30" i="34"/>
  <c r="H23" i="34"/>
  <c r="AB23" i="34"/>
  <c r="F33" i="34"/>
  <c r="S33" i="34" s="1"/>
  <c r="H36" i="34"/>
  <c r="AB36" i="34" s="1"/>
  <c r="F35" i="34"/>
  <c r="AA35" i="34" s="1"/>
  <c r="J35" i="34"/>
  <c r="AC35" i="34" s="1"/>
  <c r="J33" i="34"/>
  <c r="W33" i="34" s="1"/>
  <c r="S23"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D128" i="57"/>
  <c r="S23" i="21"/>
  <c r="W17" i="21"/>
  <c r="AC15" i="21"/>
  <c r="T27" i="31"/>
  <c r="S27" i="31"/>
  <c r="B113" i="43"/>
  <c r="I118" i="43" s="1"/>
  <c r="J118" i="43" s="1"/>
  <c r="K118" i="43" s="1"/>
  <c r="L118" i="43" s="1"/>
  <c r="M118" i="43" s="1"/>
  <c r="K101" i="43"/>
  <c r="K107" i="43" s="1"/>
  <c r="G101" i="43"/>
  <c r="G105" i="43" s="1"/>
  <c r="C101" i="43"/>
  <c r="L101" i="43"/>
  <c r="H101" i="43"/>
  <c r="H107"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AB12" i="37"/>
  <c r="J37" i="37"/>
  <c r="W37" i="37" s="1"/>
  <c r="AB40" i="37"/>
  <c r="U40" i="37"/>
  <c r="U15" i="21"/>
  <c r="AB15" i="21"/>
  <c r="AA16" i="35"/>
  <c r="S14" i="39"/>
  <c r="AB29" i="35"/>
  <c r="U29" i="35"/>
  <c r="AA35" i="39"/>
  <c r="U25" i="35"/>
  <c r="W44" i="33"/>
  <c r="U36" i="37"/>
  <c r="AB46" i="34"/>
  <c r="S14" i="34"/>
  <c r="AA14" i="34"/>
  <c r="W44" i="21"/>
  <c r="U38" i="34"/>
  <c r="F40" i="34"/>
  <c r="AA40" i="34" s="1"/>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c r="R29" i="31"/>
  <c r="T29" i="31" s="1"/>
  <c r="F15" i="21"/>
  <c r="S15" i="21"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c r="H31" i="21"/>
  <c r="F31" i="21"/>
  <c r="AA31" i="21" s="1"/>
  <c r="H39" i="21"/>
  <c r="U39" i="21" s="1"/>
  <c r="F117" i="21"/>
  <c r="G117" i="21" s="1"/>
  <c r="S9" i="21"/>
  <c r="AA9" i="21"/>
  <c r="AA15" i="33"/>
  <c r="S15" i="33"/>
  <c r="AA35" i="33"/>
  <c r="E117" i="33"/>
  <c r="F117" i="33"/>
  <c r="G117" i="33" s="1"/>
  <c r="J39" i="33"/>
  <c r="AC39" i="33" s="1"/>
  <c r="E125" i="33"/>
  <c r="F125" i="33" s="1"/>
  <c r="H43" i="33"/>
  <c r="U43" i="33"/>
  <c r="E91" i="33"/>
  <c r="F91" i="33"/>
  <c r="G91" i="33" s="1"/>
  <c r="H91" i="33"/>
  <c r="I91" i="33" s="1"/>
  <c r="J91" i="33" s="1"/>
  <c r="K91" i="33" s="1"/>
  <c r="L91" i="33" s="1"/>
  <c r="M91" i="33" s="1"/>
  <c r="F27" i="33"/>
  <c r="H41" i="33"/>
  <c r="U41" i="33" s="1"/>
  <c r="S12" i="34"/>
  <c r="AA12" i="34"/>
  <c r="AA11" i="34"/>
  <c r="S11" i="34"/>
  <c r="F80" i="34"/>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c r="I101" i="21" s="1"/>
  <c r="J101" i="21" s="1"/>
  <c r="K101" i="21" s="1"/>
  <c r="L101" i="21" s="1"/>
  <c r="M101" i="21" s="1"/>
  <c r="F32" i="21"/>
  <c r="S32" i="21" s="1"/>
  <c r="J32" i="21"/>
  <c r="W32" i="21" s="1"/>
  <c r="H32" i="21"/>
  <c r="U32" i="21" s="1"/>
  <c r="F40" i="21"/>
  <c r="H40" i="21"/>
  <c r="AB40" i="21" s="1"/>
  <c r="J40" i="21"/>
  <c r="AC40" i="21" s="1"/>
  <c r="B44" i="47"/>
  <c r="C21" i="40"/>
  <c r="AC33" i="33"/>
  <c r="W33" i="33"/>
  <c r="S34" i="33"/>
  <c r="AA38" i="33"/>
  <c r="S38" i="33"/>
  <c r="AC38" i="33"/>
  <c r="W38" i="33"/>
  <c r="J9" i="33"/>
  <c r="AC9" i="33"/>
  <c r="F9" i="33"/>
  <c r="AA9" i="33"/>
  <c r="F25" i="34"/>
  <c r="S25" i="34"/>
  <c r="E126" i="34"/>
  <c r="H44" i="34"/>
  <c r="U44" i="34" s="1"/>
  <c r="AB26" i="36"/>
  <c r="U26" i="36"/>
  <c r="U9" i="36"/>
  <c r="F20" i="36"/>
  <c r="AA20" i="36" s="1"/>
  <c r="J24" i="36"/>
  <c r="W24" i="36" s="1"/>
  <c r="H24" i="36"/>
  <c r="U24" i="36" s="1"/>
  <c r="F24" i="36"/>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M1" i="43"/>
  <c r="F101" i="9"/>
  <c r="F33" i="9"/>
  <c r="C25" i="57"/>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G125" i="33"/>
  <c r="J43" i="33"/>
  <c r="AC43" i="33"/>
  <c r="AB31" i="21"/>
  <c r="U31" i="21"/>
  <c r="S29" i="21"/>
  <c r="AC27" i="21"/>
  <c r="H27" i="36"/>
  <c r="AB27" i="36" s="1"/>
  <c r="F27" i="36"/>
  <c r="J28" i="34"/>
  <c r="W28" i="34" s="1"/>
  <c r="AB34" i="21"/>
  <c r="H11" i="34"/>
  <c r="U11" i="34" s="1"/>
  <c r="S17" i="37"/>
  <c r="J11" i="37"/>
  <c r="AC11" i="37" s="1"/>
  <c r="W12" i="39"/>
  <c r="AC12" i="39"/>
  <c r="W9" i="34"/>
  <c r="S45" i="21"/>
  <c r="AB13" i="21"/>
  <c r="AC37" i="37"/>
  <c r="U38" i="40"/>
  <c r="F23" i="39"/>
  <c r="AA23" i="39" s="1"/>
  <c r="S26" i="37"/>
  <c r="F44" i="34"/>
  <c r="AA44" i="34" s="1"/>
  <c r="F126" i="34"/>
  <c r="G126" i="34"/>
  <c r="J44" i="34"/>
  <c r="AC44" i="34" s="1"/>
  <c r="U31" i="37"/>
  <c r="W27" i="37"/>
  <c r="AB27" i="37"/>
  <c r="H10" i="37"/>
  <c r="U10" i="37" s="1"/>
  <c r="S24" i="35"/>
  <c r="AB43" i="33"/>
  <c r="AB29" i="21"/>
  <c r="AC27" i="36"/>
  <c r="W27" i="36"/>
  <c r="F101" i="33"/>
  <c r="G101" i="33" s="1"/>
  <c r="H101" i="33" s="1"/>
  <c r="I101" i="33" s="1"/>
  <c r="J101" i="33" s="1"/>
  <c r="K101" i="33" s="1"/>
  <c r="L101" i="33" s="1"/>
  <c r="M101" i="33" s="1"/>
  <c r="J32" i="33"/>
  <c r="W32" i="33" s="1"/>
  <c r="H32" i="33"/>
  <c r="AB32" i="33" s="1"/>
  <c r="U45" i="21"/>
  <c r="U12" i="36"/>
  <c r="AC45" i="21"/>
  <c r="W45" i="21"/>
  <c r="W13" i="21"/>
  <c r="AC13" i="21"/>
  <c r="S44" i="34"/>
  <c r="AB25" i="34"/>
  <c r="J10" i="37"/>
  <c r="AC10" i="37" s="1"/>
  <c r="H23" i="39"/>
  <c r="AB23" i="39" s="1"/>
  <c r="J11" i="34"/>
  <c r="W11" i="34" s="1"/>
  <c r="J27" i="33"/>
  <c r="W27" i="33" s="1"/>
  <c r="J25" i="34"/>
  <c r="W25" i="34" s="1"/>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D93" i="9"/>
  <c r="M29" i="15"/>
  <c r="D10" i="11"/>
  <c r="D3" i="34"/>
  <c r="D78" i="9"/>
  <c r="A16" i="55"/>
  <c r="B46" i="60" s="1"/>
  <c r="D3" i="37"/>
  <c r="AB36" i="40"/>
  <c r="AA32" i="40"/>
  <c r="W32" i="40"/>
  <c r="W31" i="40"/>
  <c r="AC9" i="40"/>
  <c r="S9" i="40"/>
  <c r="AA27" i="40"/>
  <c r="AC38" i="40"/>
  <c r="S40" i="40"/>
  <c r="W35" i="40"/>
  <c r="W33" i="40"/>
  <c r="W34" i="40"/>
  <c r="AB39" i="40"/>
  <c r="J37" i="40"/>
  <c r="AC37" i="40" s="1"/>
  <c r="H35" i="40"/>
  <c r="H37" i="40"/>
  <c r="AB37" i="40" s="1"/>
  <c r="H28" i="40"/>
  <c r="F28" i="40"/>
  <c r="S28" i="40" s="1"/>
  <c r="J28" i="40"/>
  <c r="F98" i="40"/>
  <c r="G98" i="40" s="1"/>
  <c r="H98" i="40" s="1"/>
  <c r="I98" i="40" s="1"/>
  <c r="J98" i="40" s="1"/>
  <c r="K98" i="40" s="1"/>
  <c r="L98" i="40" s="1"/>
  <c r="M98" i="40" s="1"/>
  <c r="F21" i="40"/>
  <c r="AA21" i="40" s="1"/>
  <c r="H21" i="40"/>
  <c r="F90" i="40"/>
  <c r="G90" i="40" s="1"/>
  <c r="J21" i="40"/>
  <c r="W21" i="40" s="1"/>
  <c r="W19" i="40"/>
  <c r="F86" i="40"/>
  <c r="G86" i="40"/>
  <c r="H17" i="40"/>
  <c r="U17" i="40"/>
  <c r="J17" i="40"/>
  <c r="F17" i="40"/>
  <c r="S17" i="40" s="1"/>
  <c r="F84" i="40"/>
  <c r="G84" i="40" s="1"/>
  <c r="F15" i="40"/>
  <c r="S15" i="40" s="1"/>
  <c r="J15" i="40"/>
  <c r="H15" i="40"/>
  <c r="AB15" i="40" s="1"/>
  <c r="AC25" i="40"/>
  <c r="W25" i="40"/>
  <c r="U19" i="40"/>
  <c r="U14" i="40"/>
  <c r="U8" i="40"/>
  <c r="AA19" i="40"/>
  <c r="S36" i="40"/>
  <c r="AA35" i="40"/>
  <c r="AC38" i="39"/>
  <c r="AC17" i="39"/>
  <c r="AA37" i="39"/>
  <c r="AB29" i="39"/>
  <c r="AC25"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S15" i="37"/>
  <c r="J15" i="37"/>
  <c r="W15" i="37" s="1"/>
  <c r="W10" i="37"/>
  <c r="S10" i="37"/>
  <c r="AA11" i="37"/>
  <c r="U9" i="37"/>
  <c r="AB10" i="37"/>
  <c r="AC21" i="37"/>
  <c r="W21" i="37"/>
  <c r="W11" i="37"/>
  <c r="W14" i="37"/>
  <c r="AC19" i="37"/>
  <c r="W39" i="37"/>
  <c r="AB11" i="37"/>
  <c r="S37" i="37"/>
  <c r="AA14" i="37"/>
  <c r="AA38" i="37"/>
  <c r="AB41" i="34"/>
  <c r="S38" i="34"/>
  <c r="AB19" i="34"/>
  <c r="S17" i="34"/>
  <c r="AB17" i="34"/>
  <c r="W15" i="34"/>
  <c r="W31" i="34"/>
  <c r="U23" i="34"/>
  <c r="U21" i="34"/>
  <c r="AB21" i="34"/>
  <c r="AA25"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C37" i="57"/>
  <c r="F125" i="57" s="1"/>
  <c r="Y25" i="31"/>
  <c r="C36" i="57"/>
  <c r="D125" i="57" s="1"/>
  <c r="V25" i="31"/>
  <c r="D3" i="21"/>
  <c r="M6" i="43"/>
  <c r="M5" i="43"/>
  <c r="F81" i="43"/>
  <c r="H85" i="43" s="1"/>
  <c r="H13" i="44"/>
  <c r="G59" i="40"/>
  <c r="C59" i="40" s="1"/>
  <c r="H11" i="44"/>
  <c r="C51" i="10"/>
  <c r="A8" i="54"/>
  <c r="B8" i="60" s="1"/>
  <c r="F2" i="21"/>
  <c r="F2" i="34"/>
  <c r="F2" i="35"/>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A132" i="9"/>
  <c r="D24" i="15"/>
  <c r="C27" i="15"/>
  <c r="M20" i="15"/>
  <c r="D9" i="11"/>
  <c r="C9" i="11" s="1"/>
  <c r="C20" i="12"/>
  <c r="C19" i="12"/>
  <c r="G22" i="11"/>
  <c r="G41" i="11"/>
  <c r="E48" i="43"/>
  <c r="H113" i="43"/>
  <c r="X7" i="43"/>
  <c r="E59" i="43"/>
  <c r="B57" i="43"/>
  <c r="E70" i="43"/>
  <c r="B68" i="43"/>
  <c r="C24" i="43" s="1"/>
  <c r="AG11" i="43"/>
  <c r="AG13" i="43" s="1"/>
  <c r="AC11" i="43"/>
  <c r="AC13" i="43" s="1"/>
  <c r="Y11" i="43"/>
  <c r="Y13" i="43" s="1"/>
  <c r="AH11" i="43"/>
  <c r="AH13" i="43" s="1"/>
  <c r="AD11" i="43"/>
  <c r="Z11" i="43"/>
  <c r="Z13" i="43" s="1"/>
  <c r="B46" i="43"/>
  <c r="E9" i="43"/>
  <c r="E8" i="43"/>
  <c r="C7" i="43" s="1"/>
  <c r="E10" i="43"/>
  <c r="E11" i="43"/>
  <c r="C7" i="39"/>
  <c r="C68" i="39" s="1"/>
  <c r="C70" i="39" s="1"/>
  <c r="C53" i="10"/>
  <c r="D123" i="9"/>
  <c r="D6" i="52" s="1"/>
  <c r="D124" i="9"/>
  <c r="D7" i="52"/>
  <c r="N49" i="57"/>
  <c r="B58" i="60"/>
  <c r="L109" i="43"/>
  <c r="C104" i="43"/>
  <c r="A125" i="57"/>
  <c r="N47" i="9"/>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D105" i="43"/>
  <c r="K103" i="43"/>
  <c r="C105" i="43"/>
  <c r="B117" i="43"/>
  <c r="C117" i="43" s="1"/>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B116" i="43"/>
  <c r="C116" i="43" s="1"/>
  <c r="M12" i="43"/>
  <c r="M8" i="43"/>
  <c r="N7" i="43"/>
  <c r="M3" i="43"/>
  <c r="M11" i="43"/>
  <c r="N8" i="43"/>
  <c r="H8" i="44"/>
  <c r="H12" i="44"/>
  <c r="C63" i="39"/>
  <c r="G64" i="39"/>
  <c r="C64" i="39" s="1"/>
  <c r="M85" i="43"/>
  <c r="N85" i="43" s="1"/>
  <c r="K85" i="43"/>
  <c r="J85" i="43" s="1"/>
  <c r="D85" i="43"/>
  <c r="M82" i="43"/>
  <c r="N82" i="43"/>
  <c r="K83" i="43"/>
  <c r="J83" i="43"/>
  <c r="D83" i="43"/>
  <c r="H81" i="43"/>
  <c r="B115" i="43"/>
  <c r="C115" i="43" s="1"/>
  <c r="D118" i="43"/>
  <c r="E118" i="43" s="1"/>
  <c r="F118" i="43" s="1"/>
  <c r="F35" i="15"/>
  <c r="F64" i="15"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A45" i="34"/>
  <c r="AB45" i="34"/>
  <c r="W29" i="34"/>
  <c r="W43" i="34"/>
  <c r="S34"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U35" i="40"/>
  <c r="AB35" i="40"/>
  <c r="U37" i="40"/>
  <c r="W37" i="40"/>
  <c r="AA28" i="40"/>
  <c r="AC28" i="40"/>
  <c r="W28" i="40"/>
  <c r="U28" i="40"/>
  <c r="AB28" i="40"/>
  <c r="AB21" i="40"/>
  <c r="U21" i="40"/>
  <c r="S21" i="40"/>
  <c r="AB17" i="40"/>
  <c r="W17" i="40"/>
  <c r="AC17" i="40"/>
  <c r="AA15" i="40"/>
  <c r="AC15" i="40"/>
  <c r="W15" i="40"/>
  <c r="AB33" i="37"/>
  <c r="U33" i="37"/>
  <c r="U35" i="37"/>
  <c r="S33" i="37"/>
  <c r="AA35" i="37"/>
  <c r="S35" i="37"/>
  <c r="W33" i="37"/>
  <c r="S19" i="37"/>
  <c r="AC15" i="37"/>
  <c r="AC21" i="34"/>
  <c r="W21" i="34"/>
  <c r="AC21" i="21"/>
  <c r="M86" i="43"/>
  <c r="N86" i="43" s="1"/>
  <c r="F34" i="11"/>
  <c r="E19" i="1"/>
  <c r="D20" i="1"/>
  <c r="D18" i="1"/>
  <c r="F50" i="11"/>
  <c r="F19" i="1"/>
  <c r="F18" i="1"/>
  <c r="D19" i="1"/>
  <c r="K87" i="43"/>
  <c r="J87" i="43" s="1"/>
  <c r="D87" i="43"/>
  <c r="L106" i="9"/>
  <c r="A18" i="55" s="1"/>
  <c r="B48" i="60" s="1"/>
  <c r="M84" i="43"/>
  <c r="N84" i="43"/>
  <c r="K84" i="43"/>
  <c r="J84" i="43"/>
  <c r="D84" i="43"/>
  <c r="M81" i="43"/>
  <c r="N81" i="43" s="1"/>
  <c r="K81" i="43"/>
  <c r="J81" i="43" s="1"/>
  <c r="D81" i="43"/>
  <c r="E81" i="43" s="1"/>
  <c r="B79" i="43" s="1"/>
  <c r="M88" i="43"/>
  <c r="N88" i="43"/>
  <c r="K88" i="43"/>
  <c r="J88" i="43"/>
  <c r="D88" i="43"/>
  <c r="I114" i="57"/>
  <c r="D131" i="57" s="1"/>
  <c r="B41" i="1"/>
  <c r="M27" i="15" s="1"/>
  <c r="C11" i="12"/>
  <c r="C15" i="12" s="1"/>
  <c r="C13" i="12"/>
  <c r="C36" i="11"/>
  <c r="D118" i="57"/>
  <c r="D119" i="57"/>
  <c r="I115" i="57" s="1"/>
  <c r="D132" i="57" s="1"/>
  <c r="D134" i="57"/>
  <c r="D130" i="9"/>
  <c r="D13" i="52"/>
  <c r="N46" i="9"/>
  <c r="H59" i="43"/>
  <c r="H67" i="43"/>
  <c r="H9" i="44"/>
  <c r="H7" i="44"/>
  <c r="H10" i="44"/>
  <c r="N12" i="43"/>
  <c r="N4" i="43"/>
  <c r="F70" i="43" s="1"/>
  <c r="M7" i="43"/>
  <c r="N1" i="43"/>
  <c r="M10" i="43"/>
  <c r="M2" i="43"/>
  <c r="H15" i="44"/>
  <c r="H87" i="43"/>
  <c r="H61" i="43"/>
  <c r="H5" i="44"/>
  <c r="N10" i="43"/>
  <c r="N2" i="43"/>
  <c r="N11" i="43"/>
  <c r="N9" i="43"/>
  <c r="M4" i="43"/>
  <c r="C6" i="43" s="1"/>
  <c r="N5" i="43"/>
  <c r="N3" i="43"/>
  <c r="M9" i="43"/>
  <c r="E17" i="43"/>
  <c r="N17" i="43"/>
  <c r="L17" i="43"/>
  <c r="O17" i="43"/>
  <c r="M17" i="43"/>
  <c r="J1" i="61"/>
  <c r="J52" i="15"/>
  <c r="M60" i="15" s="1"/>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F18" i="59"/>
  <c r="F17" i="59"/>
  <c r="F16" i="59" s="1"/>
  <c r="F15" i="59" s="1"/>
  <c r="F14" i="59" s="1"/>
  <c r="F13" i="59" s="1"/>
  <c r="X3" i="59"/>
  <c r="Y3" i="59"/>
  <c r="Z3" i="59" s="1"/>
  <c r="F48" i="43"/>
  <c r="H50" i="43" s="1"/>
  <c r="G4" i="47"/>
  <c r="B20" i="59"/>
  <c r="B19" i="59" s="1"/>
  <c r="B18" i="59" s="1"/>
  <c r="B17" i="59" s="1"/>
  <c r="AC30" i="35"/>
  <c r="U30" i="35"/>
  <c r="I116" i="57"/>
  <c r="D133" i="57" s="1"/>
  <c r="I14" i="62" s="1"/>
  <c r="B8" i="62" s="1"/>
  <c r="D120" i="57"/>
  <c r="I114" i="9"/>
  <c r="D129" i="9" s="1"/>
  <c r="I112" i="9"/>
  <c r="D116" i="9"/>
  <c r="D114" i="9"/>
  <c r="D115" i="9"/>
  <c r="I113" i="9" s="1"/>
  <c r="C20" i="57"/>
  <c r="H23" i="31"/>
  <c r="E2" i="37"/>
  <c r="E2" i="34"/>
  <c r="D7" i="61"/>
  <c r="E2" i="21"/>
  <c r="D3" i="61"/>
  <c r="D5" i="61"/>
  <c r="E2" i="36"/>
  <c r="E2" i="11"/>
  <c r="D20" i="57"/>
  <c r="C19" i="57"/>
  <c r="F5" i="61"/>
  <c r="D6" i="61"/>
  <c r="E2" i="35"/>
  <c r="F7" i="61"/>
  <c r="D19" i="57"/>
  <c r="F3" i="61"/>
  <c r="F6" i="61"/>
  <c r="F4" i="61"/>
  <c r="D4" i="61"/>
  <c r="E2" i="33"/>
  <c r="AB28" i="34" l="1"/>
  <c r="S28" i="34"/>
  <c r="A14" i="52"/>
  <c r="B61" i="60" s="1"/>
  <c r="S43" i="34"/>
  <c r="AA9" i="34"/>
  <c r="U9" i="34"/>
  <c r="AC39" i="34"/>
  <c r="AB35" i="34"/>
  <c r="S35" i="34"/>
  <c r="W44" i="34"/>
  <c r="S40" i="34"/>
  <c r="S39" i="34"/>
  <c r="U39" i="34"/>
  <c r="G112" i="34"/>
  <c r="H112" i="34" s="1"/>
  <c r="I112" i="34" s="1"/>
  <c r="J112" i="34" s="1"/>
  <c r="K112" i="34" s="1"/>
  <c r="L112" i="34" s="1"/>
  <c r="M112" i="34" s="1"/>
  <c r="J37" i="34"/>
  <c r="F37" i="34"/>
  <c r="H37" i="34"/>
  <c r="U37" i="34" s="1"/>
  <c r="W35" i="34"/>
  <c r="AB37" i="34"/>
  <c r="AB33" i="34"/>
  <c r="AC33" i="34"/>
  <c r="F27" i="34"/>
  <c r="S27" i="34" s="1"/>
  <c r="H27" i="34"/>
  <c r="U27" i="34" s="1"/>
  <c r="J27" i="34"/>
  <c r="AC27" i="34" s="1"/>
  <c r="W27" i="34"/>
  <c r="AA27" i="34"/>
  <c r="AA41" i="34"/>
  <c r="U43" i="34"/>
  <c r="U36" i="34"/>
  <c r="S36" i="34"/>
  <c r="AC36" i="34"/>
  <c r="AA33" i="34"/>
  <c r="W41" i="34"/>
  <c r="W40" i="34"/>
  <c r="W34" i="34"/>
  <c r="U34" i="34"/>
  <c r="AB11" i="34"/>
  <c r="S10" i="34"/>
  <c r="U10" i="34"/>
  <c r="D80" i="57"/>
  <c r="D95" i="57"/>
  <c r="C14" i="12"/>
  <c r="P60" i="15"/>
  <c r="B103" i="57"/>
  <c r="B105" i="57" s="1"/>
  <c r="C114" i="9"/>
  <c r="H112" i="9" s="1"/>
  <c r="G125" i="57"/>
  <c r="P51" i="15"/>
  <c r="C106" i="9"/>
  <c r="H102" i="9" s="1"/>
  <c r="D47" i="15"/>
  <c r="C112" i="57"/>
  <c r="C115" i="57" s="1"/>
  <c r="H110" i="57" s="1"/>
  <c r="E18" i="1"/>
  <c r="C34" i="11" s="1"/>
  <c r="C35" i="11" s="1"/>
  <c r="M7" i="15"/>
  <c r="J6" i="15" s="1"/>
  <c r="D19" i="11"/>
  <c r="D3" i="36"/>
  <c r="D3" i="33"/>
  <c r="D3" i="35"/>
  <c r="D37" i="11"/>
  <c r="C37" i="11" s="1"/>
  <c r="F43" i="15"/>
  <c r="F72" i="15" s="1"/>
  <c r="J22" i="43"/>
  <c r="D116" i="43"/>
  <c r="E116" i="43" s="1"/>
  <c r="F116" i="43" s="1"/>
  <c r="G116" i="43" s="1"/>
  <c r="H116" i="43" s="1"/>
  <c r="D117" i="43"/>
  <c r="E117" i="43" s="1"/>
  <c r="F117" i="43" s="1"/>
  <c r="G117" i="43" s="1"/>
  <c r="H117" i="43" s="1"/>
  <c r="D115" i="43"/>
  <c r="E115" i="43" s="1"/>
  <c r="F115" i="43" s="1"/>
  <c r="G115" i="43" s="1"/>
  <c r="H115" i="43" s="1"/>
  <c r="G104" i="43"/>
  <c r="D102" i="43"/>
  <c r="H104" i="43"/>
  <c r="N104" i="46"/>
  <c r="K106" i="43"/>
  <c r="Z7" i="43"/>
  <c r="AB11" i="43"/>
  <c r="AF11" i="43"/>
  <c r="AJ11" i="43"/>
  <c r="AA11" i="43"/>
  <c r="AA13" i="43" s="1"/>
  <c r="AE11" i="43"/>
  <c r="AE13" i="43" s="1"/>
  <c r="AI11" i="43"/>
  <c r="AI13" i="43" s="1"/>
  <c r="H102" i="43"/>
  <c r="G103" i="43"/>
  <c r="F101" i="43"/>
  <c r="J101" i="43"/>
  <c r="N101" i="43"/>
  <c r="E101" i="43"/>
  <c r="I101" i="43"/>
  <c r="M101" i="43"/>
  <c r="H86" i="43"/>
  <c r="H84" i="43"/>
  <c r="A8" i="52"/>
  <c r="B65" i="60" s="1"/>
  <c r="D42" i="50"/>
  <c r="D43" i="50" s="1"/>
  <c r="B16" i="59"/>
  <c r="B15" i="59" s="1"/>
  <c r="B14" i="59" s="1"/>
  <c r="B13" i="59" s="1"/>
  <c r="S17" i="59"/>
  <c r="AA40" i="21"/>
  <c r="S40" i="21"/>
  <c r="S27" i="33"/>
  <c r="AA27" i="33"/>
  <c r="F12" i="59"/>
  <c r="F11" i="59" s="1"/>
  <c r="F10" i="59" s="1"/>
  <c r="F9" i="59" s="1"/>
  <c r="V13" i="59"/>
  <c r="D39" i="50"/>
  <c r="D40" i="50" s="1"/>
  <c r="V17" i="59"/>
  <c r="H64" i="43"/>
  <c r="H66" i="43"/>
  <c r="H60" i="43"/>
  <c r="AB19" i="37"/>
  <c r="AA17" i="40"/>
  <c r="AC21" i="40"/>
  <c r="AC25" i="34"/>
  <c r="H65" i="43"/>
  <c r="AC28" i="34"/>
  <c r="W26" i="37"/>
  <c r="S23" i="39"/>
  <c r="W17" i="34"/>
  <c r="AA27" i="36"/>
  <c r="S27" i="36"/>
  <c r="AA24" i="36"/>
  <c r="S24" i="36"/>
  <c r="S31" i="21"/>
  <c r="W29" i="21"/>
  <c r="AB21" i="39"/>
  <c r="AA15" i="39"/>
  <c r="AB25" i="39"/>
  <c r="S11" i="33"/>
  <c r="AA30" i="33"/>
  <c r="S28" i="37"/>
  <c r="AA11" i="35"/>
  <c r="U31" i="33"/>
  <c r="U32" i="36"/>
  <c r="AC13" i="36"/>
  <c r="AC32" i="34"/>
  <c r="W30" i="33"/>
  <c r="W28" i="37"/>
  <c r="AB14" i="33"/>
  <c r="W13" i="35"/>
  <c r="AC27" i="40"/>
  <c r="W32" i="35"/>
  <c r="M19" i="43"/>
  <c r="U37" i="59"/>
  <c r="D59" i="59"/>
  <c r="C60" i="59"/>
  <c r="F9" i="36"/>
  <c r="J9" i="36"/>
  <c r="F39" i="40"/>
  <c r="D51" i="59"/>
  <c r="C52" i="59"/>
  <c r="B24" i="59"/>
  <c r="B23" i="59" s="1"/>
  <c r="S25" i="59"/>
  <c r="Y26" i="59"/>
  <c r="Z26" i="59" s="1"/>
  <c r="C27" i="59"/>
  <c r="AB26" i="59"/>
  <c r="AB3" i="59"/>
  <c r="AB23" i="59"/>
  <c r="AB25" i="59"/>
  <c r="F27" i="59"/>
  <c r="F28" i="59" s="1"/>
  <c r="F29" i="59" s="1"/>
  <c r="V29" i="59" s="1"/>
  <c r="X30" i="59"/>
  <c r="B31" i="59"/>
  <c r="B32" i="59" s="1"/>
  <c r="B33" i="59" s="1"/>
  <c r="S33" i="59" s="1"/>
  <c r="Y34" i="59"/>
  <c r="Z34" i="59" s="1"/>
  <c r="C35" i="59"/>
  <c r="F35" i="59"/>
  <c r="F36" i="59" s="1"/>
  <c r="F37" i="59" s="1"/>
  <c r="V37" i="59" s="1"/>
  <c r="T77" i="59"/>
  <c r="C76" i="59"/>
  <c r="V77" i="59"/>
  <c r="F76" i="59"/>
  <c r="F75" i="59" s="1"/>
  <c r="AB12" i="43"/>
  <c r="AB13" i="43" s="1"/>
  <c r="AB10" i="43"/>
  <c r="AD12" i="43"/>
  <c r="AD13" i="43" s="1"/>
  <c r="AD10" i="43"/>
  <c r="AF12" i="43"/>
  <c r="AF10" i="43"/>
  <c r="AJ12" i="43"/>
  <c r="AJ13" i="43" s="1"/>
  <c r="AJ10" i="43"/>
  <c r="S21" i="21"/>
  <c r="S21" i="37"/>
  <c r="W18" i="35"/>
  <c r="B75" i="43"/>
  <c r="B55" i="43"/>
  <c r="C29" i="39"/>
  <c r="AB21" i="37"/>
  <c r="U21" i="37"/>
  <c r="AB18" i="35"/>
  <c r="U18" i="35"/>
  <c r="B66" i="43"/>
  <c r="C83" i="59"/>
  <c r="D83" i="59" s="1"/>
  <c r="E24" i="59"/>
  <c r="E23" i="59" s="1"/>
  <c r="U25" i="59"/>
  <c r="AB22" i="59"/>
  <c r="C63" i="59"/>
  <c r="D64" i="59"/>
  <c r="AA23" i="59"/>
  <c r="AA25" i="59"/>
  <c r="AA22" i="59"/>
  <c r="X24" i="59"/>
  <c r="Y24" i="59"/>
  <c r="Z24" i="59" s="1"/>
  <c r="Y23" i="59"/>
  <c r="Z23" i="59" s="1"/>
  <c r="T25" i="59"/>
  <c r="D25" i="59"/>
  <c r="X26" i="59"/>
  <c r="B27" i="59"/>
  <c r="B28" i="59" s="1"/>
  <c r="B29" i="59" s="1"/>
  <c r="S29" i="59" s="1"/>
  <c r="X25" i="59"/>
  <c r="X22" i="59"/>
  <c r="Y30" i="59"/>
  <c r="Z30" i="59" s="1"/>
  <c r="C31" i="59"/>
  <c r="AB30" i="59"/>
  <c r="F31" i="59"/>
  <c r="F32" i="59" s="1"/>
  <c r="F33" i="59" s="1"/>
  <c r="V33" i="59" s="1"/>
  <c r="Y31" i="59"/>
  <c r="Z31" i="59" s="1"/>
  <c r="AB31" i="59"/>
  <c r="Y32" i="59"/>
  <c r="Z32" i="59" s="1"/>
  <c r="AB32" i="59"/>
  <c r="Y33" i="59"/>
  <c r="Z33" i="59" s="1"/>
  <c r="AB33" i="59"/>
  <c r="X34" i="59"/>
  <c r="B35" i="59"/>
  <c r="B36" i="59" s="1"/>
  <c r="B37" i="59" s="1"/>
  <c r="S37" i="59" s="1"/>
  <c r="X5" i="59"/>
  <c r="X7" i="59"/>
  <c r="X8" i="59"/>
  <c r="X36" i="59"/>
  <c r="E40" i="59"/>
  <c r="E41" i="59" s="1"/>
  <c r="U41" i="59" s="1"/>
  <c r="C44" i="59"/>
  <c r="D44" i="59" s="1"/>
  <c r="D43" i="59"/>
  <c r="B57" i="59"/>
  <c r="S57" i="59" s="1"/>
  <c r="E64" i="59"/>
  <c r="U65" i="59"/>
  <c r="P65" i="59"/>
  <c r="V69" i="59"/>
  <c r="F68" i="59"/>
  <c r="F67" i="59" s="1"/>
  <c r="AH10" i="43"/>
  <c r="Y21" i="59"/>
  <c r="Z21" i="59" s="1"/>
  <c r="AA21" i="59"/>
  <c r="X27" i="59"/>
  <c r="X28" i="59"/>
  <c r="X29" i="59"/>
  <c r="X31" i="59"/>
  <c r="X32" i="59"/>
  <c r="X33" i="59"/>
  <c r="X35" i="59"/>
  <c r="AB5" i="59"/>
  <c r="AB6" i="59"/>
  <c r="AB7" i="59"/>
  <c r="AB36" i="59"/>
  <c r="F56" i="59"/>
  <c r="F57" i="59" s="1"/>
  <c r="V57" i="59" s="1"/>
  <c r="S65" i="59"/>
  <c r="N65" i="59"/>
  <c r="V65" i="59"/>
  <c r="F64" i="59"/>
  <c r="S69" i="59"/>
  <c r="B68" i="59"/>
  <c r="B67" i="59" s="1"/>
  <c r="S77" i="59"/>
  <c r="B76" i="59"/>
  <c r="B75" i="59" s="1"/>
  <c r="E12" i="59"/>
  <c r="E11" i="59" s="1"/>
  <c r="E10" i="59" s="1"/>
  <c r="E9" i="59" s="1"/>
  <c r="U13" i="59"/>
  <c r="X19" i="59"/>
  <c r="Y5" i="59"/>
  <c r="Z5" i="59" s="1"/>
  <c r="Y6" i="59"/>
  <c r="Z6" i="59" s="1"/>
  <c r="Y8" i="59"/>
  <c r="Z8" i="59" s="1"/>
  <c r="AA5" i="59"/>
  <c r="AA7" i="59"/>
  <c r="B15" i="50"/>
  <c r="X21" i="59"/>
  <c r="Y20" i="59"/>
  <c r="Z20" i="59" s="1"/>
  <c r="C21" i="59"/>
  <c r="X18" i="59"/>
  <c r="AA16" i="59"/>
  <c r="AA18" i="59"/>
  <c r="AA14" i="59"/>
  <c r="Y16" i="59"/>
  <c r="Z16" i="59" s="1"/>
  <c r="Y15" i="59"/>
  <c r="Z15" i="59" s="1"/>
  <c r="Y14" i="59"/>
  <c r="Z14" i="59" s="1"/>
  <c r="AA13" i="59"/>
  <c r="P59" i="15"/>
  <c r="P72" i="15"/>
  <c r="Y18" i="59"/>
  <c r="Z18" i="59" s="1"/>
  <c r="AB18" i="59"/>
  <c r="AB19" i="59"/>
  <c r="AB14" i="59"/>
  <c r="X14" i="59"/>
  <c r="Y12" i="59"/>
  <c r="Z12" i="59" s="1"/>
  <c r="AB13" i="59"/>
  <c r="AB12" i="59"/>
  <c r="AB10" i="59"/>
  <c r="Y9" i="59"/>
  <c r="Z9" i="59" s="1"/>
  <c r="Y11" i="59"/>
  <c r="Z11" i="59" s="1"/>
  <c r="AA9" i="59"/>
  <c r="AA6" i="59"/>
  <c r="AA11" i="59"/>
  <c r="X10" i="59"/>
  <c r="X6" i="59"/>
  <c r="X12" i="59"/>
  <c r="AA12" i="59"/>
  <c r="AB9" i="59"/>
  <c r="AB8" i="59"/>
  <c r="AB11" i="59"/>
  <c r="Y7" i="59"/>
  <c r="Z7" i="59" s="1"/>
  <c r="Y10" i="59"/>
  <c r="Z10" i="59" s="1"/>
  <c r="AA8" i="59"/>
  <c r="AA10" i="59"/>
  <c r="X9" i="59"/>
  <c r="X11" i="59"/>
  <c r="F8" i="59"/>
  <c r="F7" i="59" s="1"/>
  <c r="F6" i="59" s="1"/>
  <c r="F5" i="59" s="1"/>
  <c r="V5" i="59" s="1"/>
  <c r="V9" i="59"/>
  <c r="E8" i="59"/>
  <c r="E7" i="59" s="1"/>
  <c r="E6" i="59" s="1"/>
  <c r="E5" i="59" s="1"/>
  <c r="U5" i="59" s="1"/>
  <c r="U9"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C118" i="57"/>
  <c r="H114" i="57" s="1"/>
  <c r="S29" i="31"/>
  <c r="S25" i="31" s="1"/>
  <c r="T28" i="31"/>
  <c r="T25" i="31"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2" i="43"/>
  <c r="I105" i="43"/>
  <c r="I109"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E58" i="21"/>
  <c r="H72" i="43"/>
  <c r="H74" i="43"/>
  <c r="H77" i="43"/>
  <c r="F102" i="43"/>
  <c r="F107" i="43"/>
  <c r="J103" i="43"/>
  <c r="M103"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31" i="12"/>
  <c r="C23" i="12"/>
  <c r="D128" i="9"/>
  <c r="D11" i="52" s="1"/>
  <c r="D20" i="50"/>
  <c r="C34" i="15"/>
  <c r="D8" i="62"/>
  <c r="C8" i="62"/>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C103" i="57"/>
  <c r="G19" i="57"/>
  <c r="D22" i="57"/>
  <c r="D103" i="57"/>
  <c r="I1" i="61"/>
  <c r="B31" i="1" s="1"/>
  <c r="K1" i="61"/>
  <c r="G20" i="57"/>
  <c r="C104" i="57"/>
  <c r="D104" i="57"/>
  <c r="G1" i="61"/>
  <c r="C116" i="57" l="1"/>
  <c r="H112" i="57" s="1"/>
  <c r="C105" i="57"/>
  <c r="W37" i="34"/>
  <c r="AC37" i="34"/>
  <c r="AA37" i="34"/>
  <c r="S37" i="34"/>
  <c r="AB27" i="34"/>
  <c r="B107" i="57"/>
  <c r="C110" i="57"/>
  <c r="H104" i="57" s="1"/>
  <c r="C120" i="57"/>
  <c r="H116" i="57" s="1"/>
  <c r="D19" i="50"/>
  <c r="B32" i="60" s="1"/>
  <c r="H107" i="57"/>
  <c r="C114" i="57"/>
  <c r="H109" i="57" s="1"/>
  <c r="M109" i="43"/>
  <c r="M104" i="43"/>
  <c r="M107" i="43"/>
  <c r="E109" i="43"/>
  <c r="E105" i="43"/>
  <c r="E102" i="43"/>
  <c r="E106" i="43"/>
  <c r="J102" i="43"/>
  <c r="J107" i="43"/>
  <c r="J104" i="43"/>
  <c r="M105" i="43"/>
  <c r="J109" i="43"/>
  <c r="E104" i="43"/>
  <c r="M106" i="43"/>
  <c r="AF13" i="43"/>
  <c r="I102" i="43"/>
  <c r="I103" i="43"/>
  <c r="N107" i="43"/>
  <c r="N106" i="43"/>
  <c r="N109" i="43"/>
  <c r="N102" i="43"/>
  <c r="N105" i="43"/>
  <c r="F104" i="43"/>
  <c r="F106" i="43"/>
  <c r="F103" i="43"/>
  <c r="D8" i="48"/>
  <c r="C3" i="4"/>
  <c r="B4" i="55" s="1"/>
  <c r="B53" i="60" s="1"/>
  <c r="E63" i="59"/>
  <c r="P64" i="59"/>
  <c r="O63" i="59"/>
  <c r="O62" i="59"/>
  <c r="D63" i="59"/>
  <c r="C75" i="59"/>
  <c r="D75" i="59" s="1"/>
  <c r="D76" i="59"/>
  <c r="C28" i="59"/>
  <c r="D27" i="59"/>
  <c r="D52" i="59"/>
  <c r="C53" i="59"/>
  <c r="AA39" i="40"/>
  <c r="S39" i="40"/>
  <c r="AA9" i="36"/>
  <c r="S9" i="36"/>
  <c r="H7" i="35"/>
  <c r="U7" i="35" s="1"/>
  <c r="F7" i="35"/>
  <c r="T21" i="59"/>
  <c r="D21" i="59"/>
  <c r="C20" i="59"/>
  <c r="Q64" i="59"/>
  <c r="F63" i="59"/>
  <c r="C32" i="59"/>
  <c r="D31" i="59"/>
  <c r="C36" i="59"/>
  <c r="D35" i="59"/>
  <c r="AC9" i="36"/>
  <c r="W9" i="36"/>
  <c r="D60" i="59"/>
  <c r="C61" i="59"/>
  <c r="B12" i="59"/>
  <c r="B11" i="59" s="1"/>
  <c r="B10" i="59" s="1"/>
  <c r="B9" i="59" s="1"/>
  <c r="S13"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C19" i="15" l="1"/>
  <c r="C20" i="15" s="1"/>
  <c r="C26" i="15" s="1"/>
  <c r="E42" i="37"/>
  <c r="D61" i="59"/>
  <c r="T61" i="59"/>
  <c r="Q63" i="59"/>
  <c r="Q62" i="59"/>
  <c r="C19" i="59"/>
  <c r="D20" i="59"/>
  <c r="D28" i="59"/>
  <c r="C29" i="59"/>
  <c r="J7" i="36"/>
  <c r="AC7" i="36" s="1"/>
  <c r="V36" i="36" s="1"/>
  <c r="I36" i="36" s="1"/>
  <c r="B8" i="59"/>
  <c r="B7" i="59" s="1"/>
  <c r="B6" i="59" s="1"/>
  <c r="B5" i="59" s="1"/>
  <c r="S5" i="59" s="1"/>
  <c r="S9" i="59"/>
  <c r="D36" i="59"/>
  <c r="C37" i="59"/>
  <c r="D32" i="59"/>
  <c r="C33" i="59"/>
  <c r="D53" i="59"/>
  <c r="T53" i="59"/>
  <c r="P63" i="59"/>
  <c r="P62" i="59"/>
  <c r="H7" i="36"/>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D29" i="59" l="1"/>
  <c r="T29" i="59"/>
  <c r="D33" i="59"/>
  <c r="T33" i="59"/>
  <c r="D37" i="59"/>
  <c r="T37" i="59"/>
  <c r="C18" i="59"/>
  <c r="D19"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7" i="59" l="1"/>
  <c r="D18" i="59"/>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C16" i="59" l="1"/>
  <c r="T17" i="59"/>
  <c r="D17"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5" i="59" l="1"/>
  <c r="D16"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14" i="59" l="1"/>
  <c r="D15" i="5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D14" i="59" l="1"/>
  <c r="C13" i="59"/>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12" i="59" l="1"/>
  <c r="T13" i="59"/>
  <c r="D13" i="59"/>
  <c r="D35" i="9"/>
  <c r="D34" i="9" s="1"/>
  <c r="L65" i="40"/>
  <c r="M63" i="40"/>
  <c r="AA7" i="39"/>
  <c r="R47" i="39" s="1"/>
  <c r="R48" i="39" s="1"/>
  <c r="S7" i="39"/>
  <c r="M59" i="34"/>
  <c r="N59" i="34" s="1"/>
  <c r="O59" i="34" s="1"/>
  <c r="H7" i="34" s="1"/>
  <c r="AB7" i="39"/>
  <c r="U7" i="39"/>
  <c r="AC7" i="39"/>
  <c r="W7" i="39"/>
  <c r="L58" i="15"/>
  <c r="L61" i="15" s="1"/>
  <c r="D12" i="59" l="1"/>
  <c r="C11"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10" i="59" l="1"/>
  <c r="D11" i="59"/>
  <c r="AA7" i="34"/>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9"/>
  <c r="D19" i="9"/>
  <c r="D101" i="9" l="1"/>
  <c r="D102" i="9"/>
  <c r="R50" i="34"/>
  <c r="C50" i="34" s="1"/>
  <c r="B2" i="34" s="1"/>
  <c r="E49" i="34"/>
  <c r="E53" i="34" s="1"/>
  <c r="F53" i="34" s="1"/>
  <c r="D10" i="59"/>
  <c r="C9" i="59"/>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C101" i="9" l="1"/>
  <c r="D22" i="9"/>
  <c r="G19" i="9"/>
  <c r="B3" i="34"/>
  <c r="C49" i="34"/>
  <c r="I54" i="34"/>
  <c r="J54" i="34" s="1"/>
  <c r="E54" i="34"/>
  <c r="F54" i="34" s="1"/>
  <c r="C8" i="59"/>
  <c r="T9" i="59"/>
  <c r="D9" i="59"/>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C7" i="59"/>
  <c r="D8" i="59"/>
  <c r="G47" i="40"/>
  <c r="H47" i="40" s="1"/>
  <c r="E42" i="40"/>
  <c r="C6" i="59" l="1"/>
  <c r="D7" i="59"/>
  <c r="I47" i="40"/>
  <c r="J47" i="40" s="1"/>
  <c r="E47" i="40"/>
  <c r="F47" i="40" s="1"/>
  <c r="E46" i="40"/>
  <c r="F46" i="40" s="1"/>
  <c r="C43" i="40"/>
  <c r="C42" i="40"/>
  <c r="D6" i="59" l="1"/>
  <c r="C5" i="59"/>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M68" i="9" l="1"/>
  <c r="N68" i="9" s="1"/>
  <c r="M63" i="9"/>
  <c r="N63" i="9" s="1"/>
  <c r="N69" i="9" s="1"/>
  <c r="O69" i="9" s="1"/>
  <c r="M64" i="9"/>
  <c r="N64" i="9" s="1"/>
  <c r="M66" i="9"/>
  <c r="N66" i="9" s="1"/>
  <c r="D5" i="59"/>
  <c r="T5" i="59"/>
  <c r="M20" i="43"/>
  <c r="M67" i="9"/>
  <c r="N67" i="9" s="1"/>
  <c r="H121" i="9" l="1"/>
  <c r="D121" i="9"/>
  <c r="E121" i="9" s="1"/>
  <c r="E4" i="52" s="1"/>
  <c r="B38" i="60" s="1"/>
  <c r="F121" i="9"/>
  <c r="G121" i="9" s="1"/>
  <c r="G4" i="52" s="1"/>
  <c r="B41" i="60" s="1"/>
  <c r="I121" i="9" l="1"/>
  <c r="D107" i="9" s="1"/>
  <c r="D14" i="62"/>
  <c r="I103" i="9"/>
  <c r="D30" i="50" s="1"/>
  <c r="F122" i="9"/>
  <c r="F5" i="52" s="1"/>
  <c r="B42" i="60" s="1"/>
  <c r="F4" i="52"/>
  <c r="B40" i="60" s="1"/>
  <c r="D4" i="52"/>
  <c r="B37" i="60" s="1"/>
  <c r="D122" i="9"/>
  <c r="D5" i="52" s="1"/>
  <c r="B39" i="60" s="1"/>
  <c r="H122" i="9"/>
  <c r="H5" i="52" s="1"/>
  <c r="I102" i="9"/>
  <c r="C103" i="9"/>
  <c r="H4" i="52"/>
  <c r="D106" i="9"/>
  <c r="D112" i="9" s="1"/>
  <c r="D117" i="9" s="1"/>
  <c r="I115" i="9" s="1"/>
  <c r="D23" i="50" s="1"/>
  <c r="B34" i="60" s="1"/>
  <c r="D9" i="50"/>
  <c r="B21" i="60" s="1"/>
  <c r="E14" i="62" l="1"/>
  <c r="B5" i="62"/>
  <c r="F14" i="62"/>
  <c r="I4" i="52"/>
  <c r="C104" i="9"/>
  <c r="D44" i="50"/>
  <c r="D28" i="50"/>
  <c r="D29" i="50" s="1"/>
  <c r="I110" i="9"/>
  <c r="D45" i="9"/>
  <c r="D7" i="50"/>
  <c r="N48" i="9"/>
  <c r="D113" i="9"/>
  <c r="C5" i="62" l="1"/>
  <c r="D5" i="62"/>
  <c r="I111" i="9"/>
  <c r="D38" i="50"/>
  <c r="B62" i="60" s="1"/>
  <c r="B19" i="60"/>
  <c r="D8" i="50"/>
  <c r="B22" i="60" s="1"/>
  <c r="D36" i="50"/>
  <c r="D37" i="50" s="1"/>
  <c r="D125" i="9"/>
  <c r="D15" i="50"/>
  <c r="C72" i="9"/>
  <c r="C93" i="9"/>
  <c r="C86" i="9" s="1"/>
  <c r="C85" i="9"/>
  <c r="D53" i="9"/>
  <c r="D48" i="9" s="1"/>
  <c r="N52" i="9" s="1"/>
  <c r="O57" i="9" s="1"/>
  <c r="C78" i="9"/>
  <c r="C73" i="9" s="1"/>
  <c r="C64" i="9"/>
  <c r="C63" i="9" s="1"/>
  <c r="C67" i="9" s="1"/>
  <c r="C68" i="9" s="1"/>
  <c r="D54" i="9" s="1"/>
  <c r="D52" i="9"/>
  <c r="D8" i="52" l="1"/>
  <c r="G14" i="62"/>
  <c r="B6" i="62" s="1"/>
  <c r="C95" i="9"/>
  <c r="C79" i="9"/>
  <c r="C80" i="9" s="1"/>
  <c r="E80" i="9" s="1"/>
  <c r="E81" i="9" s="1"/>
  <c r="O58" i="9"/>
  <c r="Q57" i="9"/>
  <c r="O59" i="9"/>
  <c r="D16" i="50"/>
  <c r="B30" i="60" s="1"/>
  <c r="B29" i="60"/>
  <c r="D17" i="50"/>
  <c r="D126" i="9"/>
  <c r="D9" i="52" s="1"/>
  <c r="C81" i="9"/>
  <c r="D6" i="62" l="1"/>
  <c r="C6" i="62"/>
  <c r="C96" i="9"/>
  <c r="E96" i="9" s="1"/>
  <c r="E97" i="9" s="1"/>
  <c r="O61" i="9"/>
  <c r="O60" i="9"/>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<sst xmlns="http://schemas.openxmlformats.org/spreadsheetml/2006/main" count="6969" uniqueCount="3050">
  <si>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</si>
  <si>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</si>
  <si>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</si>
  <si>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</si>
  <si>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</si>
  <si>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</si>
  <si>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</si>
  <si>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</si>
  <si>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</si>
  <si>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</si>
  <si>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</si>
  <si>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</si>
  <si>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</si>
  <si>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</si>
  <si>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</si>
  <si>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</si>
  <si>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</si>
  <si>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</si>
  <si>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</si>
  <si>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</si>
  <si>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</si>
  <si>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</si>
  <si>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</si>
  <si>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</si>
  <si>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</si>
  <si>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</si>
  <si>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</si>
  <si>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</si>
  <si>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</si>
  <si>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</si>
  <si>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</si>
  <si>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</si>
  <si>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</si>
  <si>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</si>
  <si>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</si>
  <si>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</si>
  <si>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</si>
  <si>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</si>
  <si>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</si>
  <si>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</si>
  <si>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</si>
  <si>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</si>
  <si>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</si>
  <si>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</si>
  <si>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</si>
  <si>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</si>
  <si>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</si>
  <si>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</si>
  <si>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</si>
  <si>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</si>
  <si>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</si>
  <si>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</si>
  <si>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</si>
  <si>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</si>
  <si>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</si>
  <si>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</si>
  <si>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</si>
  <si>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</si>
  <si>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</si>
  <si>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</si>
  <si>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</si>
  <si>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</si>
  <si>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</si>
  <si>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</si>
  <si>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</si>
  <si>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</si>
  <si>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</si>
  <si>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</si>
  <si>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</si>
  <si>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</si>
  <si>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</si>
  <si>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</si>
  <si>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</si>
  <si>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</si>
  <si>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</si>
  <si>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</si>
  <si>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</si>
  <si>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</si>
  <si>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</si>
  <si>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</si>
  <si>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</si>
  <si>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</si>
  <si>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</si>
  <si>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</si>
  <si>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</si>
  <si>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</si>
  <si>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</si>
  <si>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</si>
  <si>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</si>
  <si>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</si>
  <si>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</si>
  <si>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</si>
  <si>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</si>
  <si>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</si>
  <si>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</si>
  <si>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</si>
  <si>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</si>
  <si>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</si>
  <si>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</si>
  <si>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</si>
  <si>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</si>
  <si>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</si>
  <si>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</si>
  <si>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</si>
  <si>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</si>
  <si>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</si>
  <si>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</si>
  <si>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</si>
  <si>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</si>
  <si>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</si>
  <si>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</si>
  <si>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</si>
  <si>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</si>
  <si>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</si>
  <si>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</si>
  <si>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</si>
  <si>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</si>
  <si>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</si>
  <si>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</si>
  <si>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</si>
  <si>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</si>
  <si>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</si>
  <si>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</si>
  <si>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</si>
  <si>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</si>
  <si>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</si>
  <si>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</si>
  <si>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</si>
  <si>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</si>
  <si>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</si>
  <si>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</si>
  <si>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</si>
  <si>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</si>
  <si>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</si>
  <si>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</si>
  <si>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</si>
  <si>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</si>
  <si>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</si>
  <si>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</si>
  <si>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</si>
  <si>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</si>
  <si>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</si>
  <si>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</si>
  <si>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</si>
  <si>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</si>
  <si>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</si>
  <si>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</si>
  <si>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</si>
  <si>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</si>
  <si>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</si>
  <si>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</si>
  <si>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</si>
  <si>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</si>
  <si>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</si>
  <si>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</si>
  <si>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</si>
  <si>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</si>
  <si>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</si>
  <si>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</si>
  <si>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</si>
  <si>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</si>
  <si>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</si>
  <si>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</si>
  <si>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</si>
  <si>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</si>
  <si>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</si>
  <si>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</si>
  <si>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</si>
  <si>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</si>
  <si>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</si>
  <si>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</si>
  <si>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</si>
  <si>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</si>
  <si>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</si>
  <si>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</si>
  <si>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</si>
  <si>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</si>
  <si>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</si>
  <si>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</si>
  <si>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</si>
  <si>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</si>
  <si>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</si>
  <si>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</si>
  <si>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</si>
  <si>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</si>
  <si>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</si>
  <si>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</si>
  <si>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</si>
  <si>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</si>
  <si>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</si>
  <si>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</si>
  <si>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</si>
  <si>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</si>
  <si>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</si>
  <si>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</si>
  <si>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</si>
  <si>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</si>
  <si>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</si>
  <si>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</si>
  <si>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</si>
  <si>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</si>
  <si>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</si>
  <si>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</si>
  <si>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</si>
  <si>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</si>
  <si>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</si>
  <si>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</si>
  <si>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</si>
  <si>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</si>
  <si>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</si>
  <si>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</si>
  <si>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</si>
  <si>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</si>
  <si>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</si>
  <si>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</si>
  <si>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</si>
  <si>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</si>
  <si>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</si>
  <si>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</si>
  <si>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</si>
  <si>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</si>
  <si>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</si>
  <si>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</si>
  <si>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</si>
  <si>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</si>
  <si>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</si>
  <si>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</si>
  <si>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</si>
  <si>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</si>
  <si>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</si>
  <si>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</si>
  <si>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</si>
  <si>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</si>
  <si>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</si>
  <si>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</si>
  <si>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</si>
  <si>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</si>
  <si>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</si>
  <si>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</si>
  <si>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</si>
  <si>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</si>
  <si>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</si>
  <si>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</si>
  <si>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</si>
  <si>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</si>
  <si>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</si>
  <si>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</si>
  <si>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</si>
  <si>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</si>
  <si>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</si>
  <si>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</si>
  <si>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</si>
  <si>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</si>
  <si>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</si>
  <si>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</si>
  <si>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</si>
  <si>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</si>
  <si>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</si>
  <si>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</si>
  <si>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</si>
  <si>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</si>
  <si>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</si>
  <si>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</si>
  <si>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</si>
  <si>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</si>
  <si>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</si>
  <si>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</si>
  <si>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</si>
  <si>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</si>
  <si>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</si>
  <si>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</si>
  <si>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</si>
  <si>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</si>
  <si>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</si>
  <si>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</si>
  <si>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</si>
  <si>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</si>
  <si>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</si>
  <si>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</si>
  <si>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</si>
  <si>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</si>
  <si>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</si>
  <si>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</si>
  <si>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</si>
  <si>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</si>
  <si>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</si>
  <si>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</si>
  <si>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</si>
  <si>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</si>
  <si>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</si>
  <si>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</si>
  <si>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</si>
  <si>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</si>
  <si>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</si>
  <si>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</si>
  <si>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</si>
  <si>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</si>
  <si>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</si>
  <si>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</si>
  <si>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</si>
  <si>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</si>
  <si>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</si>
  <si>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</si>
  <si>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</si>
  <si>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</si>
  <si>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</si>
  <si>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</si>
  <si>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</si>
  <si>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</si>
  <si>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</si>
  <si>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</si>
  <si>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</si>
  <si>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</si>
  <si>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</si>
  <si>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</si>
  <si>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</si>
  <si>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</si>
  <si>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</si>
  <si>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</si>
  <si>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</si>
  <si>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</si>
  <si>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</si>
  <si>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</si>
  <si>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</si>
  <si>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</si>
  <si>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</si>
  <si>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</si>
  <si>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</si>
  <si>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</si>
  <si>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</si>
  <si>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</si>
  <si>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</si>
  <si>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</si>
  <si>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</si>
  <si>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</si>
  <si>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</si>
  <si>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</si>
  <si>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</si>
  <si>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</si>
  <si>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</si>
  <si>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</si>
  <si>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</si>
  <si>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</si>
  <si>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</si>
  <si>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</si>
  <si>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</si>
  <si>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</si>
  <si>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</si>
  <si>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</si>
  <si>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</si>
  <si>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</si>
  <si>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</si>
  <si>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</si>
  <si>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</si>
  <si>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</si>
  <si>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</si>
  <si>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</si>
  <si>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</si>
  <si>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</si>
  <si>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</si>
  <si>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</si>
  <si>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</si>
  <si>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</si>
  <si>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</si>
  <si>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</si>
  <si>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</si>
  <si>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</si>
  <si>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</si>
  <si>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</si>
  <si>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</si>
  <si>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</si>
  <si>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</si>
  <si>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</si>
  <si>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</si>
  <si>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</si>
  <si>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</si>
  <si>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</si>
  <si>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</si>
  <si>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</si>
  <si>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</si>
  <si>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</si>
  <si>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</si>
  <si>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</si>
  <si>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</si>
  <si>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</si>
  <si>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</si>
  <si>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</si>
  <si>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</si>
  <si>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</si>
  <si>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</si>
  <si>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</si>
  <si>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</si>
  <si>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</si>
  <si>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</si>
  <si>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</si>
  <si>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</si>
  <si>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</si>
  <si>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</si>
  <si>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</si>
  <si>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</si>
  <si>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</si>
  <si>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</si>
  <si>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</si>
  <si>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</si>
  <si>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</si>
  <si>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</si>
  <si>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</si>
  <si>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</si>
  <si>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</si>
  <si>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</si>
  <si>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</si>
  <si>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</si>
  <si>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</si>
  <si>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</si>
  <si>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</si>
  <si>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</si>
  <si>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</si>
  <si>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</si>
  <si>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</si>
  <si>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</si>
  <si>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</si>
  <si>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</si>
  <si>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</si>
  <si>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</si>
  <si>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</si>
  <si>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</si>
  <si>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</si>
  <si>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</si>
  <si>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</si>
  <si>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</si>
  <si>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</si>
  <si>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</si>
  <si>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</si>
  <si>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</si>
  <si>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</si>
  <si>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</si>
  <si>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</si>
  <si>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</si>
  <si>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</si>
  <si>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</si>
  <si>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</si>
  <si>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</si>
  <si>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</si>
  <si>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</si>
  <si>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</si>
  <si>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</si>
  <si>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</si>
  <si>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</si>
  <si>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</si>
  <si>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</si>
  <si>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</si>
  <si>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</si>
  <si>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</si>
  <si>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</si>
  <si>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</si>
  <si>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</si>
  <si>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</si>
  <si>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</si>
  <si>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</si>
  <si>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</si>
  <si>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</si>
  <si>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</si>
  <si>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</si>
  <si>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</si>
  <si>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</si>
  <si>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</si>
  <si>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</si>
  <si>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</si>
  <si>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</si>
  <si>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</si>
  <si>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</si>
  <si>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</si>
  <si>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</si>
  <si>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</si>
  <si>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</si>
  <si>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</si>
  <si>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</si>
  <si>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</si>
  <si>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</si>
  <si>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</si>
  <si>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</si>
  <si>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</si>
  <si>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</si>
  <si>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</si>
  <si>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</si>
  <si>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</si>
  <si>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</si>
  <si>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</si>
  <si>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</si>
  <si>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</si>
  <si>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</si>
  <si>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</si>
  <si>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</si>
  <si>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</si>
  <si>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</si>
  <si>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</si>
  <si>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</si>
  <si>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</si>
  <si>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</si>
  <si>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</si>
  <si>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</si>
  <si>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</si>
  <si>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</si>
  <si>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</si>
  <si>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</si>
  <si>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</si>
  <si>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</si>
  <si>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</si>
  <si>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</si>
  <si>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</si>
  <si>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</si>
  <si>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</si>
  <si>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</si>
  <si>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</si>
  <si>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</si>
  <si>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</si>
  <si>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</si>
  <si>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</si>
  <si>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</si>
  <si>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</si>
  <si>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</si>
  <si>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</si>
  <si>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</si>
  <si>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</si>
  <si>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</si>
  <si>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</si>
  <si>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</si>
  <si>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</si>
  <si>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</si>
  <si>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</si>
  <si>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</si>
  <si>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</si>
  <si>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</si>
  <si>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</si>
  <si>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</si>
  <si>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</si>
  <si>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</si>
  <si>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</si>
  <si>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</si>
  <si>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</si>
  <si>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</si>
  <si>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</si>
  <si>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</si>
  <si>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</si>
  <si>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</si>
  <si>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</si>
  <si>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</si>
  <si>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</si>
  <si>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</si>
  <si>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</si>
  <si>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</si>
  <si>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</si>
  <si>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</si>
  <si>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</si>
  <si>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</si>
  <si>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</si>
  <si>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</si>
  <si>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</si>
  <si>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</si>
  <si>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</si>
  <si>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</si>
  <si>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</si>
  <si>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</si>
  <si>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</si>
  <si>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</si>
  <si>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</si>
  <si>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</si>
  <si>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</si>
  <si>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</si>
  <si>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</si>
  <si>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</si>
  <si>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</si>
  <si>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</si>
  <si>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</si>
  <si>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</si>
  <si>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</si>
  <si>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</si>
  <si>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</si>
  <si>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</si>
  <si>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</si>
  <si>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</si>
  <si>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</si>
  <si>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</si>
  <si>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</si>
  <si>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</si>
  <si>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</si>
  <si>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</si>
  <si>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</si>
  <si>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</si>
  <si>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</si>
  <si>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</si>
  <si>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</si>
  <si>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</si>
  <si>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</si>
  <si>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</si>
  <si>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</si>
  <si>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</si>
  <si>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</si>
  <si>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</si>
  <si>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</si>
  <si>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</si>
  <si>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</si>
  <si>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</si>
  <si>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</si>
  <si>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</si>
  <si>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</si>
  <si>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</si>
  <si>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</si>
  <si>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</si>
  <si>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</si>
  <si>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</si>
  <si>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</si>
  <si>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</si>
  <si>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</si>
  <si>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</si>
  <si>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</si>
  <si>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</si>
  <si>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</si>
  <si>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</si>
  <si>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</si>
  <si>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</si>
  <si>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</si>
  <si>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</si>
  <si>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</si>
  <si>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</si>
  <si>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</si>
  <si>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</si>
  <si>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</si>
  <si>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</si>
  <si>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</si>
  <si>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</si>
  <si>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</si>
  <si>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</si>
  <si>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</si>
  <si>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</si>
  <si>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</si>
  <si>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</si>
  <si>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</si>
  <si>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</si>
  <si>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</si>
  <si>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</si>
  <si>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</si>
  <si>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</si>
  <si>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</si>
  <si>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</si>
  <si>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</si>
  <si>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</si>
  <si>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</si>
  <si>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</si>
  <si>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</si>
  <si>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</si>
  <si>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</si>
  <si>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</si>
  <si>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</si>
  <si>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</si>
  <si>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</si>
  <si>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</si>
  <si>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</si>
  <si>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</si>
  <si>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</si>
  <si>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</si>
  <si>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</si>
  <si>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</si>
  <si>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</si>
  <si>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</si>
  <si>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</si>
  <si>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</si>
  <si>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</si>
  <si>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</si>
  <si>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</si>
  <si>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</si>
  <si>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</si>
  <si>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</si>
  <si>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</si>
  <si>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</si>
  <si>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</si>
  <si>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</si>
  <si>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</si>
  <si>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</si>
  <si>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</si>
  <si>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</si>
  <si>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</si>
  <si>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</si>
  <si>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</si>
  <si>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</si>
  <si>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</si>
  <si>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</si>
  <si>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</si>
  <si>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</si>
  <si>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</si>
  <si>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</si>
  <si>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</si>
  <si>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</si>
  <si>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</si>
  <si>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</si>
  <si>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</si>
  <si>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</si>
  <si>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</si>
  <si>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</si>
  <si>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</si>
  <si>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</si>
  <si>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</si>
  <si>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</si>
  <si>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</si>
  <si>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</si>
  <si>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</si>
  <si>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</si>
  <si>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</si>
  <si>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</si>
  <si>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</si>
  <si>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</si>
  <si>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</si>
  <si>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</si>
  <si>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</si>
  <si>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</si>
  <si>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</si>
  <si>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</si>
  <si>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</si>
  <si>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</si>
  <si>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</si>
  <si>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</si>
  <si>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</si>
  <si>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</si>
  <si>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</si>
  <si>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</si>
  <si>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</si>
  <si>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</si>
  <si>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</si>
  <si>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</si>
  <si>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</si>
  <si>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</si>
  <si>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</si>
  <si>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</si>
  <si>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</si>
  <si>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</si>
  <si>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</si>
  <si>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</si>
  <si>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</si>
  <si>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</si>
  <si>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</si>
  <si>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</si>
  <si>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</si>
  <si>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</si>
  <si>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</si>
  <si>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</si>
  <si>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</si>
  <si>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</si>
  <si>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</si>
  <si>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</si>
  <si>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</si>
  <si>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</si>
  <si>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</si>
  <si>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</si>
  <si>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</si>
  <si>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</si>
  <si>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</si>
  <si>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</si>
  <si>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</si>
  <si>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</si>
  <si>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</si>
  <si>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</si>
  <si>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</si>
  <si>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</si>
  <si>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</si>
  <si>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</si>
  <si>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</si>
  <si>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</si>
  <si>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</si>
  <si>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</si>
  <si>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</si>
  <si>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</si>
  <si>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</si>
  <si>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</si>
  <si>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</si>
  <si>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</si>
  <si>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</si>
  <si>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</si>
  <si>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</si>
  <si>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</si>
  <si>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</si>
  <si>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</si>
  <si>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</si>
  <si>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</si>
  <si>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</si>
  <si>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</si>
  <si>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</si>
  <si>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</si>
  <si>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</si>
  <si>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</si>
  <si>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</si>
  <si>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</si>
  <si>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</si>
  <si>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</si>
  <si>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</si>
  <si>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</si>
  <si>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</si>
  <si>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</si>
  <si>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</si>
  <si>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</si>
  <si>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</si>
  <si>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</si>
  <si>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</si>
  <si>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</si>
  <si>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</si>
  <si>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</si>
  <si>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</si>
  <si>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</si>
  <si>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</si>
  <si>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</si>
  <si>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</si>
  <si>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</si>
  <si>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</si>
  <si>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</si>
  <si>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</si>
  <si>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</si>
  <si>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</si>
  <si>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</si>
  <si>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</si>
  <si>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</si>
  <si>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</si>
  <si>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</si>
  <si>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</si>
  <si>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</si>
  <si>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</si>
  <si>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</si>
  <si>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</si>
  <si>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</si>
  <si>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</si>
  <si>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</si>
  <si>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</si>
  <si>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</si>
  <si>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</si>
  <si>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</si>
  <si>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</si>
  <si>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</si>
  <si>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</si>
  <si>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</si>
  <si>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</si>
  <si>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</si>
  <si>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</si>
  <si>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</si>
  <si>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</si>
  <si>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</si>
  <si>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</si>
  <si>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</si>
  <si>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</si>
  <si>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</si>
  <si>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</si>
  <si>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</si>
  <si>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</si>
  <si>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</si>
  <si>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</si>
  <si>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</si>
  <si>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</si>
  <si>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</si>
  <si>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</si>
  <si>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</si>
  <si>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</si>
  <si>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</si>
  <si>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</si>
  <si>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</si>
  <si>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</si>
  <si>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</si>
  <si>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</si>
  <si>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</si>
  <si>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</si>
  <si>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</si>
  <si>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</si>
  <si>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</si>
  <si>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</si>
  <si>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</si>
  <si>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</si>
  <si>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</si>
  <si>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</si>
  <si>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</si>
  <si>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</si>
  <si>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</si>
  <si>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</si>
  <si>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</si>
  <si>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</si>
  <si>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</si>
  <si>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</si>
  <si>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</si>
  <si>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</si>
  <si>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</si>
  <si>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</si>
  <si>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</si>
  <si>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</si>
  <si>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</si>
  <si>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</si>
  <si>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</si>
  <si>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</si>
  <si>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</si>
  <si>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</si>
  <si>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</si>
  <si>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</si>
  <si>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</si>
  <si>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</si>
  <si>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</si>
  <si>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</si>
  <si>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</si>
  <si>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</si>
  <si>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</si>
  <si>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</si>
  <si>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</si>
  <si>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</si>
  <si>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</si>
  <si>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</si>
  <si>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</si>
  <si>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</si>
  <si>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</si>
  <si>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</si>
  <si>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</si>
  <si>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</si>
  <si>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</si>
  <si>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</si>
  <si>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</si>
  <si>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</si>
  <si>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</si>
  <si>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</si>
  <si>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</si>
  <si>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</si>
  <si>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</si>
  <si>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</si>
  <si>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</si>
  <si>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</si>
  <si>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</si>
  <si>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</si>
  <si>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</si>
  <si>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</si>
  <si>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</si>
  <si>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</si>
  <si>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</si>
  <si>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</si>
  <si>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</si>
  <si>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</si>
  <si>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</si>
  <si>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</si>
  <si>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</si>
  <si>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</si>
  <si>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</si>
  <si>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</si>
  <si>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</si>
  <si>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</si>
  <si>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</si>
  <si>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</si>
  <si>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</si>
  <si>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</si>
  <si>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</si>
  <si>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</si>
  <si>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</si>
  <si>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</si>
  <si>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</si>
  <si>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</si>
  <si>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</si>
  <si>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</si>
  <si>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</si>
  <si>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</si>
  <si>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</si>
  <si>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</si>
  <si>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</si>
  <si>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</si>
  <si>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</si>
  <si>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</si>
  <si>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</si>
  <si>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</si>
  <si>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</si>
  <si>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</si>
  <si>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</si>
  <si>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</si>
  <si>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</si>
  <si>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</si>
  <si>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</si>
  <si>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</si>
  <si>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</si>
  <si>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</si>
  <si>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</si>
  <si>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</si>
  <si>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</si>
  <si>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</si>
  <si>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</si>
  <si>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</si>
  <si>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</si>
  <si>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</si>
  <si>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</si>
  <si>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</si>
  <si>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</si>
  <si>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</si>
  <si>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</si>
  <si>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</si>
  <si>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</si>
  <si>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</si>
  <si>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</si>
  <si>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</si>
  <si>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</si>
  <si>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</si>
  <si>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</si>
  <si>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</si>
  <si>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</si>
  <si>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</si>
  <si>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</si>
  <si>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</si>
  <si>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</si>
  <si>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</si>
  <si>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</si>
  <si>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</si>
  <si>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</si>
  <si>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</si>
  <si>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</si>
  <si>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</si>
  <si>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</si>
  <si>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</si>
  <si>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</si>
  <si>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</si>
  <si>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</si>
  <si>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</si>
  <si>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</si>
  <si>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</si>
  <si>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</si>
  <si>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</si>
  <si>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</si>
  <si>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</si>
  <si>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</si>
  <si>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</si>
  <si>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</si>
  <si>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</si>
  <si>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</si>
  <si>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</si>
  <si>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</si>
  <si>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</si>
  <si>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</si>
  <si>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</si>
  <si>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</si>
  <si>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</si>
  <si>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</si>
  <si>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</si>
  <si>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</si>
  <si>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</si>
  <si>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</si>
  <si>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</si>
  <si>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</si>
  <si>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</si>
  <si>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</si>
  <si>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</si>
  <si>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</si>
  <si>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</si>
  <si>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</si>
  <si>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</si>
  <si>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</si>
  <si>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</si>
  <si>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</si>
  <si>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</si>
  <si>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</si>
  <si>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</si>
  <si>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</si>
  <si>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</si>
  <si>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</si>
  <si>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</si>
  <si>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</si>
  <si>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</si>
  <si>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</si>
  <si>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</si>
  <si>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</si>
  <si>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</si>
  <si>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</si>
  <si>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</si>
  <si>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</si>
  <si>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</si>
  <si>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</si>
  <si>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</si>
  <si>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</si>
  <si>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</si>
  <si>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</si>
  <si>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</si>
  <si>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</si>
  <si>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</si>
  <si>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</si>
  <si>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</si>
  <si>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</si>
  <si>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</si>
  <si>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</si>
  <si>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</si>
  <si>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</si>
  <si>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</si>
  <si>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</si>
  <si>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</si>
  <si>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</si>
  <si>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</si>
  <si>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</si>
  <si>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</si>
  <si>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</si>
  <si>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</si>
  <si>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</si>
  <si>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</si>
  <si>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</si>
  <si>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</si>
  <si>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</si>
  <si>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</si>
  <si>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</si>
  <si>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</si>
  <si>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</si>
  <si>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</si>
  <si>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</si>
  <si>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</si>
  <si>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</si>
  <si>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</si>
  <si>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</si>
  <si>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</si>
  <si>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</si>
  <si>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</si>
  <si>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</si>
  <si>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</si>
  <si>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</si>
  <si>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</si>
  <si>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</si>
  <si>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</si>
  <si>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</si>
  <si>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</si>
  <si>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</si>
  <si>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</si>
  <si>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</si>
  <si>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</si>
  <si>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</si>
  <si>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</si>
  <si>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</si>
  <si>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</si>
  <si>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</si>
  <si>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</si>
  <si>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</si>
  <si>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</si>
  <si>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</si>
  <si>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</si>
  <si>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</si>
  <si>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</si>
  <si>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</si>
  <si>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</si>
  <si>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</si>
  <si>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</si>
  <si>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</si>
  <si>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</si>
  <si>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</si>
  <si>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</si>
  <si>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</si>
  <si>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</si>
  <si>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</si>
  <si>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</si>
  <si>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</si>
  <si>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</si>
  <si>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</si>
  <si>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</si>
  <si>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</si>
  <si>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</si>
  <si>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</si>
  <si>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</si>
  <si>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</si>
  <si>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</si>
  <si>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</si>
  <si>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</si>
  <si>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</si>
  <si>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</si>
  <si>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</si>
  <si>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</si>
  <si>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</si>
  <si>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</si>
  <si>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</si>
  <si>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</si>
  <si>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</si>
  <si>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</si>
  <si>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</si>
  <si>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</si>
  <si>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</si>
  <si>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</si>
  <si>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</si>
  <si>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</si>
  <si>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</si>
  <si>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</si>
  <si>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</si>
  <si>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</si>
  <si>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</si>
  <si>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</si>
  <si>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</si>
  <si>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</si>
  <si>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</si>
  <si>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</si>
  <si>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</si>
  <si>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</si>
  <si>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</si>
  <si>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</si>
  <si>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</si>
  <si>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</si>
  <si>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</si>
  <si>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</si>
  <si>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</si>
  <si>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</si>
  <si>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</si>
  <si>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</si>
  <si>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</si>
  <si>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</si>
  <si>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</si>
  <si>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</si>
  <si>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</si>
  <si>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</si>
  <si>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</si>
  <si>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</si>
  <si>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</si>
  <si>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</si>
  <si>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</si>
  <si>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</si>
  <si>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</si>
  <si>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</si>
  <si>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</si>
  <si>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</si>
  <si>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</si>
  <si>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</si>
  <si>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</si>
  <si>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</si>
  <si>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</si>
  <si>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</si>
  <si>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</si>
  <si>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</si>
  <si>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</si>
  <si>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</si>
  <si>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</si>
  <si>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</si>
  <si>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</si>
  <si>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</si>
  <si>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</si>
  <si>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</si>
  <si>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</si>
  <si>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</si>
  <si>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</si>
  <si>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</si>
  <si>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</si>
  <si>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</si>
  <si>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</si>
  <si>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</si>
  <si>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</si>
  <si>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</si>
  <si>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</si>
  <si>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</si>
  <si>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</si>
  <si>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</si>
  <si>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</si>
  <si>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</si>
  <si>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</si>
  <si>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</si>
  <si>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</si>
  <si>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</si>
  <si>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</si>
  <si>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</si>
  <si>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</si>
  <si>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</si>
  <si>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</si>
  <si>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</si>
  <si>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</si>
  <si>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</si>
  <si>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</si>
  <si>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</si>
  <si>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</si>
  <si>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</si>
  <si>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</si>
  <si>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</si>
  <si>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</si>
  <si>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</si>
  <si>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</si>
  <si>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</si>
  <si>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</si>
  <si>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</si>
  <si>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</si>
  <si>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</si>
  <si>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</si>
  <si>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</si>
  <si>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</si>
  <si>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</si>
  <si>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</si>
  <si>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</si>
  <si>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</si>
  <si>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</si>
  <si>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</si>
  <si>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</si>
  <si>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</si>
  <si>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</si>
  <si>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</si>
  <si>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</si>
  <si>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</si>
  <si>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</si>
  <si>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</si>
  <si>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</si>
  <si>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</si>
  <si>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</si>
  <si>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</si>
  <si>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</si>
  <si>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</si>
  <si>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</si>
  <si>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</si>
  <si>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</si>
  <si>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</si>
  <si>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</si>
  <si>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</si>
  <si>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</si>
  <si>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</si>
  <si>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</si>
  <si>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</si>
  <si>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</si>
  <si>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</si>
  <si>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</si>
  <si>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</si>
  <si>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</si>
  <si>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</si>
  <si>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</si>
  <si>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</si>
  <si>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</si>
  <si>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</si>
  <si>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</si>
  <si>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</si>
  <si>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</si>
  <si>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</si>
  <si>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</si>
  <si>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</si>
  <si>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</si>
  <si>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</si>
  <si>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</si>
  <si>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</si>
  <si>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</si>
  <si>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</si>
  <si>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</si>
  <si>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</si>
  <si>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</si>
  <si>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</si>
  <si>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</si>
  <si>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</si>
  <si>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</si>
  <si>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</si>
  <si>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</si>
  <si>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</si>
  <si>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</si>
  <si>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</si>
  <si>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</si>
  <si>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</si>
  <si>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</si>
  <si>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</si>
  <si>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</si>
  <si>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</si>
  <si>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</si>
  <si>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</si>
  <si>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</si>
  <si>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</si>
  <si>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</si>
  <si>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</si>
  <si>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</si>
  <si>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</si>
  <si>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</si>
  <si>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</si>
  <si>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</si>
  <si>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</si>
  <si>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</si>
  <si>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</si>
  <si>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</si>
  <si>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</si>
  <si>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</si>
  <si>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</si>
  <si>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</si>
  <si>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</si>
  <si>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</si>
  <si>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</si>
  <si>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</si>
  <si>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</si>
  <si>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</si>
  <si>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</si>
  <si>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</si>
  <si>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</si>
  <si>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</si>
  <si>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</si>
  <si>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</si>
  <si>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</si>
  <si>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</si>
  <si>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</si>
  <si>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</si>
  <si>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</si>
  <si>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</si>
  <si>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</si>
  <si>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</si>
  <si>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</si>
  <si>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</si>
  <si>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</si>
  <si>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</si>
  <si>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</si>
  <si>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</si>
  <si>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</si>
  <si>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</si>
  <si>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</si>
  <si>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</si>
  <si>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</si>
  <si>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</si>
  <si>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</si>
  <si>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</si>
  <si>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</si>
  <si>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</si>
  <si>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</si>
  <si>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</si>
  <si>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</si>
  <si>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</si>
  <si>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</si>
  <si>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</si>
  <si>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</si>
  <si>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</si>
  <si>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</si>
  <si>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</si>
  <si>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</si>
  <si>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</si>
  <si>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</si>
  <si>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</si>
  <si>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</si>
  <si>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</si>
  <si>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</si>
  <si>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</si>
  <si>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</si>
  <si>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</si>
  <si>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</si>
  <si>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</si>
  <si>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</si>
  <si>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</si>
  <si>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</si>
  <si>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</si>
  <si>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</si>
  <si>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</si>
  <si>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</si>
  <si>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</si>
  <si>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</si>
  <si>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</si>
  <si>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</si>
  <si>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</si>
  <si>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</si>
  <si>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</si>
  <si>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</si>
  <si>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</si>
  <si>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</si>
  <si>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</si>
  <si>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</si>
  <si>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</si>
  <si>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</si>
  <si>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</si>
  <si>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</si>
  <si>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</si>
  <si>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</si>
  <si>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</si>
  <si>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</si>
  <si>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</si>
  <si>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</si>
  <si>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</si>
  <si>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</si>
  <si>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</si>
  <si>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</si>
  <si>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</si>
  <si>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</si>
  <si>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</si>
  <si>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</si>
  <si>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</si>
  <si>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</si>
  <si>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</si>
  <si>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</si>
  <si>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</si>
  <si>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</si>
  <si>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</si>
  <si>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</si>
  <si>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</si>
  <si>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</si>
  <si>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</si>
  <si>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</si>
  <si>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</si>
  <si>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</si>
  <si>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</si>
  <si>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</si>
  <si>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</si>
  <si>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</si>
  <si>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</si>
  <si>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</si>
  <si>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</si>
  <si>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</si>
  <si>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</si>
  <si>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</si>
  <si>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</si>
  <si>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</si>
  <si>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</si>
  <si>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</si>
  <si>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</si>
  <si>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</si>
  <si>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</si>
  <si>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</si>
  <si>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</si>
  <si>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</si>
  <si>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</si>
  <si>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</si>
  <si>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</si>
  <si>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</si>
  <si>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</si>
  <si>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</si>
  <si>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</si>
  <si>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</si>
  <si>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</si>
  <si>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</si>
  <si>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</si>
  <si>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</si>
  <si>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</si>
  <si>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</si>
  <si>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</si>
  <si>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</si>
  <si>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</si>
  <si>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</si>
  <si>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</si>
  <si>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</si>
  <si>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</si>
  <si>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</si>
  <si>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</si>
  <si>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</si>
  <si>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</si>
  <si>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</si>
  <si>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</si>
  <si>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</si>
  <si>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</si>
  <si>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</si>
  <si>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</si>
  <si>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</si>
  <si>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</si>
  <si>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</si>
  <si>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</si>
  <si>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</si>
  <si>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</si>
  <si>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</si>
  <si>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</si>
  <si>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</si>
  <si>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</si>
  <si>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</si>
  <si>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</si>
  <si>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</si>
  <si>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</si>
  <si>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</si>
  <si>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</si>
  <si>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</si>
  <si>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</si>
  <si>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</si>
  <si>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</si>
  <si>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</si>
  <si>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</si>
  <si>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</si>
  <si>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</si>
  <si>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</si>
  <si>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</si>
  <si>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</si>
  <si>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</si>
  <si>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</si>
  <si>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</si>
  <si>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</si>
  <si>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</si>
  <si>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</si>
  <si>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</si>
  <si>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</si>
  <si>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</si>
  <si>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</si>
  <si>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</si>
  <si>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</si>
  <si>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</si>
  <si>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</si>
  <si>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</si>
  <si>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</si>
  <si>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</si>
  <si>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</si>
  <si>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</si>
  <si>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</si>
  <si>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</si>
  <si>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</si>
  <si>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</si>
  <si>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</si>
  <si>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</si>
  <si>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</si>
  <si>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</si>
  <si>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</si>
  <si>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</si>
  <si>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</si>
  <si>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</si>
  <si>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</si>
  <si>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</si>
  <si>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</si>
  <si>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</si>
  <si>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</si>
  <si>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</si>
  <si>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</si>
  <si>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</si>
  <si>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</si>
  <si>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</si>
  <si>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</si>
  <si>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</si>
  <si>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</si>
  <si>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</si>
  <si>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</si>
  <si>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</si>
  <si>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</si>
  <si>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</si>
  <si>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</si>
  <si>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</si>
  <si>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</si>
  <si>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</si>
  <si>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</si>
  <si>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</si>
  <si>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</si>
  <si>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</si>
  <si>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</si>
  <si>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</si>
  <si>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</si>
  <si>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</si>
  <si>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</si>
  <si>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</si>
  <si>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</si>
  <si>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</si>
  <si>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</si>
  <si>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</si>
  <si>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</si>
  <si>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</si>
  <si>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</si>
  <si>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</si>
  <si>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</si>
  <si>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</si>
  <si>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</si>
  <si>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</si>
  <si>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</si>
  <si>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</si>
  <si>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</si>
  <si>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</si>
  <si>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</si>
  <si>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</si>
  <si>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</si>
  <si>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</si>
  <si>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</si>
  <si>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</si>
  <si>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</si>
  <si>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</si>
  <si>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</si>
  <si>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</si>
  <si>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</si>
  <si>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</si>
  <si>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</si>
  <si>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</si>
  <si>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</si>
  <si>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</si>
  <si>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</si>
  <si>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</si>
  <si>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</si>
  <si>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</si>
  <si>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</si>
  <si>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</si>
  <si>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</si>
  <si>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</si>
  <si>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</si>
  <si>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</si>
  <si>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</si>
  <si>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</si>
  <si>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</si>
  <si>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</si>
  <si>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</si>
  <si>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</si>
  <si>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</si>
  <si>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</si>
  <si>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</si>
  <si>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</si>
  <si>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</si>
  <si>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</si>
  <si>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</si>
  <si>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</si>
  <si>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</si>
  <si>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</si>
  <si>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</si>
  <si>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</si>
  <si>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</si>
  <si>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</si>
  <si>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</si>
  <si>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</si>
  <si>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</si>
  <si>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</si>
  <si>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</si>
  <si>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</si>
  <si>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</si>
  <si>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</si>
  <si>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</si>
  <si>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</si>
  <si>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</si>
  <si>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</si>
  <si>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</si>
  <si>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</si>
  <si>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</si>
  <si>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</si>
  <si>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</si>
  <si>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</si>
  <si>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</si>
  <si>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</si>
  <si>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</si>
  <si>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</si>
  <si>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</si>
  <si>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</si>
  <si>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</si>
  <si>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</si>
  <si>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</si>
  <si>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</si>
  <si>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</si>
  <si>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</si>
  <si>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</si>
  <si>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</si>
  <si>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</si>
  <si>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</si>
  <si>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</si>
  <si>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</si>
  <si>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</si>
  <si>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</si>
  <si>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</si>
  <si>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</si>
  <si>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</si>
  <si>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</si>
  <si>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</si>
  <si>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</si>
  <si>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</si>
  <si>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</si>
  <si>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</si>
  <si>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</si>
  <si>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</si>
  <si>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</si>
  <si>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</si>
  <si>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</si>
  <si>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</si>
  <si>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</si>
  <si>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</si>
  <si>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</si>
  <si>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</si>
  <si>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</si>
  <si>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</si>
  <si>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</si>
  <si>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</si>
  <si>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</si>
  <si>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</si>
  <si>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</si>
  <si>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</si>
  <si>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</si>
  <si>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</si>
  <si>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</si>
  <si>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</si>
  <si>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</si>
  <si>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</si>
  <si>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</si>
  <si>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</si>
  <si>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</si>
  <si>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</si>
  <si>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</si>
  <si>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</si>
  <si>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</si>
  <si>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</si>
  <si>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</si>
  <si>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</si>
  <si>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</si>
  <si>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</si>
  <si>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</si>
  <si>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</si>
  <si>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</si>
  <si>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</si>
  <si>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</si>
  <si>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</si>
  <si>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</si>
  <si>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</si>
  <si>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</si>
  <si>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</si>
  <si>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</si>
  <si>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</si>
  <si>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</si>
  <si>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</si>
  <si>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</si>
  <si>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</si>
  <si>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</si>
  <si>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</si>
  <si>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</si>
  <si>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</si>
  <si>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</si>
  <si>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</si>
  <si>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</si>
  <si>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</si>
  <si>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</si>
  <si>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</si>
  <si>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</si>
  <si>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</si>
  <si>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</si>
  <si>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</si>
  <si>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</si>
  <si>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</si>
  <si>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</si>
  <si>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</si>
  <si>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</si>
  <si>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</si>
  <si>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</si>
  <si>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</si>
  <si>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</si>
  <si>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</si>
  <si>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</si>
  <si>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</si>
  <si>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</si>
  <si>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</si>
  <si>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</si>
  <si>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</si>
  <si>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</si>
  <si>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</si>
  <si>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</si>
  <si>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</si>
  <si>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</si>
  <si>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</si>
  <si>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</si>
  <si>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</si>
  <si>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</si>
  <si>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</si>
  <si>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</si>
  <si>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</si>
  <si>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</si>
  <si>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</si>
  <si>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</si>
  <si>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</si>
  <si>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</si>
  <si>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</si>
  <si>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</si>
  <si>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</si>
  <si>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</si>
  <si>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</si>
  <si>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</si>
  <si>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</si>
  <si>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</si>
  <si>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</si>
  <si>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</si>
  <si>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</si>
  <si>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</si>
  <si>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</si>
  <si>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</si>
  <si>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</si>
  <si>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</si>
  <si>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</si>
  <si>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</si>
  <si>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</si>
  <si>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</si>
  <si>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</si>
  <si>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</si>
  <si>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</si>
  <si>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</si>
  <si>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</si>
  <si>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</si>
  <si>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</si>
  <si>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</si>
  <si>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</si>
  <si>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</si>
  <si>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</si>
  <si>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</si>
  <si>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</si>
  <si>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</si>
  <si>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</si>
  <si>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</si>
  <si>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</si>
  <si>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</si>
  <si>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</si>
  <si>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</si>
  <si>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</si>
  <si>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</si>
  <si>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</si>
  <si>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</si>
  <si>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</si>
  <si>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</si>
  <si>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</si>
  <si>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</si>
  <si>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</si>
  <si>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</si>
  <si>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</si>
  <si>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</si>
  <si>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</si>
  <si>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</si>
  <si>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</si>
  <si>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</si>
  <si>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</si>
  <si>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</si>
  <si>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</si>
  <si>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</si>
  <si>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</si>
  <si>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</si>
  <si>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</si>
  <si>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</si>
  <si>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</si>
  <si>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</si>
  <si>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</si>
  <si>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</si>
  <si>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</si>
  <si>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</si>
  <si>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</si>
  <si>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</si>
  <si>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</si>
  <si>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</si>
  <si>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</si>
  <si>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</si>
  <si>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</si>
  <si>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</si>
  <si>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</si>
  <si>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</si>
  <si>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</si>
  <si>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</si>
  <si>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</si>
  <si>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</si>
  <si>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</si>
  <si>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</si>
  <si>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</si>
  <si>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</si>
  <si>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</si>
  <si>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</si>
  <si>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</si>
  <si>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</si>
  <si>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</si>
  <si>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</si>
  <si>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</si>
  <si>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</si>
  <si>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</si>
  <si>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</si>
  <si>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</si>
  <si>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</si>
  <si>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</si>
  <si>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</si>
  <si>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</si>
  <si>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</si>
  <si>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</si>
  <si>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</si>
  <si>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</si>
  <si>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</si>
  <si>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</si>
  <si>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</si>
  <si>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</si>
  <si>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</si>
  <si>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</si>
  <si>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</si>
  <si>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</si>
  <si>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</si>
  <si>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</si>
  <si>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</si>
  <si>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</si>
  <si>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</si>
  <si>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</si>
  <si>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</si>
  <si>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</si>
  <si>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</si>
  <si>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</si>
  <si>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</si>
  <si>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</si>
  <si>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</si>
  <si>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</si>
  <si>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</si>
  <si>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</si>
  <si>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</si>
  <si>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</si>
  <si>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</si>
  <si>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</si>
  <si>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</si>
  <si>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</si>
  <si>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</si>
  <si>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</si>
  <si>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</si>
  <si>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</si>
  <si>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</si>
  <si>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</si>
  <si>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</si>
  <si>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</si>
  <si>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</si>
  <si>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</si>
  <si>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</si>
  <si>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</si>
  <si>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</si>
  <si>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</si>
  <si>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</si>
  <si>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</si>
  <si>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</si>
  <si>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</si>
  <si>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</si>
  <si>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</si>
  <si>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</si>
  <si>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</si>
  <si>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</si>
  <si>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</si>
  <si>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</si>
  <si>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</si>
  <si>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</si>
  <si>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</si>
  <si>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</si>
  <si>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</si>
  <si>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</si>
  <si>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</si>
  <si>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</si>
  <si>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</si>
  <si>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</si>
  <si>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</si>
  <si>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</si>
  <si>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</si>
  <si>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</si>
  <si>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</si>
  <si>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</si>
  <si>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</si>
  <si>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</si>
  <si>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</si>
  <si>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</si>
  <si>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</si>
  <si>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</si>
  <si>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</si>
  <si>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</si>
  <si>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</si>
  <si>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</si>
  <si>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</si>
  <si>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</si>
  <si>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</si>
  <si>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</si>
  <si>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</si>
  <si>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</si>
  <si>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</si>
  <si>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</si>
  <si>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</si>
  <si>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</si>
  <si>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</si>
  <si>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</si>
  <si>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</si>
  <si>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</si>
  <si>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</si>
  <si>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</si>
  <si>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</si>
  <si>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</si>
  <si>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</si>
  <si>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</si>
  <si>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</si>
  <si>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</si>
  <si>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</si>
  <si>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</si>
  <si>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</si>
  <si>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</si>
  <si>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</si>
  <si>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</si>
  <si>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</si>
  <si>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</si>
  <si>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</si>
  <si>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</si>
  <si>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</si>
  <si>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</si>
  <si>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</si>
  <si>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</si>
  <si>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</si>
  <si>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</si>
  <si>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</si>
  <si>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</si>
  <si>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</si>
  <si>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</si>
  <si>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</si>
  <si>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</si>
  <si>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</si>
  <si>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</si>
  <si>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</si>
  <si>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</si>
  <si>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</si>
  <si>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</si>
  <si>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</si>
  <si>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</si>
  <si>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</si>
  <si>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</si>
  <si>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</si>
  <si>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</si>
  <si>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</si>
  <si>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</si>
  <si>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</si>
  <si>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</si>
  <si>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</si>
  <si>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</si>
  <si>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</si>
  <si>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</si>
  <si>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</si>
  <si>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</si>
  <si>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</si>
  <si>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</si>
  <si>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</si>
  <si>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</si>
  <si>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</si>
  <si>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</si>
  <si>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</si>
  <si>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</si>
  <si>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</si>
  <si>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</si>
  <si>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</si>
  <si>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</si>
  <si>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</si>
  <si>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</si>
  <si>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</si>
  <si>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</si>
  <si>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</si>
  <si>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</si>
  <si>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</si>
  <si>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</si>
  <si>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</si>
  <si>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</si>
  <si>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</si>
  <si>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</si>
  <si>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</si>
  <si>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</si>
  <si>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</si>
  <si>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</si>
  <si>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</si>
  <si>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</si>
  <si>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</si>
  <si>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</si>
  <si>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</si>
  <si>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</si>
  <si>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</si>
  <si>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</si>
  <si>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</si>
  <si>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</si>
  <si>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</si>
  <si>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</si>
  <si>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</si>
  <si>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</si>
  <si>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</si>
  <si>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</si>
  <si>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</si>
  <si>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</si>
  <si>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</si>
  <si>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</si>
  <si>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</si>
  <si>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</si>
  <si>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</si>
  <si>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</si>
  <si>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</si>
  <si>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</si>
  <si>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</si>
  <si>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</si>
  <si>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</si>
  <si>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</si>
  <si>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</si>
  <si>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</si>
  <si>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</si>
  <si>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</si>
  <si>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</si>
  <si>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</si>
  <si>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</si>
  <si>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</si>
  <si>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</si>
  <si>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</si>
  <si>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</si>
  <si>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</si>
  <si>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</si>
  <si>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</si>
  <si>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</si>
  <si>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</si>
  <si>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</si>
  <si>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</si>
  <si>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</si>
  <si>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</si>
  <si>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</si>
  <si>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</si>
  <si>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</si>
  <si>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</si>
  <si>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</si>
  <si>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</si>
  <si>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</si>
  <si>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</si>
  <si>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</si>
  <si>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</si>
  <si>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</si>
  <si>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</si>
  <si>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</si>
  <si>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</si>
  <si>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</si>
  <si>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</si>
  <si>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</si>
  <si>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</si>
  <si>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</si>
  <si>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</si>
  <si>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</si>
  <si>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</si>
  <si>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</si>
  <si>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</si>
  <si>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</si>
  <si>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</si>
  <si>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</si>
  <si>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</si>
  <si>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</si>
  <si>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</si>
  <si>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</si>
  <si>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</si>
  <si>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</si>
  <si>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</si>
  <si>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</si>
  <si>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</si>
  <si>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</si>
  <si>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</si>
  <si>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</si>
  <si>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</si>
  <si>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</si>
  <si>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</si>
  <si>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</si>
  <si>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</si>
  <si>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</si>
  <si>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</si>
  <si>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</si>
  <si>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</si>
  <si>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</si>
  <si>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</si>
  <si>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</si>
  <si>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</si>
  <si>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</si>
  <si>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</si>
  <si>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</si>
  <si>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</si>
  <si>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</si>
  <si>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</si>
  <si>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</si>
  <si>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</si>
  <si>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</si>
  <si>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</si>
  <si>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</si>
  <si>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</si>
  <si>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</si>
  <si>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</si>
  <si>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</si>
  <si>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</si>
  <si>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</si>
  <si>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</si>
  <si>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</si>
  <si>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</si>
  <si>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</si>
  <si>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</si>
  <si>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</si>
  <si>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</si>
  <si>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</si>
  <si>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</si>
  <si>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</si>
  <si>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</si>
  <si>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</si>
  <si>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</si>
  <si>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</si>
  <si>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</si>
  <si>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</si>
  <si>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</si>
  <si>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</si>
  <si>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</si>
  <si>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</si>
  <si>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</si>
  <si>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</si>
  <si>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</si>
  <si>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</si>
  <si>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</si>
  <si>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</si>
  <si>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</si>
  <si>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</si>
  <si>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</si>
  <si>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</si>
  <si>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</si>
  <si>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</si>
  <si>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</si>
  <si>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</si>
  <si>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</si>
  <si>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</si>
  <si>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</si>
  <si>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</si>
  <si>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</si>
  <si>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</si>
  <si>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</si>
  <si>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</si>
  <si>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</si>
  <si>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</si>
  <si>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</si>
  <si>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</si>
  <si>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</si>
  <si>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</si>
  <si>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</si>
  <si>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</si>
  <si>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</si>
  <si>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</si>
  <si>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</si>
  <si>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</si>
  <si>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</si>
  <si>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</si>
  <si>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</si>
  <si>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</si>
  <si>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</si>
  <si>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</si>
  <si>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</si>
  <si>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</si>
  <si>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</si>
  <si>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</si>
  <si>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</si>
  <si>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</si>
  <si>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</si>
  <si>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</si>
  <si>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</si>
  <si>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</si>
  <si>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</si>
  <si>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</si>
  <si>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</si>
  <si>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</si>
  <si>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</si>
  <si>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</si>
  <si>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</si>
  <si>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</si>
  <si>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</si>
  <si>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</si>
  <si>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</si>
  <si>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</si>
  <si>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</si>
  <si>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</si>
  <si>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</si>
  <si>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</si>
  <si>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</si>
  <si>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</si>
  <si>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</si>
  <si>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</si>
  <si>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</si>
  <si>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</si>
  <si>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</si>
  <si>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</si>
  <si>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</si>
  <si>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</si>
  <si>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</si>
  <si>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</si>
  <si>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</si>
  <si>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</si>
  <si>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</si>
  <si>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</si>
  <si>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</si>
  <si>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</si>
  <si>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</si>
  <si>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</si>
  <si>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</si>
  <si>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</si>
  <si>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</si>
  <si>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</si>
  <si>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</si>
  <si>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</si>
  <si>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</si>
  <si>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</si>
  <si>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</si>
  <si>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</si>
  <si>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</si>
  <si>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</si>
  <si>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</si>
  <si>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</si>
  <si>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</si>
  <si>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</si>
  <si>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</si>
  <si>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</si>
  <si>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</si>
  <si>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</si>
  <si>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</si>
  <si>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</si>
  <si>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</si>
  <si>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</si>
  <si>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</si>
  <si>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</si>
  <si>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</si>
  <si>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</si>
  <si>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</si>
  <si>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</si>
  <si>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</si>
  <si>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</si>
  <si>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</si>
  <si>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</si>
  <si>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</si>
  <si>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</si>
  <si>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</si>
  <si>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</si>
  <si>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</si>
  <si>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</si>
  <si>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</si>
  <si>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</si>
  <si>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</si>
  <si>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</si>
  <si>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</si>
  <si>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</si>
  <si>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</si>
  <si>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</si>
  <si>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</si>
  <si>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</si>
  <si>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</si>
  <si>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</si>
  <si>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</si>
  <si>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</si>
  <si>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</si>
  <si>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</si>
  <si>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</si>
  <si>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</si>
  <si>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</si>
  <si>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</si>
  <si>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</si>
  <si>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</si>
  <si>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</si>
  <si>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</si>
  <si>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</si>
  <si>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</si>
  <si>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</si>
  <si>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</si>
  <si>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</si>
  <si>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</si>
  <si>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</si>
  <si>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</si>
  <si>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</si>
  <si>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</si>
  <si>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</si>
  <si>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</si>
  <si>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</si>
  <si>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</si>
  <si>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</si>
  <si>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</si>
  <si>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</si>
  <si>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</si>
  <si>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</si>
  <si>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</si>
  <si>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</si>
  <si>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</si>
  <si>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</si>
  <si>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</si>
  <si>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</si>
  <si>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</si>
  <si>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</si>
  <si>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</si>
  <si>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</si>
  <si>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</si>
  <si>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</si>
  <si>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</si>
  <si>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</si>
  <si>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</si>
  <si>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</si>
  <si>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</si>
  <si>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</si>
  <si>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</si>
  <si>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</si>
  <si>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</si>
  <si>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</si>
  <si>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</si>
  <si>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</si>
  <si>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</si>
  <si>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</si>
  <si>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</si>
  <si>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</si>
  <si>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</si>
  <si>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</si>
  <si>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</si>
  <si>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</si>
  <si>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</si>
  <si>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</si>
  <si>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</si>
  <si>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</si>
  <si>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</si>
  <si>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</si>
  <si>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</si>
  <si>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</si>
  <si>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</si>
  <si>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</si>
  <si>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</si>
  <si>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</si>
  <si>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</si>
  <si>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</si>
  <si>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</si>
  <si>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</si>
  <si>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</si>
  <si>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</si>
  <si>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</si>
  <si>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</si>
  <si>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</si>
  <si>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</si>
  <si>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</si>
  <si>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</si>
  <si>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</si>
  <si>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</si>
  <si>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</si>
  <si>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</si>
  <si>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</si>
  <si>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</si>
  <si>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</si>
  <si>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</si>
  <si>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</si>
  <si>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</si>
  <si>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</si>
  <si>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</si>
  <si>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</si>
  <si>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</si>
  <si>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</si>
  <si>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</si>
  <si>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</si>
  <si>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</si>
  <si>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</si>
  <si>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</si>
  <si>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</si>
  <si>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</si>
  <si>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</si>
  <si>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</si>
  <si>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</si>
  <si>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</si>
  <si>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</si>
  <si>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</si>
  <si>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</si>
  <si>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</si>
  <si>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</si>
  <si>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</si>
  <si>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</si>
  <si>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</si>
  <si>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</si>
  <si>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</si>
  <si>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</si>
  <si>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</si>
  <si>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</si>
  <si>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</si>
  <si>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</si>
  <si>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</si>
  <si>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</si>
  <si>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</si>
  <si>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</si>
  <si>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</si>
  <si>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</si>
  <si>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</si>
  <si>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</si>
  <si>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</si>
  <si>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</si>
  <si>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</si>
  <si>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</si>
  <si>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</si>
  <si>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</si>
  <si>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</si>
  <si>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</si>
  <si>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</si>
  <si>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</si>
  <si>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</si>
  <si>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</si>
  <si>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</si>
  <si>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</si>
  <si>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</si>
  <si>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</si>
  <si>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</si>
  <si>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</si>
  <si>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</si>
  <si>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</si>
  <si>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</si>
  <si>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</si>
  <si>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</si>
  <si>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</si>
  <si>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</si>
  <si>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</si>
  <si>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</si>
  <si>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</si>
  <si>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</si>
  <si>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</si>
  <si>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</si>
  <si>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</si>
  <si>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</si>
  <si>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</si>
  <si>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</si>
  <si>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</si>
  <si>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</si>
  <si>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</si>
  <si>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</si>
  <si>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</si>
  <si>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</si>
  <si>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</si>
  <si>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</si>
  <si>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</si>
  <si>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</si>
  <si>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</si>
  <si>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</si>
  <si>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</si>
  <si>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</si>
  <si>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</si>
  <si>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</si>
  <si>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</si>
  <si>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</si>
  <si>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</si>
  <si>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</si>
  <si>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</si>
  <si>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</si>
  <si>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</si>
  <si>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</si>
  <si>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</si>
  <si>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</si>
  <si>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</si>
  <si>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</si>
  <si>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</si>
  <si>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</si>
  <si>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</si>
  <si>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</si>
  <si>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</si>
  <si>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</si>
  <si>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</si>
  <si>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</si>
  <si>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</si>
  <si>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</si>
  <si>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</si>
  <si>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</si>
  <si>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</si>
  <si>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</si>
  <si>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</si>
  <si>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</si>
  <si>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</si>
  <si>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</si>
  <si>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</si>
  <si>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</si>
  <si>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</si>
  <si>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</si>
  <si>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</si>
  <si>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</si>
  <si>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</si>
  <si>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</si>
  <si>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</si>
  <si>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</si>
  <si>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</si>
  <si>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</si>
  <si>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</si>
  <si>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</si>
  <si>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</si>
  <si>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</si>
  <si>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</si>
  <si>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</si>
  <si>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</si>
  <si>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</si>
  <si>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</si>
  <si>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</si>
  <si>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</si>
  <si>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</si>
  <si>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</si>
  <si>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</si>
  <si>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</si>
  <si>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</si>
  <si>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</si>
  <si>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</si>
  <si>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</si>
  <si>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</si>
  <si>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</si>
  <si>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</si>
  <si>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</si>
  <si>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</si>
  <si>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</si>
  <si>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</si>
  <si>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</si>
  <si>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</si>
  <si>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</si>
  <si>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</si>
  <si>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</si>
  <si>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</si>
  <si>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</si>
  <si>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</si>
  <si>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</si>
  <si>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</si>
  <si>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</si>
  <si>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</si>
  <si>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</si>
  <si>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</si>
  <si>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</si>
  <si>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</si>
  <si>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</si>
  <si>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</si>
  <si>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</si>
  <si>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</si>
  <si>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</si>
  <si>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</si>
  <si>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</si>
  <si>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</si>
  <si>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</si>
  <si>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</si>
  <si>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</si>
  <si>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</si>
  <si>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</si>
  <si>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</si>
  <si>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</si>
  <si>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</si>
  <si>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</si>
  <si>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</si>
  <si>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</si>
  <si>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</si>
  <si>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</si>
  <si>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</si>
  <si>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</si>
  <si>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</si>
  <si>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</si>
  <si>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</si>
  <si>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</si>
  <si>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</si>
  <si>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</si>
  <si>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</si>
  <si>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</si>
  <si>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</si>
  <si>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</si>
  <si>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</si>
  <si>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</si>
  <si>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</si>
  <si>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</si>
  <si>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</si>
  <si>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</si>
  <si>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</si>
  <si>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</si>
  <si>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</si>
  <si>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</si>
  <si>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</si>
  <si>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</si>
  <si>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</si>
  <si>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</si>
  <si>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</si>
  <si>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</si>
  <si>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</si>
  <si>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</si>
  <si>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</si>
  <si>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</si>
  <si>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</si>
  <si>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</si>
  <si>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</si>
  <si>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</si>
  <si>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</si>
  <si>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</si>
  <si>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</si>
  <si>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</si>
  <si>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</si>
  <si>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</si>
  <si>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</si>
  <si>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</si>
  <si>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</si>
  <si>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</si>
  <si>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</si>
  <si>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</si>
  <si>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</si>
  <si>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</si>
  <si>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</si>
  <si>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</si>
  <si>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</si>
  <si>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</si>
  <si>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</si>
  <si>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</si>
  <si>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</si>
  <si>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</si>
  <si>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</si>
  <si>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</si>
  <si>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</si>
  <si>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</si>
  <si>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</si>
  <si>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</si>
  <si>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</si>
  <si>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</si>
  <si>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</si>
  <si>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</si>
  <si>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</si>
  <si>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</si>
  <si>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</si>
  <si>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</si>
  <si>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</si>
  <si>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</si>
  <si>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</si>
  <si>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</si>
  <si>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</si>
  <si>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</si>
  <si>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</si>
  <si>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</si>
  <si>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</si>
  <si>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</si>
  <si>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</si>
  <si>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</si>
  <si>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</si>
  <si>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</si>
  <si>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</si>
  <si>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</si>
  <si>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</si>
  <si>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</si>
  <si>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</si>
  <si>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</si>
  <si>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</si>
  <si>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</si>
  <si>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</si>
  <si>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</si>
  <si>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</si>
  <si>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</si>
  <si>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</si>
  <si>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</si>
  <si>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</si>
  <si>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</si>
  <si>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</si>
  <si>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</si>
  <si>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</si>
  <si>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</si>
  <si>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</si>
  <si>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</si>
  <si>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</si>
  <si>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</si>
  <si>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</si>
  <si>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</si>
  <si>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</si>
  <si>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</si>
  <si>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</si>
  <si>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</si>
  <si>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</si>
  <si>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</si>
  <si>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</si>
  <si>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</si>
  <si>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</si>
  <si>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</si>
  <si>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</si>
  <si>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</si>
  <si>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</si>
  <si>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</si>
  <si>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</si>
  <si>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</si>
  <si>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</si>
  <si>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</si>
  <si>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</si>
  <si>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</si>
  <si>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</si>
  <si>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</si>
  <si>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</si>
  <si>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</si>
  <si>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</si>
  <si>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</si>
  <si>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</si>
  <si>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</si>
  <si>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</si>
  <si>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</si>
  <si>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</si>
  <si>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</si>
  <si>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</si>
  <si>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</si>
  <si>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</si>
  <si>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</si>
  <si>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</si>
  <si>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</si>
  <si>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</si>
  <si>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</si>
  <si>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</si>
  <si>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</si>
  <si>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</si>
  <si>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</si>
  <si>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</si>
  <si>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</si>
  <si>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</si>
  <si>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</si>
  <si>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</si>
  <si>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</si>
  <si>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</si>
  <si>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</si>
  <si>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</si>
  <si>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</si>
  <si>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</si>
  <si>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</si>
  <si>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</si>
  <si>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</si>
  <si>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</si>
  <si>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</si>
  <si>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</si>
  <si>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</si>
  <si>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</si>
  <si>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</si>
  <si>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</si>
  <si>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</si>
  <si>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</si>
  <si>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</si>
  <si>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</si>
  <si>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</si>
  <si>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</si>
  <si>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</si>
  <si>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</si>
  <si>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</si>
  <si>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</si>
  <si>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</si>
  <si>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</si>
  <si>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</si>
  <si>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</si>
  <si>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</si>
  <si>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</si>
  <si>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</si>
  <si>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</si>
  <si>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</si>
  <si>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</si>
  <si>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</si>
  <si>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</si>
  <si>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</si>
  <si>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</si>
  <si>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</si>
  <si>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</si>
  <si>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</si>
  <si>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</si>
  <si>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</si>
  <si>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</si>
  <si>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</si>
  <si>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</si>
  <si>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</si>
  <si>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</si>
  <si>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</si>
  <si>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</si>
  <si>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</si>
  <si>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</si>
  <si>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</si>
  <si>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</si>
  <si>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</si>
  <si>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</si>
  <si>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</si>
  <si>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</si>
  <si>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</si>
  <si>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</si>
  <si>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</si>
  <si>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</si>
  <si>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</si>
  <si>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</si>
  <si>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</si>
  <si>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</si>
  <si>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</si>
  <si>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</si>
  <si>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</si>
  <si>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</si>
  <si>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</si>
  <si>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</si>
  <si>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</si>
  <si>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</si>
  <si>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</si>
  <si>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</si>
  <si>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</si>
  <si>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</si>
  <si>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</si>
  <si>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</si>
  <si>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</si>
  <si>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</si>
  <si>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</si>
  <si>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</si>
  <si>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</si>
  <si>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</si>
  <si>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</si>
  <si>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</si>
  <si>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</si>
  <si>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</si>
  <si>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</si>
  <si>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</si>
  <si>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</si>
  <si>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</si>
  <si>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</si>
  <si>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</si>
  <si>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</si>
  <si>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</si>
  <si>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</si>
  <si>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</si>
  <si>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</si>
  <si>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</si>
  <si>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</si>
  <si>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</si>
  <si>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</si>
  <si>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</si>
  <si>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</si>
  <si>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</si>
  <si>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</si>
  <si>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</si>
  <si>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</si>
  <si>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</si>
  <si>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</si>
  <si>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</si>
  <si>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</si>
  <si>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</si>
  <si>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</si>
  <si>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</si>
  <si>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</si>
  <si>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</si>
  <si>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</si>
  <si>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</si>
  <si>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</si>
  <si>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</si>
  <si>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</si>
  <si>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</si>
  <si>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</si>
  <si>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</si>
  <si>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</si>
  <si>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</si>
  <si>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</si>
  <si>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</si>
  <si>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</si>
  <si>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</si>
  <si>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</si>
  <si>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</si>
  <si>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</si>
  <si>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</si>
  <si>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</si>
  <si>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</si>
  <si>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</si>
  <si>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</si>
  <si>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</si>
  <si>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</si>
  <si>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</si>
  <si>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</si>
  <si>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</si>
  <si>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</si>
  <si>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北京市</t>
  </si>
  <si>
    <t>自然人</t>
  </si>
  <si>
    <t>房地产抵押价值</t>
  </si>
  <si>
    <t>抵押</t>
  </si>
  <si>
    <t>吴薇</t>
  </si>
  <si>
    <t>郑燚</t>
  </si>
  <si>
    <t>与房产证证载一致</t>
  </si>
  <si>
    <t>房屋所有权证</t>
  </si>
  <si>
    <t>链家</t>
    <phoneticPr fontId="146" type="noConversion"/>
  </si>
  <si>
    <t>面积</t>
    <phoneticPr fontId="146" type="noConversion"/>
  </si>
  <si>
    <t>总价</t>
    <phoneticPr fontId="146" type="noConversion"/>
  </si>
  <si>
    <t>单价</t>
    <phoneticPr fontId="146" type="noConversion"/>
  </si>
  <si>
    <t>中区</t>
    <phoneticPr fontId="146" type="noConversion"/>
  </si>
  <si>
    <t>西</t>
    <phoneticPr fontId="146" type="noConversion"/>
  </si>
  <si>
    <t>房天下</t>
    <phoneticPr fontId="146" type="noConversion"/>
  </si>
  <si>
    <r>
      <t>3</t>
    </r>
    <r>
      <rPr>
        <sz val="11"/>
        <color theme="1"/>
        <rFont val="宋体"/>
        <family val="3"/>
        <charset val="134"/>
        <scheme val="minor"/>
      </rPr>
      <t>.9至4.2万元</t>
    </r>
    <phoneticPr fontId="146" type="noConversion"/>
  </si>
  <si>
    <t>总价</t>
  </si>
  <si>
    <t>否</t>
  </si>
  <si>
    <t>办公</t>
  </si>
  <si>
    <t>无租约</t>
  </si>
  <si>
    <t>利息：取LPR加浮动点数</t>
  </si>
  <si>
    <t>钢混</t>
  </si>
  <si>
    <t>非生产用房</t>
  </si>
  <si>
    <t>东</t>
    <phoneticPr fontId="146" type="noConversion"/>
  </si>
  <si>
    <t>简装</t>
    <phoneticPr fontId="146" type="noConversion"/>
  </si>
  <si>
    <t>南</t>
    <phoneticPr fontId="146" type="noConversion"/>
  </si>
  <si>
    <t>中区</t>
    <phoneticPr fontId="146" type="noConversion"/>
  </si>
  <si>
    <t>30-40（含）</t>
  </si>
  <si>
    <t>专业物业</t>
  </si>
  <si>
    <t>专业物业</t>
    <phoneticPr fontId="26" type="noConversion"/>
  </si>
  <si>
    <t>七通</t>
    <phoneticPr fontId="26" type="noConversion"/>
  </si>
  <si>
    <t>六通</t>
    <phoneticPr fontId="26" type="noConversion"/>
  </si>
  <si>
    <t>五通</t>
  </si>
  <si>
    <t>五通</t>
    <phoneticPr fontId="26" type="noConversion"/>
  </si>
  <si>
    <t>高层写字楼</t>
  </si>
  <si>
    <t>高层写字楼</t>
    <phoneticPr fontId="26" type="noConversion"/>
  </si>
  <si>
    <t>钢混</t>
    <phoneticPr fontId="26" type="noConversion"/>
  </si>
  <si>
    <t>精装修</t>
  </si>
  <si>
    <t>精装修</t>
    <phoneticPr fontId="26" type="noConversion"/>
  </si>
  <si>
    <t>普通装修</t>
  </si>
  <si>
    <t>普通装修</t>
    <phoneticPr fontId="26" type="noConversion"/>
  </si>
  <si>
    <t>简单装修</t>
  </si>
  <si>
    <t>简单装修</t>
    <phoneticPr fontId="26" type="noConversion"/>
  </si>
  <si>
    <t>毛坯</t>
    <phoneticPr fontId="26" type="noConversion"/>
  </si>
  <si>
    <t>超高层高</t>
  </si>
  <si>
    <t>超高层高</t>
    <phoneticPr fontId="26" type="noConversion"/>
  </si>
  <si>
    <t>标准层高</t>
    <phoneticPr fontId="26" type="noConversion"/>
  </si>
  <si>
    <t>高区</t>
    <phoneticPr fontId="26" type="noConversion"/>
  </si>
  <si>
    <t>中区</t>
  </si>
  <si>
    <t>中区</t>
    <phoneticPr fontId="26" type="noConversion"/>
  </si>
  <si>
    <t>低区</t>
    <phoneticPr fontId="26" type="noConversion"/>
  </si>
  <si>
    <t>办公</t>
    <phoneticPr fontId="26" type="noConversion"/>
  </si>
  <si>
    <t>首开东都汇</t>
    <phoneticPr fontId="4" type="noConversion"/>
  </si>
  <si>
    <t>收益法收益比率</t>
  </si>
  <si>
    <t>比较法-办公</t>
  </si>
  <si>
    <t>收益法</t>
  </si>
  <si>
    <t>普装</t>
    <phoneticPr fontId="146" type="noConversion"/>
  </si>
  <si>
    <t>万元</t>
  </si>
  <si>
    <t>估价对象1（结果表）</t>
  </si>
  <si>
    <t>南北</t>
    <phoneticPr fontId="146" type="noConversion"/>
  </si>
  <si>
    <t>东南</t>
    <phoneticPr fontId="146" type="noConversion"/>
  </si>
  <si>
    <t>西南</t>
    <phoneticPr fontId="146" type="noConversion"/>
  </si>
  <si>
    <t>东西</t>
    <phoneticPr fontId="146" type="noConversion"/>
  </si>
  <si>
    <t>东北</t>
    <phoneticPr fontId="146" type="noConversion"/>
  </si>
  <si>
    <t>西北</t>
    <phoneticPr fontId="146" type="noConversion"/>
  </si>
  <si>
    <t>南</t>
  </si>
  <si>
    <t>东</t>
  </si>
  <si>
    <t>西</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</si>
</sst>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Font="1" applyBorder="1" applyAlignment="1" applyProtection="1">
      <alignment horizontal="left" vertical="center" wrapText="1"/>
      <protection locked="0"/>
    </xf>
    <xf numFmtId="0" fontId="217" fillId="0" borderId="32" xfId="0" applyFont="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221" fillId="0" borderId="3"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f>'预评函-封皮'!B12</f>
        <v>0</v>
      </c>
    </row>
    <row r="4" spans="1:2" s="1180" customFormat="1">
      <c r="A4" s="1181" t="s">
        <v>1041</v>
      </c>
      <c r="B4" s="1166" t="str">
        <f ca="1">'预评函-封皮'!B18</f>
        <v>吴薇（注册号:1419970001）、郑燚（注册号:1120070131)</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估价对象为北京市房地产，为所有。根据《房屋所有权证》[]，估价对象建筑面积为63平方米。根据《》[]，估价对象（分摊）出让国有建设用地使用权面积为平方米。估价对象用途为。</v>
      </c>
    </row>
    <row r="8" spans="1:2">
      <c r="A8" s="1181" t="s">
        <v>1045</v>
      </c>
      <c r="B8" s="1168"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181" t="s">
        <v>1046</v>
      </c>
      <c r="B9" s="1168" t="str">
        <f>'预评函-1'!A10</f>
        <v>2022年2月18日（评估专业人员实地查勘之日）</v>
      </c>
    </row>
    <row r="10" spans="1:2">
      <c r="A10" s="1181" t="s">
        <v>1047</v>
      </c>
      <c r="B10" s="1168" t="str">
        <f>'预评函-1'!A13</f>
        <v>本次估价的“房地产价值”是指在正常市场情况下，在价值时点2022年2月18日，估价对象规划用途为，假定未设立法定优先受偿款下的房地产市场价值。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63</v>
      </c>
    </row>
    <row r="19" spans="1:2">
      <c r="A19" s="1181" t="s">
        <v>1056</v>
      </c>
      <c r="B19" s="1168">
        <f ca="1">'预评函-2（1）'!D7</f>
        <v>186</v>
      </c>
    </row>
    <row r="20" spans="1:2">
      <c r="A20" s="1181" t="s">
        <v>1094</v>
      </c>
      <c r="B20" s="1168" t="str">
        <f>'预评函-2（1）'!C7</f>
        <v>总价（万元）</v>
      </c>
    </row>
    <row r="21" spans="1:2">
      <c r="A21" s="1181" t="s">
        <v>1057</v>
      </c>
      <c r="B21" s="1168">
        <f ca="1">'预评函-2（1）'!D9</f>
        <v>29524</v>
      </c>
    </row>
    <row r="22" spans="1:2">
      <c r="A22" s="1181" t="s">
        <v>1058</v>
      </c>
      <c r="B22" s="1168" t="str">
        <f ca="1">'预评函-2（1）'!D8</f>
        <v>壹佰捌拾陆万元整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186</v>
      </c>
    </row>
    <row r="30" spans="1:2">
      <c r="A30" s="1181" t="s">
        <v>1064</v>
      </c>
      <c r="B30" s="1168" t="str">
        <f ca="1">'预评函-2（1）'!D16</f>
        <v>壹佰捌拾陆万元整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186</v>
      </c>
    </row>
    <row r="38" spans="1:2">
      <c r="A38" s="1181" t="s">
        <v>1072</v>
      </c>
      <c r="B38" s="1168">
        <f ca="1">'预评函-2（2）'!E4</f>
        <v>29524</v>
      </c>
    </row>
    <row r="39" spans="1:2">
      <c r="A39" s="1181" t="s">
        <v>1073</v>
      </c>
      <c r="B39" s="1168" t="str">
        <f ca="1">'预评函-2（2）'!D5</f>
        <v>壹佰捌拾陆万元整</v>
      </c>
    </row>
    <row r="40" spans="1:2">
      <c r="A40" s="1181" t="s">
        <v>1074</v>
      </c>
      <c r="B40" s="1168">
        <f ca="1">'预评函-2（2）'!F4</f>
        <v>0</v>
      </c>
    </row>
    <row r="41" spans="1:2">
      <c r="A41" s="1181" t="s">
        <v>1075</v>
      </c>
      <c r="B41" s="1168">
        <f ca="1">'预评函-2（2）'!G4</f>
        <v>0</v>
      </c>
    </row>
    <row r="42" spans="1:2" s="1178" customFormat="1" ht="15.75" thickBot="1">
      <c r="A42" s="1182" t="s">
        <v>1076</v>
      </c>
      <c r="B42" s="1170" t="str">
        <f ca="1">'预评函-2（2）'!F5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t="str">
        <f>'预评函-3'!A4</f>
        <v>吴薇</v>
      </c>
    </row>
    <row r="53" spans="1:2">
      <c r="A53" s="1181" t="s">
        <v>1086</v>
      </c>
      <c r="B53" s="1168">
        <f ca="1">'预评函-3'!B4</f>
        <v>1419970001</v>
      </c>
    </row>
    <row r="54" spans="1:2">
      <c r="A54" s="1181" t="s">
        <v>1087</v>
      </c>
      <c r="B54" s="1172" t="str">
        <f>'预评函-3'!A5</f>
        <v>郑燚</v>
      </c>
    </row>
    <row r="55" spans="1:2" s="1178" customFormat="1" ht="15.75" thickBot="1">
      <c r="A55" s="1182" t="s">
        <v>1088</v>
      </c>
      <c r="B55" s="1170">
        <f ca="1">'预评函-3'!B5</f>
        <v>1120070131</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29524</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E3" sqref="E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v>44610</v>
      </c>
      <c r="C2" s="2861" t="s">
        <v>1473</v>
      </c>
      <c r="D2" s="2562">
        <f>B2</f>
        <v>44610</v>
      </c>
      <c r="E2" s="824"/>
      <c r="F2" s="824"/>
      <c r="G2" s="1163"/>
      <c r="H2" s="2873"/>
    </row>
    <row r="3" spans="1:17" ht="13.5" thickBot="1">
      <c r="A3" s="2563" t="s">
        <v>1474</v>
      </c>
      <c r="B3" s="2564" t="s">
        <v>2986</v>
      </c>
      <c r="C3" s="2565">
        <f ca="1">SUMIF(注册房地产估价师,B3,估价师及机构信息!B3:B16)</f>
        <v>1419970001</v>
      </c>
      <c r="D3" s="2564" t="s">
        <v>2987</v>
      </c>
      <c r="E3" s="2566">
        <f ca="1">SUMIF(注册房地产估价师,D3,估价师及机构信息!B3:B16)</f>
        <v>1120070131</v>
      </c>
      <c r="F3" s="825"/>
      <c r="G3" s="1164"/>
      <c r="H3" s="2873"/>
    </row>
    <row r="4" spans="1:17" ht="13.5" customHeight="1" thickTop="1">
      <c r="A4" s="1397" t="s">
        <v>1475</v>
      </c>
      <c r="B4" s="1398"/>
      <c r="C4" s="2862" t="s">
        <v>1476</v>
      </c>
      <c r="D4" s="1399" t="s">
        <v>2985</v>
      </c>
      <c r="E4" s="824"/>
      <c r="F4" s="824"/>
      <c r="G4" s="1163"/>
    </row>
    <row r="5" spans="1:17">
      <c r="A5" s="1400" t="s">
        <v>1477</v>
      </c>
      <c r="B5" s="1401"/>
      <c r="C5" s="2863" t="s">
        <v>1478</v>
      </c>
      <c r="D5" s="1403" t="s">
        <v>2984</v>
      </c>
      <c r="E5" s="2864" t="s">
        <v>1479</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2982</v>
      </c>
      <c r="C6" s="2568"/>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2983</v>
      </c>
      <c r="C7" s="1495" t="str">
        <f>IF(B7="自然人","姓名","名称")</f>
        <v>姓名</v>
      </c>
      <c r="D7" s="1408"/>
      <c r="E7" s="825"/>
      <c r="F7" s="825"/>
      <c r="G7" s="1164"/>
    </row>
    <row r="8" spans="1:17" ht="13.5" thickTop="1">
      <c r="A8" s="3385" t="s">
        <v>1483</v>
      </c>
      <c r="B8" s="1409" t="s">
        <v>1484</v>
      </c>
      <c r="C8" s="3397">
        <v>510</v>
      </c>
      <c r="D8" s="3398"/>
      <c r="E8" s="2571" t="s">
        <v>1485</v>
      </c>
      <c r="F8" s="2572" t="s">
        <v>1486</v>
      </c>
      <c r="G8" s="2573">
        <f>C6</f>
        <v>0</v>
      </c>
    </row>
    <row r="9" spans="1:17" ht="25.5">
      <c r="A9" s="3385"/>
      <c r="B9" s="259" t="s">
        <v>1487</v>
      </c>
      <c r="C9" s="1401"/>
      <c r="D9" s="1410" t="s">
        <v>2988</v>
      </c>
      <c r="E9" s="2867" t="s">
        <v>1488</v>
      </c>
      <c r="F9" s="2574" t="s">
        <v>70</v>
      </c>
      <c r="G9" s="2575"/>
    </row>
    <row r="10" spans="1:17" ht="13.5" thickBot="1">
      <c r="A10" s="3385"/>
      <c r="B10" s="259" t="s">
        <v>1489</v>
      </c>
      <c r="C10" s="3399"/>
      <c r="D10" s="3400"/>
      <c r="E10" s="2868" t="s">
        <v>1490</v>
      </c>
      <c r="F10" s="2576" t="s">
        <v>334</v>
      </c>
      <c r="G10" s="2577"/>
    </row>
    <row r="11" spans="1:17" ht="13.5" thickBot="1">
      <c r="A11" s="3385"/>
      <c r="B11" s="1412" t="s">
        <v>1491</v>
      </c>
      <c r="C11" s="3401"/>
      <c r="D11" s="3402"/>
      <c r="E11" s="811"/>
      <c r="F11" s="811"/>
      <c r="G11" s="830"/>
    </row>
    <row r="12" spans="1:17" ht="13.5" thickBot="1">
      <c r="A12" s="3388" t="s">
        <v>2769</v>
      </c>
      <c r="B12" s="2869" t="s">
        <v>1492</v>
      </c>
      <c r="C12" s="808">
        <v>63</v>
      </c>
      <c r="D12" s="1413" t="s">
        <v>1493</v>
      </c>
      <c r="E12" s="1414" t="s">
        <v>2989</v>
      </c>
      <c r="F12" s="1415"/>
      <c r="G12" s="830"/>
    </row>
    <row r="13" spans="1:17" ht="21" customHeight="1" thickBot="1">
      <c r="A13" s="3389"/>
      <c r="B13" s="2870" t="s">
        <v>1494</v>
      </c>
      <c r="C13" s="809"/>
      <c r="D13" s="1416" t="s">
        <v>1495</v>
      </c>
      <c r="E13" s="1417"/>
      <c r="F13" s="811"/>
      <c r="G13" s="830"/>
      <c r="I13" s="3374"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2770</v>
      </c>
      <c r="C14" s="2579"/>
      <c r="D14" s="811"/>
      <c r="E14" s="811"/>
      <c r="F14" s="811"/>
      <c r="G14" s="830"/>
      <c r="I14" s="3374"/>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2.5</v>
      </c>
      <c r="D15" s="825"/>
      <c r="E15" s="825"/>
      <c r="F15" s="825"/>
      <c r="G15" s="1164"/>
      <c r="I15" s="3374"/>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403" t="s">
        <v>1502</v>
      </c>
      <c r="C17" s="3404"/>
      <c r="D17" s="3405" t="s">
        <v>1503</v>
      </c>
      <c r="E17" s="3406"/>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384" t="s">
        <v>2768</v>
      </c>
      <c r="B24" s="3384"/>
      <c r="C24" s="3384"/>
      <c r="D24" s="3384"/>
      <c r="E24" s="3384"/>
      <c r="F24" s="3384"/>
      <c r="G24" s="3384"/>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91" t="s">
        <v>1516</v>
      </c>
      <c r="D28" s="3392"/>
      <c r="E28" s="801"/>
      <c r="F28" s="803" t="s">
        <v>1516</v>
      </c>
      <c r="G28" s="801"/>
      <c r="K28" s="2874"/>
    </row>
    <row r="29" spans="1:66">
      <c r="A29" s="804" t="s">
        <v>1517</v>
      </c>
      <c r="B29" s="798"/>
      <c r="C29" s="3393" t="s">
        <v>1518</v>
      </c>
      <c r="D29" s="3394"/>
      <c r="E29" s="798"/>
      <c r="F29" s="804" t="s">
        <v>1518</v>
      </c>
      <c r="G29" s="798"/>
      <c r="K29" s="2874"/>
    </row>
    <row r="30" spans="1:66">
      <c r="A30" s="804" t="s">
        <v>1519</v>
      </c>
      <c r="B30" s="798"/>
      <c r="C30" s="3393" t="s">
        <v>1519</v>
      </c>
      <c r="D30" s="3394"/>
      <c r="E30" s="798"/>
      <c r="F30" s="804" t="s">
        <v>1520</v>
      </c>
      <c r="G30" s="798"/>
      <c r="K30" s="2874"/>
    </row>
    <row r="31" spans="1:66">
      <c r="A31" s="804" t="s">
        <v>1521</v>
      </c>
      <c r="B31" s="798"/>
      <c r="C31" s="3381" t="s">
        <v>1522</v>
      </c>
      <c r="D31" s="811"/>
      <c r="E31" s="2597" t="str">
        <f>E32&amp;" "&amp;E33&amp;" "&amp;E34&amp;" "&amp;E35</f>
        <v xml:space="preserve">   </v>
      </c>
      <c r="F31" s="804" t="s">
        <v>1523</v>
      </c>
      <c r="G31" s="798"/>
    </row>
    <row r="32" spans="1:66">
      <c r="A32" s="804" t="s">
        <v>1524</v>
      </c>
      <c r="B32" s="798"/>
      <c r="C32" s="3382"/>
      <c r="D32" s="259" t="s">
        <v>1525</v>
      </c>
      <c r="E32" s="798"/>
      <c r="F32" s="804" t="s">
        <v>1526</v>
      </c>
      <c r="G32" s="798"/>
    </row>
    <row r="33" spans="1:7" ht="24.75" thickBot="1">
      <c r="A33" s="805" t="s">
        <v>1527</v>
      </c>
      <c r="B33" s="802"/>
      <c r="C33" s="3382"/>
      <c r="D33" s="259" t="s">
        <v>1528</v>
      </c>
      <c r="E33" s="798"/>
      <c r="F33" s="804" t="s">
        <v>1529</v>
      </c>
      <c r="G33" s="798"/>
    </row>
    <row r="34" spans="1:7">
      <c r="A34" s="803" t="s">
        <v>1530</v>
      </c>
      <c r="B34" s="801"/>
      <c r="C34" s="3382"/>
      <c r="D34" s="259" t="s">
        <v>1531</v>
      </c>
      <c r="E34" s="798"/>
      <c r="F34" s="804" t="s">
        <v>1532</v>
      </c>
      <c r="G34" s="798"/>
    </row>
    <row r="35" spans="1:7" ht="13.5" thickBot="1">
      <c r="A35" s="804" t="s">
        <v>1533</v>
      </c>
      <c r="B35" s="798"/>
      <c r="C35" s="3383"/>
      <c r="D35" s="259" t="s">
        <v>1534</v>
      </c>
      <c r="E35" s="798"/>
      <c r="F35" s="805" t="s">
        <v>1535</v>
      </c>
      <c r="G35" s="2598"/>
    </row>
    <row r="36" spans="1:7">
      <c r="A36" s="804" t="s">
        <v>1492</v>
      </c>
      <c r="B36" s="798"/>
      <c r="C36" s="3393" t="s">
        <v>1536</v>
      </c>
      <c r="D36" s="3394"/>
      <c r="E36" s="798"/>
      <c r="F36" s="2599" t="s">
        <v>1537</v>
      </c>
      <c r="G36" s="801"/>
    </row>
    <row r="37" spans="1:7" ht="13.5" thickBot="1">
      <c r="A37" s="804" t="s">
        <v>1538</v>
      </c>
      <c r="B37" s="798"/>
      <c r="C37" s="3395" t="s">
        <v>1539</v>
      </c>
      <c r="D37" s="3396"/>
      <c r="E37" s="802"/>
      <c r="F37" s="1433" t="s">
        <v>1540</v>
      </c>
      <c r="G37" s="798"/>
    </row>
    <row r="38" spans="1:7" ht="13.5" thickBot="1">
      <c r="A38" s="804" t="s">
        <v>1541</v>
      </c>
      <c r="B38" s="798"/>
      <c r="C38" s="3379" t="s">
        <v>1542</v>
      </c>
      <c r="D38" s="1413" t="s">
        <v>1526</v>
      </c>
      <c r="E38" s="801"/>
      <c r="F38" s="805" t="s">
        <v>1543</v>
      </c>
      <c r="G38" s="802"/>
    </row>
    <row r="39" spans="1:7">
      <c r="A39" s="804" t="s">
        <v>1544</v>
      </c>
      <c r="B39" s="798"/>
      <c r="C39" s="3386"/>
      <c r="D39" s="259" t="s">
        <v>1533</v>
      </c>
      <c r="E39" s="798"/>
      <c r="F39" s="803" t="s">
        <v>1545</v>
      </c>
      <c r="G39" s="801"/>
    </row>
    <row r="40" spans="1:7">
      <c r="A40" s="804" t="s">
        <v>1546</v>
      </c>
      <c r="B40" s="798"/>
      <c r="C40" s="3386" t="s">
        <v>1547</v>
      </c>
      <c r="D40" s="259" t="s">
        <v>1492</v>
      </c>
      <c r="E40" s="798"/>
      <c r="F40" s="804" t="s">
        <v>1548</v>
      </c>
      <c r="G40" s="798"/>
    </row>
    <row r="41" spans="1:7" ht="24.75" customHeight="1" thickBot="1">
      <c r="A41" s="805" t="s">
        <v>1549</v>
      </c>
      <c r="B41" s="802"/>
      <c r="C41" s="3387"/>
      <c r="D41" s="1416" t="s">
        <v>1494</v>
      </c>
      <c r="E41" s="802"/>
      <c r="F41" s="805" t="s">
        <v>1550</v>
      </c>
      <c r="G41" s="802"/>
    </row>
    <row r="42" spans="1:7">
      <c r="A42" s="806" t="s">
        <v>1551</v>
      </c>
      <c r="B42" s="2600"/>
      <c r="C42" s="3375" t="s">
        <v>1551</v>
      </c>
      <c r="D42" s="3376"/>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77" t="s">
        <v>1554</v>
      </c>
      <c r="D49" s="3378"/>
      <c r="E49" s="820"/>
      <c r="F49" s="805" t="s">
        <v>1555</v>
      </c>
      <c r="G49" s="802"/>
    </row>
    <row r="50" spans="1:66">
      <c r="A50" s="804" t="s">
        <v>1556</v>
      </c>
      <c r="B50" s="819"/>
      <c r="C50" s="3379" t="s">
        <v>1557</v>
      </c>
      <c r="D50" s="3380"/>
      <c r="E50" s="2602"/>
      <c r="F50" s="837"/>
      <c r="G50" s="838"/>
    </row>
    <row r="51" spans="1:66" ht="13.5" thickBot="1">
      <c r="A51" s="804" t="s">
        <v>1558</v>
      </c>
      <c r="B51" s="819"/>
      <c r="C51" s="3387" t="s">
        <v>1559</v>
      </c>
      <c r="D51" s="3390"/>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7" t="s">
        <v>0</v>
      </c>
      <c r="B1" s="3407" t="s">
        <v>2</v>
      </c>
      <c r="C1" s="3407" t="s">
        <v>3</v>
      </c>
      <c r="D1" s="3408" t="s">
        <v>67</v>
      </c>
      <c r="E1" s="3408" t="s">
        <v>68</v>
      </c>
      <c r="F1" s="3408"/>
      <c r="G1" s="3408"/>
      <c r="H1" s="3408"/>
      <c r="I1" s="3408"/>
      <c r="J1" s="3408"/>
      <c r="K1" s="3408"/>
      <c r="L1" s="3408"/>
      <c r="M1" s="3408"/>
    </row>
    <row r="2" spans="1:13" ht="27" customHeight="1">
      <c r="A2" s="3407"/>
      <c r="B2" s="3407"/>
      <c r="C2" s="3407"/>
      <c r="D2" s="3408"/>
      <c r="E2" s="3408" t="s">
        <v>51</v>
      </c>
      <c r="F2" s="3408" t="s">
        <v>52</v>
      </c>
      <c r="G2" s="3408"/>
      <c r="H2" s="3408"/>
      <c r="I2" s="3408"/>
      <c r="J2" s="3408" t="s">
        <v>53</v>
      </c>
      <c r="K2" s="3408"/>
      <c r="L2" s="3408"/>
      <c r="M2" s="3408"/>
    </row>
    <row r="3" spans="1:13" ht="28.5">
      <c r="A3" s="3407"/>
      <c r="B3" s="3407"/>
      <c r="C3" s="3407"/>
      <c r="D3" s="3408"/>
      <c r="E3" s="340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8" t="s">
        <v>69</v>
      </c>
      <c r="B9" s="3408"/>
      <c r="C9" s="340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H18" sqref="H18"/>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44610</v>
      </c>
      <c r="C2" s="1655"/>
      <c r="D2" s="3409"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3039</v>
      </c>
      <c r="C3" s="1655"/>
      <c r="D3" s="3410"/>
      <c r="E3" s="2609" t="s">
        <v>2999</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2998</v>
      </c>
      <c r="C4" s="1655"/>
      <c r="D4" s="3410"/>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63</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3000</v>
      </c>
      <c r="C10" s="1655"/>
      <c r="D10" s="2893" t="s">
        <v>1571</v>
      </c>
      <c r="E10" s="2897" t="s">
        <v>1572</v>
      </c>
      <c r="F10" s="3062" t="s">
        <v>2779</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50</v>
      </c>
      <c r="C11" s="1655"/>
      <c r="D11" s="2899" t="s">
        <v>1574</v>
      </c>
      <c r="E11" s="2619"/>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c r="C12" s="1655"/>
      <c r="D12" s="2900" t="s">
        <v>1577</v>
      </c>
      <c r="E12" s="2622"/>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37</v>
      </c>
      <c r="C13" s="2937"/>
      <c r="D13" s="2903" t="s">
        <v>1579</v>
      </c>
      <c r="E13" s="2623"/>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0.91500000000000004</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0.05</v>
      </c>
      <c r="C15" s="2533" t="s">
        <v>2780</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5.5E-2</v>
      </c>
      <c r="C16" s="2533" t="s">
        <v>2781</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2778</v>
      </c>
      <c r="B17" s="3060">
        <v>0.08</v>
      </c>
      <c r="C17" s="2533" t="s">
        <v>2782</v>
      </c>
      <c r="D17" s="2896" t="s">
        <v>1588</v>
      </c>
      <c r="E17" s="2627">
        <v>3500</v>
      </c>
      <c r="F17" s="947"/>
      <c r="G17" s="1655"/>
      <c r="H17" s="1655">
        <f>2022-2011</f>
        <v>11</v>
      </c>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c r="C18" s="1655"/>
      <c r="D18" s="2909" t="str">
        <f>IF(B26=0,"建安总额","在建建安")</f>
        <v>建安总额</v>
      </c>
      <c r="E18" s="2910">
        <f>ROUND(B5*E17*IF(B26=0,1,E20),0)</f>
        <v>220500</v>
      </c>
      <c r="F18" s="2628">
        <f>ROUND(E5*E17*IF(B26=0,1,E20),0)</f>
        <v>0</v>
      </c>
      <c r="G18" s="1655"/>
      <c r="H18" s="1655">
        <f>60-H17</f>
        <v>49</v>
      </c>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v>0.82</v>
      </c>
      <c r="F20" s="947"/>
      <c r="G20" s="1655">
        <f>2022-2011</f>
        <v>11</v>
      </c>
      <c r="H20" s="1655">
        <f>49/60</f>
        <v>0.81666666666666665</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0.03</v>
      </c>
      <c r="F21" s="2643" t="s">
        <v>2788</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v>
      </c>
      <c r="F22" s="2643" t="s">
        <v>2786</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2789</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2787</v>
      </c>
      <c r="I25" s="2938"/>
    </row>
    <row r="26" spans="1:41" ht="15" thickBot="1">
      <c r="A26" s="2916" t="s">
        <v>1599</v>
      </c>
      <c r="B26" s="2920">
        <f>B22-B23</f>
        <v>0</v>
      </c>
      <c r="D26" s="2900" t="s">
        <v>1602</v>
      </c>
      <c r="E26" s="2635">
        <v>0.02</v>
      </c>
      <c r="F26" s="2643" t="s">
        <v>2787</v>
      </c>
      <c r="G26" s="2939"/>
      <c r="H26" s="2939"/>
      <c r="I26" s="1655"/>
      <c r="J26" s="1655"/>
      <c r="K26" s="1655"/>
      <c r="L26" s="1655"/>
      <c r="M26" s="1655"/>
      <c r="N26" s="1655"/>
    </row>
    <row r="27" spans="1:41" ht="15.75" thickBot="1">
      <c r="A27" s="2921" t="s">
        <v>1601</v>
      </c>
      <c r="B27" s="2637">
        <v>2011</v>
      </c>
      <c r="C27" s="1655"/>
      <c r="D27" s="3127" t="s">
        <v>3002</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0.15</v>
      </c>
      <c r="G28" s="2939"/>
      <c r="H28" s="2939"/>
      <c r="K28" s="1655"/>
      <c r="N28" s="1655"/>
    </row>
    <row r="29" spans="1:41" ht="14.25">
      <c r="A29" s="2923" t="s">
        <v>1603</v>
      </c>
      <c r="B29" s="2638" t="s">
        <v>3001</v>
      </c>
      <c r="D29" s="2905" t="s">
        <v>1605</v>
      </c>
      <c r="E29" s="2924">
        <f>E30+E31</f>
        <v>5.6000000000000001E-2</v>
      </c>
      <c r="F29" s="1280"/>
      <c r="G29" s="2939"/>
      <c r="H29" s="2939"/>
      <c r="K29" s="1655"/>
      <c r="N29" s="1655"/>
    </row>
    <row r="30" spans="1:41" ht="14.25">
      <c r="A30" s="2900" t="str">
        <f>IF(B29="租赁期内按合同租金","合同租金","市场租金")</f>
        <v>市场租金</v>
      </c>
      <c r="B30" s="2640">
        <v>3.5</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6.000000000000001E-3</v>
      </c>
      <c r="F31" s="1280"/>
      <c r="G31" s="2939"/>
      <c r="H31" s="2939"/>
      <c r="K31" s="1655"/>
      <c r="N31" s="1655"/>
    </row>
    <row r="32" spans="1:41" ht="14.25">
      <c r="A32" s="2900" t="s">
        <v>1608</v>
      </c>
      <c r="B32" s="2625">
        <v>0.03</v>
      </c>
      <c r="D32" s="2907" t="s">
        <v>1611</v>
      </c>
      <c r="E32" s="2642">
        <v>7.0000000000000007E-2</v>
      </c>
      <c r="F32" s="2643" t="s">
        <v>2673</v>
      </c>
      <c r="G32" s="2939"/>
      <c r="H32" s="2939"/>
      <c r="K32" s="1655"/>
      <c r="L32" s="1655"/>
      <c r="M32" s="1655"/>
      <c r="N32" s="1655"/>
    </row>
    <row r="33" spans="1:14" ht="14.25">
      <c r="A33" s="2900" t="s">
        <v>1610</v>
      </c>
      <c r="B33" s="2625">
        <v>0.1</v>
      </c>
      <c r="D33" s="2907" t="s">
        <v>1613</v>
      </c>
      <c r="E33" s="2641">
        <v>0.03</v>
      </c>
      <c r="F33" s="1279" t="s">
        <v>1614</v>
      </c>
      <c r="G33" s="2939"/>
      <c r="H33" s="2939"/>
      <c r="K33" s="1655"/>
      <c r="L33" s="1655"/>
      <c r="M33" s="1655"/>
      <c r="N33" s="1655"/>
    </row>
    <row r="34" spans="1:14" s="2645" customFormat="1" ht="14.25">
      <c r="A34" s="2900" t="s">
        <v>1612</v>
      </c>
      <c r="B34" s="2928">
        <f>收益法!J54</f>
        <v>37</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0</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c r="F41" s="1281" t="s">
        <v>1629</v>
      </c>
      <c r="G41" s="1742" t="s">
        <v>1630</v>
      </c>
      <c r="H41" s="2939"/>
      <c r="I41" s="1655"/>
      <c r="J41" s="1655"/>
      <c r="K41" s="1655"/>
      <c r="L41" s="1655"/>
      <c r="M41" s="1655"/>
      <c r="N41" s="1655"/>
    </row>
    <row r="42" spans="1:14" ht="14.25">
      <c r="A42" s="2899" t="s">
        <v>1627</v>
      </c>
      <c r="B42" s="2650"/>
      <c r="D42" s="2653" t="s">
        <v>1632</v>
      </c>
      <c r="E42" s="2640"/>
      <c r="F42" s="1281">
        <v>30</v>
      </c>
      <c r="G42" s="2939"/>
      <c r="H42" s="2939"/>
      <c r="I42" s="1655"/>
      <c r="J42" s="1655"/>
      <c r="K42" s="1655"/>
      <c r="L42" s="1655"/>
      <c r="M42" s="1655"/>
      <c r="N42" s="1655"/>
    </row>
    <row r="43" spans="1:14" ht="14.25">
      <c r="A43" s="2900" t="s">
        <v>1631</v>
      </c>
      <c r="B43" s="2652">
        <v>365</v>
      </c>
      <c r="D43" s="2653" t="s">
        <v>1634</v>
      </c>
      <c r="E43" s="2640"/>
      <c r="F43" s="1281">
        <v>24</v>
      </c>
      <c r="G43" s="2939"/>
      <c r="H43" s="2939"/>
      <c r="I43" s="1655"/>
      <c r="J43" s="1655"/>
      <c r="K43" s="1655"/>
      <c r="L43" s="1655"/>
      <c r="M43" s="1655"/>
      <c r="N43" s="1655"/>
    </row>
    <row r="44" spans="1:14" ht="14.25">
      <c r="A44" s="2900" t="s">
        <v>1633</v>
      </c>
      <c r="B44" s="2640"/>
      <c r="D44" s="2653" t="s">
        <v>1636</v>
      </c>
      <c r="E44" s="2640"/>
      <c r="F44" s="1281">
        <v>18</v>
      </c>
      <c r="G44" s="2645"/>
      <c r="H44" s="2645"/>
      <c r="I44" s="2939"/>
      <c r="J44" s="1655"/>
      <c r="K44" s="1655"/>
      <c r="L44" s="1655"/>
      <c r="M44" s="1655"/>
      <c r="N44" s="1655"/>
    </row>
    <row r="45" spans="1:14" ht="14.25">
      <c r="A45" s="2900" t="s">
        <v>1635</v>
      </c>
      <c r="B45" s="2654">
        <v>1.4999999999999999E-2</v>
      </c>
      <c r="C45" s="2533" t="s">
        <v>2785</v>
      </c>
      <c r="D45" s="2653" t="s">
        <v>1638</v>
      </c>
      <c r="E45" s="2640"/>
      <c r="F45" s="1281">
        <v>12</v>
      </c>
      <c r="G45" s="2645"/>
      <c r="H45" s="2645"/>
      <c r="M45" s="1655"/>
      <c r="N45" s="1655"/>
    </row>
    <row r="46" spans="1:14" ht="14.25">
      <c r="A46" s="2900" t="s">
        <v>1637</v>
      </c>
      <c r="B46" s="2655">
        <v>1.5E-3</v>
      </c>
      <c r="C46" s="2533" t="s">
        <v>2783</v>
      </c>
      <c r="D46" s="2653" t="s">
        <v>1400</v>
      </c>
      <c r="E46" s="2640"/>
      <c r="F46" s="1281">
        <v>3</v>
      </c>
      <c r="G46" s="2645"/>
      <c r="H46" s="2645"/>
      <c r="M46" s="1655"/>
      <c r="N46" s="1655"/>
    </row>
    <row r="47" spans="1:14" ht="15" thickBot="1">
      <c r="A47" s="2903" t="s">
        <v>1639</v>
      </c>
      <c r="B47" s="2656">
        <v>0.02</v>
      </c>
      <c r="C47" s="2533" t="s">
        <v>2784</v>
      </c>
      <c r="D47" s="2653" t="s">
        <v>1640</v>
      </c>
      <c r="E47" s="2640"/>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11" t="s">
        <v>1645</v>
      </c>
      <c r="B1" s="3412"/>
      <c r="C1" s="3412"/>
      <c r="D1" s="3412"/>
      <c r="E1" s="3412"/>
      <c r="F1" s="3412"/>
      <c r="G1" s="3412"/>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2790</v>
      </c>
      <c r="D2" s="3072"/>
      <c r="E2" s="3069"/>
      <c r="F2" s="3073"/>
      <c r="G2" s="3071" t="s">
        <v>2791</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2792</v>
      </c>
      <c r="B3" s="3076" t="s">
        <v>2793</v>
      </c>
      <c r="C3" s="3077" t="s">
        <v>2794</v>
      </c>
      <c r="D3" s="3078"/>
      <c r="E3" s="3079" t="s">
        <v>2792</v>
      </c>
      <c r="F3" s="3080" t="s">
        <v>2795</v>
      </c>
      <c r="G3" s="3081" t="s">
        <v>2796</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2797</v>
      </c>
      <c r="C4" s="3082" t="s">
        <v>2798</v>
      </c>
      <c r="D4" s="3078"/>
      <c r="E4" s="3083"/>
      <c r="F4" s="3065" t="s">
        <v>2799</v>
      </c>
      <c r="G4" s="3084" t="s">
        <v>2800</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2801</v>
      </c>
      <c r="C5" s="3082" t="s">
        <v>2802</v>
      </c>
      <c r="D5" s="3078"/>
      <c r="E5" s="3083"/>
      <c r="F5" s="3063" t="s">
        <v>2803</v>
      </c>
      <c r="G5" s="3084" t="s">
        <v>2804</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2805</v>
      </c>
      <c r="C6" s="3084" t="s">
        <v>2800</v>
      </c>
      <c r="D6" s="3078"/>
      <c r="E6" s="3083"/>
      <c r="F6" s="3063" t="s">
        <v>2806</v>
      </c>
      <c r="G6" s="3084" t="s">
        <v>2807</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2803</v>
      </c>
      <c r="C7" s="3084" t="s">
        <v>2804</v>
      </c>
      <c r="D7" s="2952"/>
      <c r="E7" s="3085"/>
      <c r="F7" s="3086" t="s">
        <v>2808</v>
      </c>
      <c r="G7" s="3087" t="s">
        <v>2809</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2806</v>
      </c>
      <c r="C8" s="3084" t="s">
        <v>2807</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2810</v>
      </c>
      <c r="C9" s="3082" t="s">
        <v>2811</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2812</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2813</v>
      </c>
      <c r="D14" s="3078"/>
      <c r="E14" s="3096"/>
      <c r="F14" s="3096"/>
      <c r="G14" s="3071" t="s">
        <v>2814</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2815</v>
      </c>
      <c r="B15" s="3101" t="s">
        <v>2793</v>
      </c>
      <c r="C15" s="3102" t="str">
        <f>C3</f>
        <v>估价对象周边居住用地比例、居住小区规模和社区发展完善程度，综合评价居住社区成熟度一般</v>
      </c>
      <c r="D15" s="3078"/>
      <c r="E15" s="3103" t="s">
        <v>2816</v>
      </c>
      <c r="F15" s="3101" t="s">
        <v>2817</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2797</v>
      </c>
      <c r="C16" s="3106" t="str">
        <f>C4</f>
        <v>估价对象位于XX商圈，周边商业氛围成熟，人流量大，商业繁华度好</v>
      </c>
      <c r="D16" s="3078"/>
      <c r="E16" s="3107"/>
      <c r="F16" s="3064" t="s">
        <v>2799</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2801</v>
      </c>
      <c r="C17" s="3106" t="str">
        <f>C5</f>
        <v>估价对象位于XX商圈，周边办公楼项目较多，入驻率高，办公集聚程度较好</v>
      </c>
      <c r="D17" s="2952"/>
      <c r="E17" s="3107"/>
      <c r="F17" s="3064" t="s">
        <v>2818</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2805</v>
      </c>
      <c r="C18" s="3108" t="str">
        <f>C6</f>
        <v>估价对象周边道路状况、公共交通通达情况、停车便捷程度，综合评价交通便捷度较好</v>
      </c>
      <c r="D18" s="2952"/>
      <c r="E18" s="3107"/>
      <c r="F18" s="3064" t="s">
        <v>2808</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2819</v>
      </c>
      <c r="C19" s="3109"/>
      <c r="D19" s="3078"/>
      <c r="E19" s="3107"/>
      <c r="F19" s="3063" t="s">
        <v>2803</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2820</v>
      </c>
      <c r="C20" s="3106" t="str">
        <f>C9</f>
        <v>区域自然环境：；人文环境；综合评价环境状况一般</v>
      </c>
      <c r="D20" s="2952"/>
      <c r="E20" s="3107"/>
      <c r="F20" s="3063" t="s">
        <v>2806</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2803</v>
      </c>
      <c r="C21" s="3108" t="str">
        <f>C7</f>
        <v>估价对象所在区域公共配套设施齐备情况</v>
      </c>
      <c r="D21" s="3078"/>
      <c r="E21" s="3107"/>
      <c r="F21" s="3064" t="s">
        <v>2821</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2806</v>
      </c>
      <c r="C22" s="3108" t="str">
        <f>C8</f>
        <v>估价对象所在区域基础设施水平</v>
      </c>
      <c r="D22" s="3078"/>
      <c r="E22" s="3107"/>
      <c r="F22" s="3064" t="s">
        <v>2812</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2821</v>
      </c>
      <c r="C23" s="3110"/>
      <c r="D23" s="3097"/>
      <c r="E23" s="3112"/>
      <c r="F23" s="3066" t="s">
        <v>2822</v>
      </c>
      <c r="G23" s="3113"/>
      <c r="H23" s="3097"/>
      <c r="I23" s="3098"/>
      <c r="J23" s="3097"/>
      <c r="K23" s="3097"/>
      <c r="L23" s="3098"/>
      <c r="M23" s="3097"/>
      <c r="N23" s="3097"/>
      <c r="O23" s="3098"/>
      <c r="P23" s="3097"/>
      <c r="Q23" s="3097"/>
      <c r="R23" s="3099"/>
    </row>
    <row r="24" spans="1:29" s="3074" customFormat="1" ht="13.5" thickBot="1">
      <c r="A24" s="3114"/>
      <c r="B24" s="3066" t="s">
        <v>2823</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14" sqref="E14"/>
    </sheetView>
  </sheetViews>
  <sheetFormatPr defaultColWidth="14.625" defaultRowHeight="13.5"/>
  <cols>
    <col min="1" max="1" width="24.375" style="2553" customWidth="1"/>
    <col min="2" max="16384" width="14.625" style="2553"/>
  </cols>
  <sheetData>
    <row r="1" spans="1:9" ht="16.5">
      <c r="A1" s="2551" t="s">
        <v>1155</v>
      </c>
      <c r="B1" s="2551">
        <f>SUM(B14:B23)</f>
        <v>63</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44610</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186</v>
      </c>
      <c r="C5" s="2551">
        <f ca="1">ROUND(B5*10000/$B$1,0)</f>
        <v>29524</v>
      </c>
      <c r="D5" s="2551" t="e">
        <f ca="1">ROUND(B5*10000/$B$2,0)</f>
        <v>#DIV/0!</v>
      </c>
      <c r="E5" s="1604"/>
      <c r="F5" s="2552"/>
      <c r="G5" s="2552"/>
    </row>
    <row r="6" spans="1:9" ht="16.5">
      <c r="A6" s="2551" t="s">
        <v>1163</v>
      </c>
      <c r="B6" s="2551">
        <f ca="1">SUM(G14:G23)</f>
        <v>186</v>
      </c>
      <c r="C6" s="2551">
        <f t="shared" ref="C6:C8" ca="1" si="0">ROUND(B6*10000/$B$1,0)</f>
        <v>29524</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3040</v>
      </c>
      <c r="B14" s="2887">
        <f>项目基本情况!C12</f>
        <v>63</v>
      </c>
      <c r="C14" s="2887">
        <f>项目基本情况!C13</f>
        <v>0</v>
      </c>
      <c r="D14" s="2887">
        <f ca="1">IF('数据-取费表'!B3="万元",IF(A14="估价对象1（结果表）",结果表!H121,'结果表 (1修多)'!H125),IF(A14="估价对象1（结果表）",结果表!H121,'结果表 (1修多)'!H125)/10000)</f>
        <v>186</v>
      </c>
      <c r="E14" s="2887">
        <f ca="1">ROUND(D14*10000/B14,0)</f>
        <v>29524</v>
      </c>
      <c r="F14" s="2887" t="e">
        <f ca="1">ROUND(D14*10000/C14,0)</f>
        <v>#DIV/0!</v>
      </c>
      <c r="G14" s="2887">
        <f ca="1">IF('数据-取费表'!B3="万元",IF(A14="估价对象1（结果表）",结果表!D125,'结果表 (1修多)'!D129),IF(A14="估价对象1（结果表）",结果表!D125,'结果表 (1修多)'!D129)/10000)</f>
        <v>186</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F17" sqref="F17"/>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68" t="str">
        <f>项目基本情况!B1</f>
        <v>北京市房地产抵押价值预评估</v>
      </c>
      <c r="B2" s="3468"/>
      <c r="C2" s="3468"/>
      <c r="D2" s="3468"/>
      <c r="E2" s="3468"/>
      <c r="F2" s="3468"/>
      <c r="G2" s="3468"/>
      <c r="H2" s="3468"/>
      <c r="I2" s="3468"/>
      <c r="J2" s="2814"/>
    </row>
    <row r="3" spans="1:15" ht="12.75">
      <c r="A3" s="3471" t="s">
        <v>1653</v>
      </c>
      <c r="B3" s="3472"/>
      <c r="C3" s="3472"/>
      <c r="D3" s="3472"/>
      <c r="E3" s="3472"/>
      <c r="F3" s="3472"/>
      <c r="G3" s="3472"/>
      <c r="H3" s="3472"/>
      <c r="I3" s="3472"/>
      <c r="J3" s="2815"/>
    </row>
    <row r="4" spans="1:15" ht="14.25">
      <c r="A4" s="2683" t="s">
        <v>1654</v>
      </c>
      <c r="B4" s="2683" t="s">
        <v>1655</v>
      </c>
      <c r="C4" s="2684" t="s">
        <v>3036</v>
      </c>
      <c r="D4" s="2684" t="s">
        <v>3037</v>
      </c>
      <c r="E4" s="3417" t="s">
        <v>1656</v>
      </c>
      <c r="F4" s="3455"/>
      <c r="G4" s="3455"/>
      <c r="H4" s="3455"/>
      <c r="I4" s="3456"/>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48" t="s">
        <v>1657</v>
      </c>
      <c r="B5" s="3448">
        <v>25</v>
      </c>
      <c r="C5" s="3457"/>
      <c r="D5" s="3470"/>
      <c r="E5" s="12" t="s">
        <v>1658</v>
      </c>
      <c r="F5" s="2059"/>
      <c r="G5" s="2059"/>
      <c r="H5" s="2059"/>
      <c r="I5" s="2054"/>
      <c r="J5" s="2816"/>
    </row>
    <row r="6" spans="1:15" ht="12.75">
      <c r="A6" s="3448"/>
      <c r="B6" s="3448"/>
      <c r="C6" s="3473"/>
      <c r="D6" s="3470"/>
      <c r="E6" s="12" t="s">
        <v>1659</v>
      </c>
      <c r="F6" s="2059"/>
      <c r="G6" s="2059"/>
      <c r="H6" s="2059"/>
      <c r="I6" s="2054"/>
      <c r="J6" s="2816"/>
    </row>
    <row r="7" spans="1:15" ht="12.75">
      <c r="A7" s="3448"/>
      <c r="B7" s="3448"/>
      <c r="C7" s="3458"/>
      <c r="D7" s="3470"/>
      <c r="E7" s="12" t="s">
        <v>1660</v>
      </c>
      <c r="F7" s="2059"/>
      <c r="G7" s="2059"/>
      <c r="H7" s="2059"/>
      <c r="I7" s="2054"/>
      <c r="J7" s="2816"/>
    </row>
    <row r="8" spans="1:15" ht="12.75">
      <c r="A8" s="3448" t="s">
        <v>1661</v>
      </c>
      <c r="B8" s="3448">
        <v>15</v>
      </c>
      <c r="C8" s="3457"/>
      <c r="D8" s="3470"/>
      <c r="E8" s="12" t="s">
        <v>1662</v>
      </c>
      <c r="F8" s="2059"/>
      <c r="G8" s="2059"/>
      <c r="H8" s="2059"/>
      <c r="I8" s="2054"/>
      <c r="J8" s="2816"/>
    </row>
    <row r="9" spans="1:15" ht="12.75">
      <c r="A9" s="3448"/>
      <c r="B9" s="3448"/>
      <c r="C9" s="3458"/>
      <c r="D9" s="3470"/>
      <c r="E9" s="12" t="s">
        <v>1663</v>
      </c>
      <c r="F9" s="2059"/>
      <c r="G9" s="2059"/>
      <c r="H9" s="2059"/>
      <c r="I9" s="2054"/>
      <c r="J9" s="2816"/>
    </row>
    <row r="10" spans="1:15" ht="12.75">
      <c r="A10" s="3448" t="s">
        <v>1664</v>
      </c>
      <c r="B10" s="3448">
        <v>15</v>
      </c>
      <c r="C10" s="3457"/>
      <c r="D10" s="3470"/>
      <c r="E10" s="12" t="s">
        <v>1665</v>
      </c>
      <c r="F10" s="2059"/>
      <c r="G10" s="2059"/>
      <c r="H10" s="2059"/>
      <c r="I10" s="2054"/>
      <c r="J10" s="2816"/>
    </row>
    <row r="11" spans="1:15" ht="12.75">
      <c r="A11" s="3448"/>
      <c r="B11" s="3448"/>
      <c r="C11" s="3458"/>
      <c r="D11" s="3470"/>
      <c r="E11" s="12" t="s">
        <v>1666</v>
      </c>
      <c r="F11" s="2059"/>
      <c r="G11" s="2059"/>
      <c r="H11" s="2059"/>
      <c r="I11" s="2054"/>
      <c r="J11" s="2816"/>
    </row>
    <row r="12" spans="1:15" ht="12.75">
      <c r="A12" s="3448" t="s">
        <v>1667</v>
      </c>
      <c r="B12" s="3448">
        <v>15</v>
      </c>
      <c r="C12" s="3457"/>
      <c r="D12" s="3470"/>
      <c r="E12" s="12" t="s">
        <v>1668</v>
      </c>
      <c r="F12" s="2059"/>
      <c r="G12" s="2059"/>
      <c r="H12" s="2059"/>
      <c r="I12" s="2054"/>
      <c r="J12" s="2816"/>
    </row>
    <row r="13" spans="1:15" ht="12.75">
      <c r="A13" s="3448"/>
      <c r="B13" s="3448"/>
      <c r="C13" s="3458"/>
      <c r="D13" s="3470"/>
      <c r="E13" s="12" t="s">
        <v>1669</v>
      </c>
      <c r="F13" s="2059"/>
      <c r="G13" s="2059"/>
      <c r="H13" s="2059"/>
      <c r="I13" s="2054"/>
      <c r="J13" s="2816"/>
    </row>
    <row r="14" spans="1:15" ht="12.75">
      <c r="A14" s="3448" t="s">
        <v>1670</v>
      </c>
      <c r="B14" s="3448">
        <v>30</v>
      </c>
      <c r="C14" s="3457">
        <v>8</v>
      </c>
      <c r="D14" s="3470">
        <f>10-C14</f>
        <v>2</v>
      </c>
      <c r="E14" s="12" t="s">
        <v>1671</v>
      </c>
      <c r="F14" s="2059"/>
      <c r="G14" s="2059"/>
      <c r="H14" s="2059"/>
      <c r="I14" s="2054"/>
      <c r="J14" s="2816"/>
    </row>
    <row r="15" spans="1:15" ht="12.75">
      <c r="A15" s="3448"/>
      <c r="B15" s="3448"/>
      <c r="C15" s="3473"/>
      <c r="D15" s="3470"/>
      <c r="E15" s="12" t="s">
        <v>1672</v>
      </c>
      <c r="F15" s="2059"/>
      <c r="G15" s="2059"/>
      <c r="H15" s="2059"/>
      <c r="I15" s="2054"/>
      <c r="J15" s="2816"/>
    </row>
    <row r="16" spans="1:15" ht="12.75">
      <c r="A16" s="3448"/>
      <c r="B16" s="3448"/>
      <c r="C16" s="3458"/>
      <c r="D16" s="3470"/>
      <c r="E16" s="12" t="s">
        <v>1673</v>
      </c>
      <c r="F16" s="2059"/>
      <c r="G16" s="2059"/>
      <c r="H16" s="2059"/>
      <c r="I16" s="2054"/>
      <c r="J16" s="2816"/>
    </row>
    <row r="17" spans="1:36" ht="15">
      <c r="A17" s="2685" t="s">
        <v>1674</v>
      </c>
      <c r="B17" s="2064"/>
      <c r="C17" s="2686">
        <f>SUM(C5:C16)</f>
        <v>8</v>
      </c>
      <c r="D17" s="2686">
        <f>SUM(D5:D16)</f>
        <v>2</v>
      </c>
      <c r="E17" s="2533"/>
      <c r="F17" s="2533"/>
      <c r="G17" s="2533"/>
      <c r="H17" s="2533"/>
      <c r="I17" s="2533"/>
      <c r="J17" s="2817"/>
    </row>
    <row r="18" spans="1:36" ht="30" customHeight="1" thickBot="1">
      <c r="A18" s="2687" t="s">
        <v>1675</v>
      </c>
      <c r="B18" s="2688"/>
      <c r="C18" s="2689">
        <f>ROUND(C17/SUM(C17:D17),2)</f>
        <v>0.8</v>
      </c>
      <c r="D18" s="2689">
        <f>1-C18</f>
        <v>0.19999999999999996</v>
      </c>
      <c r="E18" s="3466" t="s">
        <v>2758</v>
      </c>
      <c r="F18" s="3467"/>
      <c r="G18" s="3467"/>
      <c r="H18" s="3467"/>
      <c r="I18" s="3467"/>
      <c r="J18" s="2817"/>
    </row>
    <row r="19" spans="1:36" ht="15">
      <c r="A19" s="2690" t="s">
        <v>1676</v>
      </c>
      <c r="B19" s="2691" t="s">
        <v>1677</v>
      </c>
      <c r="C19" s="2692">
        <f ca="1">SUMIF(INDIRECT("'"&amp;C4&amp;"'"&amp;"!A:A"),结果表!B19,INDIRECT("'"&amp;C4&amp;"'"&amp;"!B:B"))</f>
        <v>196</v>
      </c>
      <c r="D19" s="2693">
        <f ca="1">SUMIF(INDIRECT("'"&amp;D4&amp;"'"&amp;"!A:A"),结果表!B19,INDIRECT("'"&amp;D4&amp;"'"&amp;"!B:B"))</f>
        <v>145</v>
      </c>
      <c r="E19" s="2690" t="s">
        <v>1678</v>
      </c>
      <c r="F19" s="2691" t="s">
        <v>1677</v>
      </c>
      <c r="G19" s="2694">
        <f ca="1">ROUND(C19*$C$18+D19*$D$18,0)</f>
        <v>186</v>
      </c>
      <c r="H19" s="2695" t="str">
        <f>'数据-取费表'!B3</f>
        <v>万元</v>
      </c>
      <c r="I19" s="2743"/>
      <c r="J19" s="2818"/>
    </row>
    <row r="20" spans="1:36" ht="15">
      <c r="A20" s="2696"/>
      <c r="B20" s="1664" t="s">
        <v>1679</v>
      </c>
      <c r="C20" s="1889">
        <f ca="1">SUMIF(INDIRECT("'"&amp;C4&amp;"'"&amp;"!A:A"),结果表!B20,INDIRECT("'"&amp;C4&amp;"'"&amp;"!B:B"))</f>
        <v>31139</v>
      </c>
      <c r="D20" s="1892">
        <f ca="1">SUMIF(INDIRECT("'"&amp;D4&amp;"'"&amp;"!A:A"),结果表!B20,INDIRECT("'"&amp;D4&amp;"'"&amp;"!B:B"))</f>
        <v>22941</v>
      </c>
      <c r="E20" s="2696"/>
      <c r="F20" s="1664" t="s">
        <v>1679</v>
      </c>
      <c r="G20" s="2063">
        <f ca="1">ROUND(C20*$C$18+D20*$D$18,0)</f>
        <v>29499</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0.35172413793103452</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9" t="s">
        <v>1682</v>
      </c>
      <c r="B24" s="2691" t="s">
        <v>1677</v>
      </c>
      <c r="C24" s="2694">
        <f>D30</f>
        <v>0</v>
      </c>
      <c r="D24" s="2646"/>
      <c r="E24" s="947"/>
      <c r="F24" s="947"/>
      <c r="G24" s="947"/>
      <c r="H24" s="947"/>
      <c r="I24" s="947"/>
      <c r="J24" s="2817"/>
    </row>
    <row r="25" spans="1:36" ht="21.75" customHeight="1">
      <c r="A25" s="3476"/>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2762</v>
      </c>
      <c r="F30" s="2533"/>
      <c r="G30" s="2533"/>
      <c r="H30" s="2533"/>
      <c r="I30" s="2533"/>
      <c r="J30" s="2817"/>
    </row>
    <row r="31" spans="1:36" s="2810" customFormat="1" ht="26.45" customHeight="1" thickTop="1" thickBot="1">
      <c r="A31" s="2805"/>
      <c r="B31" s="2806"/>
      <c r="C31" s="2806"/>
      <c r="D31" s="2806"/>
      <c r="E31" s="2806"/>
      <c r="F31" s="2806"/>
      <c r="G31" s="2806"/>
      <c r="H31" s="2806"/>
      <c r="I31" s="2807" t="s">
        <v>2763</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总价</v>
      </c>
      <c r="C32" s="2800">
        <f ca="1">IF(B32="总价",G19-C24,G20-C25)</f>
        <v>186</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t="s">
        <v>3035</v>
      </c>
      <c r="E33" s="2716" t="s">
        <v>1690</v>
      </c>
      <c r="F33" s="2717" t="str">
        <f>IF(B32="楼面单价","取值（单价）","取值（总价）")</f>
        <v>取值（总价）</v>
      </c>
      <c r="G33" s="947"/>
      <c r="H33" s="947"/>
      <c r="I33" s="947"/>
      <c r="J33" s="2817"/>
    </row>
    <row r="34" spans="1:17" ht="15">
      <c r="A34" s="1436"/>
      <c r="B34" s="2718" t="s">
        <v>1691</v>
      </c>
      <c r="C34" s="2719">
        <f ca="1">IF(D33="自定义",F34,C32-C35)</f>
        <v>186</v>
      </c>
      <c r="D34" s="2720">
        <f ca="1">IF(D33="自定义",ROUND(C34/C32,3),1-D35)</f>
        <v>1</v>
      </c>
      <c r="E34" s="1405" t="s">
        <v>1692</v>
      </c>
      <c r="F34" s="2721">
        <v>2000</v>
      </c>
      <c r="G34" s="947"/>
      <c r="H34" s="947"/>
      <c r="I34" s="947"/>
      <c r="J34" s="2817"/>
    </row>
    <row r="35" spans="1:17" ht="15.75" thickBot="1">
      <c r="A35" s="1437"/>
      <c r="B35" s="2722" t="s">
        <v>1693</v>
      </c>
      <c r="C35" s="2723">
        <f ca="1">IF(D33="自定义",F35,ROUND(C32*D35,0))</f>
        <v>0</v>
      </c>
      <c r="D35" s="2724">
        <f ca="1">IF(D33="自定义",ROUND(C35/C32,3),IF(D33="成本法成本比率",成本法!C56,IF(D33="收益法收益比率",收益法!J38,收益法!J41)))</f>
        <v>0</v>
      </c>
      <c r="E35" s="2725" t="s">
        <v>1694</v>
      </c>
      <c r="F35" s="2726">
        <v>4460</v>
      </c>
      <c r="G35" s="947"/>
      <c r="H35" s="947"/>
      <c r="I35" s="947"/>
      <c r="J35" s="2817"/>
    </row>
    <row r="36" spans="1:17" ht="15.75" thickBot="1">
      <c r="A36" s="3459" t="s">
        <v>1695</v>
      </c>
      <c r="B36" s="1438" t="s">
        <v>1696</v>
      </c>
      <c r="C36" s="2727">
        <v>0</v>
      </c>
      <c r="D36" s="2728"/>
      <c r="E36" s="1650"/>
      <c r="F36" s="1650"/>
      <c r="G36" s="947"/>
      <c r="H36" s="947"/>
      <c r="I36" s="947"/>
      <c r="J36" s="2817"/>
    </row>
    <row r="37" spans="1:17" ht="15.75" thickBot="1">
      <c r="A37" s="3460"/>
      <c r="B37" s="2064" t="s">
        <v>1697</v>
      </c>
      <c r="C37" s="2729">
        <v>0</v>
      </c>
      <c r="D37" s="1281"/>
      <c r="E37" s="1281"/>
      <c r="F37" s="1650"/>
      <c r="G37" s="1281"/>
      <c r="H37" s="1281"/>
      <c r="I37" s="1281"/>
      <c r="J37" s="2821"/>
    </row>
    <row r="38" spans="1:17" ht="15.75" thickBot="1">
      <c r="A38" s="3461"/>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2757</v>
      </c>
      <c r="J44" s="2823"/>
      <c r="K44" s="1445" t="s">
        <v>1705</v>
      </c>
      <c r="L44" s="1446"/>
      <c r="M44" s="1446"/>
      <c r="N44" s="1446"/>
      <c r="O44" s="1446"/>
      <c r="P44" s="1446"/>
      <c r="Q44" s="1278"/>
    </row>
    <row r="45" spans="1:17" ht="14.25" customHeight="1" thickBot="1">
      <c r="A45" s="3463" t="s">
        <v>1706</v>
      </c>
      <c r="B45" s="3464"/>
      <c r="C45" s="3423"/>
      <c r="D45" s="246">
        <f ca="1">ROUND(I102*F45,0)</f>
        <v>186</v>
      </c>
      <c r="E45" s="1512" t="s">
        <v>1707</v>
      </c>
      <c r="F45" s="2531">
        <v>1</v>
      </c>
      <c r="G45" s="2532" t="s">
        <v>1708</v>
      </c>
      <c r="H45" s="947"/>
      <c r="I45" s="947"/>
      <c r="J45" s="2817"/>
      <c r="K45" s="3517" t="s">
        <v>2687</v>
      </c>
      <c r="L45" s="3517"/>
      <c r="M45" s="3517"/>
      <c r="N45" s="3517"/>
      <c r="O45" s="3517"/>
      <c r="P45" s="3517"/>
      <c r="Q45" s="1278"/>
    </row>
    <row r="46" spans="1:17" ht="14.25" customHeight="1">
      <c r="A46" s="3452" t="s">
        <v>1710</v>
      </c>
      <c r="B46" s="3453"/>
      <c r="C46" s="3453"/>
      <c r="D46" s="3453"/>
      <c r="E46" s="3453"/>
      <c r="F46" s="3453"/>
      <c r="G46" s="3454"/>
      <c r="H46" s="2949"/>
      <c r="I46" s="947"/>
      <c r="J46" s="2817"/>
      <c r="K46" s="2506">
        <v>1</v>
      </c>
      <c r="L46" s="3518" t="s">
        <v>2688</v>
      </c>
      <c r="M46" s="3518"/>
      <c r="N46" s="3519" t="str">
        <f>项目基本情况!B1</f>
        <v>北京市房地产抵押价值预评估</v>
      </c>
      <c r="O46" s="3519"/>
      <c r="P46" s="3519"/>
      <c r="Q46" s="1278"/>
    </row>
    <row r="47" spans="1:17" ht="12" customHeight="1">
      <c r="A47" s="38" t="s">
        <v>1712</v>
      </c>
      <c r="B47" s="39"/>
      <c r="C47" s="40"/>
      <c r="D47" s="1070" t="s">
        <v>1713</v>
      </c>
      <c r="E47" s="235" t="s">
        <v>1714</v>
      </c>
      <c r="F47" s="41" t="s">
        <v>1715</v>
      </c>
      <c r="G47" s="2534" t="s">
        <v>1716</v>
      </c>
      <c r="H47" s="2949"/>
      <c r="I47" s="947"/>
      <c r="J47" s="2817"/>
      <c r="K47" s="2506">
        <v>2</v>
      </c>
      <c r="L47" s="3518" t="s">
        <v>2689</v>
      </c>
      <c r="M47" s="3518"/>
      <c r="N47" s="3520">
        <f>'数据-取费表'!B2</f>
        <v>44610</v>
      </c>
      <c r="O47" s="3520"/>
      <c r="P47" s="3520"/>
      <c r="Q47" s="1278"/>
    </row>
    <row r="48" spans="1:17" ht="25.5">
      <c r="A48" s="3462" t="s">
        <v>1718</v>
      </c>
      <c r="B48" s="3416"/>
      <c r="C48" s="3416"/>
      <c r="D48" s="12">
        <f ca="1">IF(H48="情况1",0,IF(H48="情况2",D52,IF(H48="情况3",D53,IF(H48="情况4",D54))))</f>
        <v>10</v>
      </c>
      <c r="E48" s="2062" t="str">
        <f>IF(H48="情况4","(销售额-原购置价)×税（费）率","销售额×税（费）率")</f>
        <v>销售额×税（费）率</v>
      </c>
      <c r="F48" s="2535">
        <f>IF(H48="情况1","免征",'数据-取费表'!E29)</f>
        <v>5.6000000000000001E-2</v>
      </c>
      <c r="G48" s="2536" t="s">
        <v>1719</v>
      </c>
      <c r="H48" s="2537" t="s">
        <v>1720</v>
      </c>
      <c r="I48" s="2949"/>
      <c r="J48" s="2824"/>
      <c r="K48" s="2506">
        <v>3</v>
      </c>
      <c r="L48" s="3518" t="s">
        <v>2690</v>
      </c>
      <c r="M48" s="3518"/>
      <c r="N48" s="3519">
        <f ca="1">I102</f>
        <v>186</v>
      </c>
      <c r="O48" s="3519"/>
      <c r="P48" s="3519"/>
      <c r="Q48" s="1278"/>
    </row>
    <row r="49" spans="1:17" ht="25.5" customHeight="1">
      <c r="A49" s="2061" t="s">
        <v>1722</v>
      </c>
      <c r="B49" s="3455" t="s">
        <v>1723</v>
      </c>
      <c r="C49" s="3455"/>
      <c r="D49" s="2538">
        <v>0</v>
      </c>
      <c r="E49" s="261" t="s">
        <v>1724</v>
      </c>
      <c r="F49" s="2539" t="s">
        <v>48</v>
      </c>
      <c r="G49" s="3512"/>
      <c r="H49" s="2540" t="s">
        <v>2764</v>
      </c>
      <c r="I49" s="2541"/>
      <c r="J49" s="2825"/>
      <c r="K49" s="2506">
        <v>4</v>
      </c>
      <c r="L49" s="3518" t="str">
        <f>IF(项目基本情况!F5="房地产抵押价值","房地产抵押价值","抵押担保权已注销时的房地产抵押价值")</f>
        <v>抵押担保权已注销时的房地产抵押价值</v>
      </c>
      <c r="M49" s="3518"/>
      <c r="N49" s="3519" t="str">
        <f>IF(项目基本情况!F5="房地产抵押价值",I110,I112)</f>
        <v>——</v>
      </c>
      <c r="O49" s="3519"/>
      <c r="P49" s="3519"/>
      <c r="Q49" s="1278"/>
    </row>
    <row r="50" spans="1:17" ht="25.5" customHeight="1">
      <c r="A50" s="2051"/>
      <c r="B50" s="3455" t="s">
        <v>1725</v>
      </c>
      <c r="C50" s="3455"/>
      <c r="D50" s="2542"/>
      <c r="E50" s="269"/>
      <c r="F50" s="2539"/>
      <c r="G50" s="3513"/>
      <c r="H50" s="2543" t="s">
        <v>2683</v>
      </c>
      <c r="I50" s="2541"/>
      <c r="J50" s="2825"/>
      <c r="K50" s="3518" t="s">
        <v>2691</v>
      </c>
      <c r="L50" s="3518"/>
      <c r="M50" s="3518"/>
      <c r="N50" s="3518"/>
      <c r="O50" s="3518"/>
      <c r="P50" s="3518"/>
      <c r="Q50" s="1278"/>
    </row>
    <row r="51" spans="1:17" ht="20.45" customHeight="1">
      <c r="A51" s="2544"/>
      <c r="B51" s="3455" t="s">
        <v>1727</v>
      </c>
      <c r="C51" s="3455"/>
      <c r="D51" s="1070"/>
      <c r="E51" s="264"/>
      <c r="F51" s="2539"/>
      <c r="G51" s="3514"/>
      <c r="H51" s="2543" t="s">
        <v>2684</v>
      </c>
      <c r="I51" s="2541"/>
      <c r="J51" s="2825"/>
      <c r="K51" s="2507" t="s">
        <v>2692</v>
      </c>
      <c r="L51" s="3518" t="s">
        <v>2693</v>
      </c>
      <c r="M51" s="3518"/>
      <c r="N51" s="2507" t="s">
        <v>2694</v>
      </c>
      <c r="O51" s="2507" t="s">
        <v>2695</v>
      </c>
      <c r="P51" s="2507" t="s">
        <v>2696</v>
      </c>
      <c r="Q51" s="1278"/>
    </row>
    <row r="52" spans="1:17" ht="24" customHeight="1">
      <c r="A52" s="2052" t="s">
        <v>1733</v>
      </c>
      <c r="B52" s="3455" t="s">
        <v>1734</v>
      </c>
      <c r="C52" s="3455"/>
      <c r="D52" s="1070">
        <f ca="1">ROUND(D45*'数据-取费表'!E29/(1+'数据-取费表'!F30),0)</f>
        <v>10</v>
      </c>
      <c r="E52" s="2062" t="s">
        <v>1735</v>
      </c>
      <c r="F52" s="2545">
        <f>'数据-取费表'!E29</f>
        <v>5.6000000000000001E-2</v>
      </c>
      <c r="G52" s="2546"/>
      <c r="H52" s="947"/>
      <c r="I52" s="2950"/>
      <c r="J52" s="2825"/>
      <c r="K52" s="2506">
        <v>1</v>
      </c>
      <c r="L52" s="3485" t="s">
        <v>2697</v>
      </c>
      <c r="M52" s="3485"/>
      <c r="N52" s="2508">
        <f ca="1">D48</f>
        <v>10</v>
      </c>
      <c r="O52" s="2506" t="str">
        <f>E48</f>
        <v>销售额×税（费）率</v>
      </c>
      <c r="P52" s="2509">
        <f>F48</f>
        <v>5.6000000000000001E-2</v>
      </c>
      <c r="Q52" s="1278"/>
    </row>
    <row r="53" spans="1:17" ht="12" customHeight="1">
      <c r="A53" s="2052" t="s">
        <v>1737</v>
      </c>
      <c r="B53" s="3417" t="s">
        <v>2776</v>
      </c>
      <c r="C53" s="3456"/>
      <c r="D53" s="1070">
        <f ca="1">ROUND(D45*'数据-取费表'!E29/(1+'数据-取费表'!F30),0)</f>
        <v>10</v>
      </c>
      <c r="E53" s="2062" t="s">
        <v>1735</v>
      </c>
      <c r="F53" s="2545">
        <f>'数据-取费表'!E29</f>
        <v>5.6000000000000001E-2</v>
      </c>
      <c r="G53" s="2546"/>
      <c r="H53" s="947"/>
      <c r="I53" s="2950"/>
      <c r="J53" s="2825"/>
      <c r="K53" s="2506">
        <v>2</v>
      </c>
      <c r="L53" s="3485" t="s">
        <v>2698</v>
      </c>
      <c r="M53" s="3485"/>
      <c r="N53" s="2508">
        <f t="shared" ref="N53:P54" si="1">D55</f>
        <v>0</v>
      </c>
      <c r="O53" s="2506" t="str">
        <f t="shared" si="1"/>
        <v>销售额×税（费）率</v>
      </c>
      <c r="P53" s="2509" t="str">
        <f t="shared" si="1"/>
        <v>免征</v>
      </c>
      <c r="Q53" s="1278"/>
    </row>
    <row r="54" spans="1:17" ht="12" customHeight="1">
      <c r="A54" s="2052" t="s">
        <v>1739</v>
      </c>
      <c r="B54" s="3417" t="s">
        <v>2777</v>
      </c>
      <c r="C54" s="3456"/>
      <c r="D54" s="1070">
        <f ca="1">C68</f>
        <v>10</v>
      </c>
      <c r="E54" s="264" t="s">
        <v>1740</v>
      </c>
      <c r="F54" s="2545">
        <f>'数据-取费表'!E29</f>
        <v>5.6000000000000001E-2</v>
      </c>
      <c r="G54" s="2546"/>
      <c r="H54" s="2951"/>
      <c r="I54" s="2950"/>
      <c r="J54" s="2825"/>
      <c r="K54" s="2506">
        <v>3</v>
      </c>
      <c r="L54" s="3485" t="s">
        <v>2699</v>
      </c>
      <c r="M54" s="3485"/>
      <c r="N54" s="2508">
        <f t="shared" si="1"/>
        <v>0</v>
      </c>
      <c r="O54" s="2506" t="str">
        <f t="shared" si="1"/>
        <v>增值额×税（费）率</v>
      </c>
      <c r="P54" s="2510" t="str">
        <f t="shared" si="1"/>
        <v>免征</v>
      </c>
      <c r="Q54" s="1278"/>
    </row>
    <row r="55" spans="1:17" ht="24" customHeight="1">
      <c r="A55" s="3415" t="s">
        <v>1742</v>
      </c>
      <c r="B55" s="3416"/>
      <c r="C55" s="3416"/>
      <c r="D55" s="12">
        <f>IF(H55="个人住宅",0,ROUND(D45*I55,0))</f>
        <v>0</v>
      </c>
      <c r="E55" s="2062" t="s">
        <v>1743</v>
      </c>
      <c r="F55" s="2545" t="str">
        <f>IF(H55="正常",I55,"免征")</f>
        <v>免征</v>
      </c>
      <c r="G55" s="2546"/>
      <c r="H55" s="2537" t="s">
        <v>2680</v>
      </c>
      <c r="I55" s="74">
        <f>'数据-取费表'!E37</f>
        <v>5.0000000000000001E-4</v>
      </c>
      <c r="J55" s="2825"/>
      <c r="K55" s="2506" t="str">
        <f>IF(H59="非个人房产","",4)</f>
        <v/>
      </c>
      <c r="L55" s="3485" t="str">
        <f>IF(H59="非个人房产","——","个人所得税")</f>
        <v>——</v>
      </c>
      <c r="M55" s="3485"/>
      <c r="N55" s="2511" t="str">
        <f>D59</f>
        <v>——</v>
      </c>
      <c r="O55" s="2512" t="str">
        <f>E59</f>
        <v>——</v>
      </c>
      <c r="P55" s="2513" t="str">
        <f>F59</f>
        <v>——</v>
      </c>
      <c r="Q55" s="1278"/>
    </row>
    <row r="56" spans="1:17" ht="24.75">
      <c r="A56" s="3415" t="s">
        <v>1745</v>
      </c>
      <c r="B56" s="3416"/>
      <c r="C56" s="3416"/>
      <c r="D56" s="12">
        <f>IF(H56="个人住宅",D57,D58)</f>
        <v>0</v>
      </c>
      <c r="E56" s="2062" t="s">
        <v>1746</v>
      </c>
      <c r="F56" s="2545" t="str">
        <f>IF(H56="正常",F58,"免征")</f>
        <v>免征</v>
      </c>
      <c r="G56" s="2547" t="s">
        <v>1747</v>
      </c>
      <c r="H56" s="2548" t="s">
        <v>2680</v>
      </c>
      <c r="I56" s="2952"/>
      <c r="J56" s="2825"/>
      <c r="K56" s="2506" t="str">
        <f>IF(项目基本情况!I6="上海银行",IF(K55="",4,K55+1),"")</f>
        <v/>
      </c>
      <c r="L56" s="3499" t="str">
        <f>IF(项目基本情况!I6="上海银行","其他处置费用","")</f>
        <v/>
      </c>
      <c r="M56" s="3500"/>
      <c r="N56" s="2508" t="str">
        <f>IF(项目基本情况!I6="上海银行",N69,"")</f>
        <v/>
      </c>
      <c r="O56" s="3499" t="str">
        <f>IF(项目基本情况!I6="上海银行","包含处置中涉及的律师、诉讼、拍卖、评估等费用","")</f>
        <v/>
      </c>
      <c r="P56" s="3511"/>
      <c r="Q56" s="1278"/>
    </row>
    <row r="57" spans="1:17" ht="12.75">
      <c r="A57" s="2052" t="s">
        <v>1722</v>
      </c>
      <c r="B57" s="3417" t="s">
        <v>1748</v>
      </c>
      <c r="C57" s="3456"/>
      <c r="D57" s="2538">
        <v>0</v>
      </c>
      <c r="E57" s="261" t="s">
        <v>1724</v>
      </c>
      <c r="F57" s="235"/>
      <c r="G57" s="2546"/>
      <c r="H57" s="2952"/>
      <c r="I57" s="2952"/>
      <c r="J57" s="2825"/>
      <c r="K57" s="3485">
        <f>IF(AND(K55="",K56=""),4,IF(项目基本情况!I6="上海银行",K56+1,K55+1))</f>
        <v>4</v>
      </c>
      <c r="L57" s="3485" t="s">
        <v>2700</v>
      </c>
      <c r="M57" s="2514" t="s">
        <v>2701</v>
      </c>
      <c r="N57" s="2515"/>
      <c r="O57" s="2516">
        <f ca="1">SUMIF(N52:N56,"&lt;9e307")</f>
        <v>10</v>
      </c>
      <c r="P57" s="2517"/>
      <c r="Q57" s="1276" t="e">
        <f ca="1">O57/N49</f>
        <v>#VALUE!</v>
      </c>
    </row>
    <row r="58" spans="1:17" ht="24.75">
      <c r="A58" s="2052" t="s">
        <v>1733</v>
      </c>
      <c r="B58" s="3417" t="s">
        <v>1751</v>
      </c>
      <c r="C58" s="3455"/>
      <c r="D58" s="12">
        <f ca="1">IF(H58="转让取得",C81,C97)</f>
        <v>105</v>
      </c>
      <c r="E58" s="2062" t="s">
        <v>1746</v>
      </c>
      <c r="F58" s="235" t="s">
        <v>48</v>
      </c>
      <c r="G58" s="2546"/>
      <c r="H58" s="2548" t="s">
        <v>1752</v>
      </c>
      <c r="I58" s="2952"/>
      <c r="J58" s="2825"/>
      <c r="K58" s="3485"/>
      <c r="L58" s="3485"/>
      <c r="M58" s="2514" t="s">
        <v>2702</v>
      </c>
      <c r="N58" s="2518"/>
      <c r="O58" s="2519" t="str">
        <f ca="1">IF(H19="元",NUMBERSTRING(INT(O57),2)&amp;"元整",NUMBERSTRING(INT(O57*10000),2)&amp;"元整")</f>
        <v>壹拾万元整</v>
      </c>
      <c r="P58" s="2520"/>
      <c r="Q58" s="1278"/>
    </row>
    <row r="59" spans="1:17" ht="24.75" thickBot="1">
      <c r="A59" s="3439" t="s">
        <v>1754</v>
      </c>
      <c r="B59" s="3440"/>
      <c r="C59" s="3440"/>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2755</v>
      </c>
      <c r="H59" s="2066" t="s">
        <v>2765</v>
      </c>
      <c r="I59" s="2854" t="s">
        <v>2766</v>
      </c>
      <c r="J59" s="2825"/>
      <c r="K59" s="3483">
        <f>K57+1</f>
        <v>5</v>
      </c>
      <c r="L59" s="3485" t="s">
        <v>2703</v>
      </c>
      <c r="M59" s="2506" t="s">
        <v>2701</v>
      </c>
      <c r="N59" s="2521"/>
      <c r="O59" s="2522" t="e">
        <f ca="1">N49-O57</f>
        <v>#VALUE!</v>
      </c>
      <c r="P59" s="2523"/>
      <c r="Q59" s="1278"/>
    </row>
    <row r="60" spans="1:17" ht="12" customHeight="1">
      <c r="A60" s="1427"/>
      <c r="B60" s="1431"/>
      <c r="C60" s="1431"/>
      <c r="D60" s="1431"/>
      <c r="E60" s="812"/>
      <c r="F60" s="2953"/>
      <c r="G60" s="2953"/>
      <c r="H60" s="2954"/>
      <c r="I60" s="31"/>
      <c r="K60" s="3484"/>
      <c r="L60" s="3485"/>
      <c r="M60" s="2514" t="s">
        <v>2702</v>
      </c>
      <c r="N60" s="2518"/>
      <c r="O60" s="2519" t="e">
        <f ca="1">IF(H19="元",NUMBERSTRING(INT(O59),2)&amp;"元整",NUMBERSTRING(INT(O59*10000),2)&amp;"元整")</f>
        <v>#VALUE!</v>
      </c>
      <c r="P60" s="2520"/>
      <c r="Q60" s="1278"/>
    </row>
    <row r="61" spans="1:17" ht="13.5" thickBot="1">
      <c r="A61" s="3465" t="s">
        <v>1756</v>
      </c>
      <c r="B61" s="3465"/>
      <c r="C61" s="3465"/>
      <c r="D61" s="3465"/>
      <c r="E61" s="3465"/>
      <c r="F61" s="2953"/>
      <c r="G61" s="2953"/>
      <c r="H61" s="2955"/>
      <c r="I61" s="31"/>
      <c r="K61" s="2506">
        <f>K59+1</f>
        <v>6</v>
      </c>
      <c r="L61" s="3485" t="s">
        <v>2704</v>
      </c>
      <c r="M61" s="3485"/>
      <c r="N61" s="2524"/>
      <c r="O61" s="2525" t="e">
        <f ca="1">IF(H19="元",ROUND(O59/项目基本情况!C12,0),ROUND(O59*10000/项目基本情况!C12,0))</f>
        <v>#VALUE!</v>
      </c>
      <c r="P61" s="2526"/>
      <c r="Q61" s="1278"/>
    </row>
    <row r="62" spans="1:17" ht="12.75">
      <c r="A62" s="3474" t="s">
        <v>1758</v>
      </c>
      <c r="B62" s="3475"/>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177</v>
      </c>
      <c r="D63" s="47"/>
      <c r="E63" s="48"/>
      <c r="F63" s="2953"/>
      <c r="G63" s="2953"/>
      <c r="H63" s="2955"/>
      <c r="I63" s="31"/>
      <c r="K63" s="3501" t="s">
        <v>2705</v>
      </c>
      <c r="L63" s="2528" t="s">
        <v>2706</v>
      </c>
      <c r="M63" s="2528" t="e">
        <f>IF(N49&gt;10000,N49*0.5%,IF(AND(N49&gt;1000,N49&lt;=10000),N49*1%,IF(AND(N49&gt;100,N49&lt;=1000),N49*3%,IF(AND(N49&gt;10,N49&lt;=100),N49*5%,N49*8%))))</f>
        <v>#VALUE!</v>
      </c>
      <c r="N63" s="2529" t="e">
        <f>ROUND(M63,1)</f>
        <v>#VALUE!</v>
      </c>
      <c r="O63" s="2527"/>
      <c r="P63" s="2527"/>
      <c r="Q63" s="1278"/>
    </row>
    <row r="64" spans="1:17" ht="12.75">
      <c r="A64" s="49" t="s">
        <v>71</v>
      </c>
      <c r="B64" s="50" t="s">
        <v>1764</v>
      </c>
      <c r="C64" s="2757">
        <f ca="1">D45</f>
        <v>186</v>
      </c>
      <c r="D64" s="50" t="s">
        <v>41</v>
      </c>
      <c r="E64" s="52"/>
      <c r="F64" s="2953"/>
      <c r="G64" s="2953"/>
      <c r="H64" s="2955"/>
      <c r="I64" s="31"/>
      <c r="K64" s="3501"/>
      <c r="L64" s="2528" t="s">
        <v>2707</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2708</v>
      </c>
      <c r="P64" s="2527"/>
      <c r="Q64" s="1278"/>
    </row>
    <row r="65" spans="1:36" ht="12.75">
      <c r="A65" s="49" t="s">
        <v>72</v>
      </c>
      <c r="B65" s="50" t="s">
        <v>1767</v>
      </c>
      <c r="C65" s="2758"/>
      <c r="D65" s="50"/>
      <c r="E65" s="52"/>
      <c r="F65" s="2953"/>
      <c r="G65" s="2953"/>
      <c r="H65" s="2955"/>
      <c r="I65" s="31"/>
      <c r="K65" s="3501"/>
      <c r="L65" s="2528" t="s">
        <v>2709</v>
      </c>
      <c r="M65" s="2528" t="e">
        <f>IF(N49&gt;1000,N49*0.1%,IF(AND(N49&gt;500,N49&lt;=1000),N49*0.5%,IF(AND(N49&gt;50,N49&lt;=500),N49*1%,IF(AND(N49&gt;1,N49&lt;=50),N49*1.5%))))</f>
        <v>#VALUE!</v>
      </c>
      <c r="N65" s="2529" t="e">
        <f t="shared" si="2"/>
        <v>#VALUE!</v>
      </c>
      <c r="O65" s="2527" t="s">
        <v>2708</v>
      </c>
      <c r="P65" s="2527"/>
      <c r="Q65" s="1278"/>
    </row>
    <row r="66" spans="1:36" ht="12.75">
      <c r="A66" s="53" t="s">
        <v>47</v>
      </c>
      <c r="B66" s="54" t="s">
        <v>1769</v>
      </c>
      <c r="C66" s="2759"/>
      <c r="D66" s="54" t="s">
        <v>41</v>
      </c>
      <c r="E66" s="1286" t="s">
        <v>1770</v>
      </c>
      <c r="F66" s="2953"/>
      <c r="G66" s="2953"/>
      <c r="H66" s="2955"/>
      <c r="I66" s="31"/>
      <c r="K66" s="3501"/>
      <c r="L66" s="2528" t="s">
        <v>2710</v>
      </c>
      <c r="M66" s="2528" t="e">
        <f>N49*0.5%</f>
        <v>#VALUE!</v>
      </c>
      <c r="N66" s="2529" t="e">
        <f>IF(M66&gt;0.5,0.5,ROUND(M66,0))</f>
        <v>#VALUE!</v>
      </c>
      <c r="O66" s="2527" t="s">
        <v>2711</v>
      </c>
      <c r="P66" s="2527"/>
      <c r="Q66" s="1278"/>
    </row>
    <row r="67" spans="1:36" ht="12.75">
      <c r="A67" s="53" t="s">
        <v>42</v>
      </c>
      <c r="B67" s="54" t="s">
        <v>1773</v>
      </c>
      <c r="C67" s="2760">
        <f ca="1">C63-C66</f>
        <v>177</v>
      </c>
      <c r="D67" s="50" t="s">
        <v>41</v>
      </c>
      <c r="E67" s="52"/>
      <c r="F67" s="2953"/>
      <c r="G67" s="2953"/>
      <c r="H67" s="2955"/>
      <c r="I67" s="31"/>
      <c r="K67" s="3501"/>
      <c r="L67" s="2528" t="s">
        <v>2712</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1775</v>
      </c>
      <c r="C68" s="2761">
        <f ca="1">IF(C67&lt;=0,0,ROUND(C67*D68,0))</f>
        <v>10</v>
      </c>
      <c r="D68" s="2212">
        <f>'数据-取费表'!E29</f>
        <v>5.6000000000000001E-2</v>
      </c>
      <c r="E68" s="57"/>
      <c r="F68" s="2953"/>
      <c r="G68" s="2953"/>
      <c r="H68" s="2955"/>
      <c r="I68" s="31"/>
      <c r="K68" s="3501"/>
      <c r="L68" s="2528" t="s">
        <v>2713</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501"/>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7" t="s">
        <v>1778</v>
      </c>
      <c r="B70" s="3478"/>
      <c r="C70" s="3478"/>
      <c r="D70" s="3478"/>
      <c r="E70" s="3478"/>
      <c r="F70" s="3478"/>
      <c r="G70" s="3478"/>
      <c r="H70" s="3478"/>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74" t="s">
        <v>1758</v>
      </c>
      <c r="B71" s="3475"/>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177</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1</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17" t="s">
        <v>1788</v>
      </c>
      <c r="F76" s="3455"/>
      <c r="G76" s="3455"/>
      <c r="H76" s="3469"/>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1</v>
      </c>
      <c r="D78" s="2769">
        <f>'数据-取费表'!E31</f>
        <v>6.000000000000001E-3</v>
      </c>
      <c r="E78" s="3449" t="s">
        <v>1793</v>
      </c>
      <c r="F78" s="3450"/>
      <c r="G78" s="3450"/>
      <c r="H78" s="3451"/>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176</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176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105</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7" t="s">
        <v>1797</v>
      </c>
      <c r="B83" s="3478"/>
      <c r="C83" s="3478"/>
      <c r="D83" s="3478"/>
      <c r="E83" s="3478"/>
      <c r="F83" s="3478"/>
      <c r="G83" s="3478"/>
      <c r="H83" s="3478"/>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74" t="s">
        <v>1758</v>
      </c>
      <c r="B84" s="3475"/>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177</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1</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2759</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510" t="s">
        <v>2675</v>
      </c>
      <c r="H90" s="3510"/>
      <c r="I90" s="9"/>
      <c r="J90" s="2828"/>
      <c r="K90" s="2944" t="s">
        <v>2760</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49" t="s">
        <v>1805</v>
      </c>
      <c r="F91" s="3450"/>
      <c r="G91" s="3450"/>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49" t="s">
        <v>1808</v>
      </c>
      <c r="F92" s="3450"/>
      <c r="G92" s="3450"/>
      <c r="H92" s="3451"/>
      <c r="I92" s="9"/>
      <c r="J92" s="2828"/>
      <c r="K92" s="2945" t="s">
        <v>2761</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1</v>
      </c>
      <c r="D93" s="2769">
        <f>'数据-取费表'!E31</f>
        <v>6.000000000000001E-3</v>
      </c>
      <c r="E93" s="3449" t="s">
        <v>1793</v>
      </c>
      <c r="F93" s="3450"/>
      <c r="G93" s="3450"/>
      <c r="H93" s="3451"/>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49" t="s">
        <v>1810</v>
      </c>
      <c r="F94" s="3450"/>
      <c r="G94" s="3450"/>
      <c r="H94" s="3451"/>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176</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176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105</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96" t="s">
        <v>1812</v>
      </c>
      <c r="B99" s="3497"/>
      <c r="C99" s="3497"/>
      <c r="D99" s="3498"/>
      <c r="E99" s="1431"/>
      <c r="F99" s="3505" t="s">
        <v>1813</v>
      </c>
      <c r="G99" s="3506"/>
      <c r="H99" s="3506"/>
      <c r="I99" s="3507"/>
      <c r="J99" s="2831"/>
    </row>
    <row r="100" spans="1:36" ht="15">
      <c r="A100" s="3508" t="s">
        <v>1814</v>
      </c>
      <c r="B100" s="3509"/>
      <c r="C100" s="1277" t="str">
        <f>C4</f>
        <v>比较法-办公</v>
      </c>
      <c r="D100" s="2779" t="str">
        <f>D4</f>
        <v>收益法</v>
      </c>
      <c r="E100" s="1431"/>
      <c r="F100" s="3420" t="s">
        <v>2719</v>
      </c>
      <c r="G100" s="3421"/>
      <c r="H100" s="3420" t="s">
        <v>2720</v>
      </c>
      <c r="I100" s="3419"/>
      <c r="J100" s="2832"/>
    </row>
    <row r="101" spans="1:36" ht="12.75">
      <c r="A101" s="3488" t="s">
        <v>2752</v>
      </c>
      <c r="B101" s="2277" t="str">
        <f>IF(H19="元","总价（元）","总价（万元）")</f>
        <v>总价（万元）</v>
      </c>
      <c r="C101" s="1277">
        <f ca="1">C19</f>
        <v>196</v>
      </c>
      <c r="D101" s="2779">
        <f ca="1">D19</f>
        <v>145</v>
      </c>
      <c r="E101" s="1431"/>
      <c r="F101" s="3420" t="str">
        <f>项目基本情况!I1</f>
        <v>北京市房地产</v>
      </c>
      <c r="G101" s="3421"/>
      <c r="H101" s="3418">
        <f>项目基本情况!C12</f>
        <v>63</v>
      </c>
      <c r="I101" s="3419"/>
      <c r="J101" s="2832"/>
    </row>
    <row r="102" spans="1:36" ht="12.75">
      <c r="A102" s="3488"/>
      <c r="B102" s="2277" t="s">
        <v>2753</v>
      </c>
      <c r="C102" s="2780">
        <f ca="1">C20</f>
        <v>31139</v>
      </c>
      <c r="D102" s="2781">
        <f ca="1">D20</f>
        <v>22941</v>
      </c>
      <c r="E102" s="1431"/>
      <c r="F102" s="3430" t="s">
        <v>2749</v>
      </c>
      <c r="G102" s="3431"/>
      <c r="H102" s="2789" t="str">
        <f>C106</f>
        <v>总价（万元）</v>
      </c>
      <c r="I102" s="2790">
        <f ca="1">H121</f>
        <v>186</v>
      </c>
      <c r="J102" s="2832"/>
    </row>
    <row r="103" spans="1:36" ht="12.75">
      <c r="A103" s="3488" t="s">
        <v>2754</v>
      </c>
      <c r="B103" s="2215" t="str">
        <f>B101</f>
        <v>总价（万元）</v>
      </c>
      <c r="C103" s="2784">
        <f ca="1">H121</f>
        <v>186</v>
      </c>
      <c r="D103" s="2782"/>
      <c r="E103" s="1431"/>
      <c r="F103" s="3430"/>
      <c r="G103" s="3431"/>
      <c r="H103" s="2789" t="s">
        <v>2722</v>
      </c>
      <c r="I103" s="52">
        <f ca="1">I121</f>
        <v>29524</v>
      </c>
      <c r="J103" s="2816"/>
    </row>
    <row r="104" spans="1:36" ht="13.5" thickBot="1">
      <c r="A104" s="3489"/>
      <c r="B104" s="2786" t="s">
        <v>2753</v>
      </c>
      <c r="C104" s="2787">
        <f ca="1">I121</f>
        <v>29524</v>
      </c>
      <c r="D104" s="2788"/>
      <c r="E104" s="1431"/>
      <c r="F104" s="3430"/>
      <c r="G104" s="3431"/>
      <c r="H104" s="3490"/>
      <c r="I104" s="3491"/>
      <c r="J104" s="2833"/>
    </row>
    <row r="105" spans="1:36" ht="15">
      <c r="A105" s="3496" t="s">
        <v>1815</v>
      </c>
      <c r="B105" s="3497"/>
      <c r="C105" s="3497"/>
      <c r="D105" s="3498"/>
      <c r="E105" s="1431"/>
      <c r="F105" s="3494" t="s">
        <v>2723</v>
      </c>
      <c r="G105" s="3495"/>
      <c r="H105" s="2791" t="str">
        <f>C108</f>
        <v>总额（万元）</v>
      </c>
      <c r="I105" s="2790">
        <f>SUMIF(I106:I108,"&lt;9E307")</f>
        <v>0</v>
      </c>
      <c r="J105" s="2832"/>
    </row>
    <row r="106" spans="1:36" ht="14.25">
      <c r="A106" s="3430" t="s">
        <v>2746</v>
      </c>
      <c r="B106" s="3431"/>
      <c r="C106" s="2789" t="str">
        <f>B101</f>
        <v>总价（万元）</v>
      </c>
      <c r="D106" s="2790">
        <f ca="1">H121</f>
        <v>186</v>
      </c>
      <c r="E106" s="1431"/>
      <c r="F106" s="3432" t="s">
        <v>2724</v>
      </c>
      <c r="G106" s="3433"/>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30"/>
      <c r="B107" s="3431"/>
      <c r="C107" s="2789" t="s">
        <v>2747</v>
      </c>
      <c r="D107" s="52">
        <f ca="1">I121</f>
        <v>29524</v>
      </c>
      <c r="E107" s="1431"/>
      <c r="F107" s="3432" t="s">
        <v>2725</v>
      </c>
      <c r="G107" s="3433"/>
      <c r="H107" s="2791" t="str">
        <f>C110</f>
        <v>总额（万元）</v>
      </c>
      <c r="I107" s="52">
        <f>C37</f>
        <v>0</v>
      </c>
      <c r="J107" s="2816"/>
    </row>
    <row r="108" spans="1:36" ht="12.75">
      <c r="A108" s="3437" t="s">
        <v>2723</v>
      </c>
      <c r="B108" s="3438"/>
      <c r="C108" s="2791" t="str">
        <f>IF(H19="元","总额（元）","总额（万元）")</f>
        <v>总额（万元）</v>
      </c>
      <c r="D108" s="2790">
        <f>IF(D36="正常操作",I106+I107+I108,I107+I108)</f>
        <v>0</v>
      </c>
      <c r="E108" s="1431"/>
      <c r="F108" s="3432" t="s">
        <v>2750</v>
      </c>
      <c r="G108" s="3433"/>
      <c r="H108" s="2791" t="str">
        <f>C111</f>
        <v>总额（万元）</v>
      </c>
      <c r="I108" s="52">
        <f>C38</f>
        <v>0</v>
      </c>
      <c r="J108" s="2816"/>
    </row>
    <row r="109" spans="1:36" ht="12.75">
      <c r="A109" s="3432" t="s">
        <v>2724</v>
      </c>
      <c r="B109" s="3433"/>
      <c r="C109" s="2791" t="str">
        <f>C108</f>
        <v>总额（万元）</v>
      </c>
      <c r="D109" s="52">
        <f>IF(D36="同一抵押权人同一抵押物续贷",C36&amp;"（未扣减，详见特别提示）",C36)</f>
        <v>0</v>
      </c>
      <c r="E109" s="1431"/>
      <c r="F109" s="3430"/>
      <c r="G109" s="3431"/>
      <c r="H109" s="3492"/>
      <c r="I109" s="3493"/>
      <c r="J109" s="2834"/>
    </row>
    <row r="110" spans="1:36" ht="28.5" customHeight="1">
      <c r="A110" s="3432" t="s">
        <v>2748</v>
      </c>
      <c r="B110" s="3433"/>
      <c r="C110" s="2791" t="str">
        <f>C108</f>
        <v>总额（万元）</v>
      </c>
      <c r="D110" s="52">
        <f>C37</f>
        <v>0</v>
      </c>
      <c r="E110" s="1431"/>
      <c r="F110" s="3422" t="str">
        <f>IF(项目基本情况!F5="已注销","——","3.房地产抵押价值")</f>
        <v>3.房地产抵押价值</v>
      </c>
      <c r="G110" s="3423"/>
      <c r="H110" s="2777" t="str">
        <f>C112</f>
        <v>总价（万元）</v>
      </c>
      <c r="I110" s="2790">
        <f ca="1">IF(F110="——","——",I102-I105)</f>
        <v>186</v>
      </c>
      <c r="J110" s="2832"/>
    </row>
    <row r="111" spans="1:36" ht="12.75">
      <c r="A111" s="3432" t="s">
        <v>2727</v>
      </c>
      <c r="B111" s="3433"/>
      <c r="C111" s="2791" t="str">
        <f>C108</f>
        <v>总额（万元）</v>
      </c>
      <c r="D111" s="52">
        <f>C38</f>
        <v>0</v>
      </c>
      <c r="E111" s="1431"/>
      <c r="F111" s="3521"/>
      <c r="G111" s="3522"/>
      <c r="H111" s="2789" t="s">
        <v>2722</v>
      </c>
      <c r="I111" s="2793">
        <f ca="1">D113</f>
        <v>29524</v>
      </c>
      <c r="J111" s="2835"/>
    </row>
    <row r="112" spans="1:36" ht="26.25" customHeight="1">
      <c r="A112" s="3430" t="str">
        <f>IF(项目基本情况!F5="已注销","——","3.房地产抵押价值")</f>
        <v>3.房地产抵押价值</v>
      </c>
      <c r="B112" s="3431"/>
      <c r="C112" s="2789" t="str">
        <f>B101</f>
        <v>总价（万元）</v>
      </c>
      <c r="D112" s="2790">
        <f ca="1">IF(A112="——","——",D106-D108)</f>
        <v>186</v>
      </c>
      <c r="E112" s="1431"/>
      <c r="F112" s="3422" t="str">
        <f>IF(项目基本情况!F5="已注销及未注销","4.抵押担保权已注销时的房地产抵押价值",IF(项目基本情况!F5="已注销","3.抵押担保权已注销时的房地产抵押价值","——"))</f>
        <v>——</v>
      </c>
      <c r="G112" s="3423"/>
      <c r="H112" s="2777" t="str">
        <f>C114</f>
        <v>总价（万元）</v>
      </c>
      <c r="I112" s="2790" t="str">
        <f>IF(F112="——","——",I102-I107-I108)</f>
        <v>——</v>
      </c>
      <c r="J112" s="2832"/>
    </row>
    <row r="113" spans="1:16" ht="12.75">
      <c r="A113" s="3430"/>
      <c r="B113" s="3431"/>
      <c r="C113" s="2789" t="s">
        <v>2715</v>
      </c>
      <c r="D113" s="52">
        <f ca="1">ROUND(IF(D112=D106,D107,IF(H19="元",D112/项目基本情况!C12,D112*10000/项目基本情况!C12)),0)</f>
        <v>29524</v>
      </c>
      <c r="E113" s="1431"/>
      <c r="F113" s="3521"/>
      <c r="G113" s="3522"/>
      <c r="H113" s="2789" t="s">
        <v>2751</v>
      </c>
      <c r="I113" s="52" t="str">
        <f>D115</f>
        <v>——</v>
      </c>
      <c r="J113" s="2816"/>
    </row>
    <row r="114" spans="1:16" ht="12.75">
      <c r="A114" s="3430" t="str">
        <f>IF(项目基本情况!F5="已注销及未注销","4.抵押担保权已注销时的房地产抵押价值",IF(项目基本情况!F5="已注销","3.抵押担保权已注销时的房地产抵押价值","——"))</f>
        <v>——</v>
      </c>
      <c r="B114" s="3431"/>
      <c r="C114" s="2789" t="str">
        <f>B101</f>
        <v>总价（万元）</v>
      </c>
      <c r="D114" s="2790" t="str">
        <f>IF(A114="——","——",D106-D110-D111)</f>
        <v>——</v>
      </c>
      <c r="E114" s="1431"/>
      <c r="F114" s="3422" t="str">
        <f>IF(项目基本情况!G5="抵押净值",IF(OR(项目基本情况!F5="已注销",项目基本情况!F5="房地产抵押价值"),"4.抵押净值","5.抵押净值"),"——")</f>
        <v>——</v>
      </c>
      <c r="G114" s="3423"/>
      <c r="H114" s="2789" t="str">
        <f>C116</f>
        <v>总价（万元）</v>
      </c>
      <c r="I114" s="2790" t="str">
        <f>IF(F114="——","——",O59)</f>
        <v>——</v>
      </c>
      <c r="J114" s="2832"/>
    </row>
    <row r="115" spans="1:16" ht="13.5" thickBot="1">
      <c r="A115" s="3430"/>
      <c r="B115" s="3431"/>
      <c r="C115" s="2789" t="s">
        <v>2715</v>
      </c>
      <c r="D115" s="52" t="str">
        <f>IF(A114="——","——",ROUND(IF(D114=D106,D107,IF(H19="元",D114/项目基本情况!C12,D114*10000/项目基本情况!C12)),0))</f>
        <v>——</v>
      </c>
      <c r="E115" s="1431"/>
      <c r="F115" s="3424"/>
      <c r="G115" s="3425"/>
      <c r="H115" s="2794" t="s">
        <v>2715</v>
      </c>
      <c r="I115" s="2778" t="str">
        <f ca="1">D117</f>
        <v>——</v>
      </c>
      <c r="J115" s="2816"/>
    </row>
    <row r="116" spans="1:16" ht="15.75">
      <c r="A116" s="3430" t="str">
        <f>IF(项目基本情况!G5="抵押净值",IF(OR(项目基本情况!F5="已注销",项目基本情况!F5="房地产抵押价值"),"4.抵押净值","5.抵押净值"),"——")</f>
        <v>——</v>
      </c>
      <c r="B116" s="3431"/>
      <c r="C116" s="2789" t="str">
        <f>B101</f>
        <v>总价（万元）</v>
      </c>
      <c r="D116" s="2790" t="str">
        <f>IF(A116="——","——",O59)</f>
        <v>——</v>
      </c>
      <c r="E116" s="1431"/>
      <c r="F116" s="3516"/>
      <c r="G116" s="3516"/>
      <c r="H116" s="3480"/>
      <c r="I116" s="3480"/>
      <c r="J116" s="2836"/>
      <c r="O116" s="32"/>
      <c r="P116" s="32"/>
    </row>
    <row r="117" spans="1:16" ht="13.5" thickBot="1">
      <c r="A117" s="3435"/>
      <c r="B117" s="3436"/>
      <c r="C117" s="2794" t="s">
        <v>2715</v>
      </c>
      <c r="D117" s="2778" t="str">
        <f ca="1">IF(D116=D112,D113,IF(A116="——","——",O61))</f>
        <v>——</v>
      </c>
      <c r="E117" s="1431"/>
      <c r="F117" s="3414" t="str">
        <f>IF(B32="总价","（以上估价结果中单价为总价除以建筑面积得出）","（以上估价结果中总价为楼面单价乘以建筑面积得出）")</f>
        <v>（以上估价结果中单价为总价除以建筑面积得出）</v>
      </c>
      <c r="G117" s="3414"/>
      <c r="H117" s="3414"/>
      <c r="I117" s="3414"/>
      <c r="J117" s="2837"/>
      <c r="O117" s="32"/>
      <c r="P117" s="32"/>
    </row>
    <row r="118" spans="1:16" ht="15">
      <c r="A118" s="3481" t="s">
        <v>1816</v>
      </c>
      <c r="B118" s="3482"/>
      <c r="C118" s="3482"/>
      <c r="D118" s="3482"/>
      <c r="E118" s="3482"/>
      <c r="F118" s="3482"/>
      <c r="G118" s="3482"/>
      <c r="H118" s="3482"/>
      <c r="I118" s="3482"/>
      <c r="J118" s="2838"/>
    </row>
    <row r="119" spans="1:16" ht="12.75">
      <c r="A119" s="3415" t="s">
        <v>2733</v>
      </c>
      <c r="B119" s="3441" t="s">
        <v>2743</v>
      </c>
      <c r="C119" s="3441" t="s">
        <v>2744</v>
      </c>
      <c r="D119" s="3503" t="s">
        <v>2735</v>
      </c>
      <c r="E119" s="3504"/>
      <c r="F119" s="3416" t="s">
        <v>2745</v>
      </c>
      <c r="G119" s="3416"/>
      <c r="H119" s="3416" t="s">
        <v>2736</v>
      </c>
      <c r="I119" s="3502"/>
      <c r="J119" s="2816"/>
    </row>
    <row r="120" spans="1:16" ht="12.75">
      <c r="A120" s="3415"/>
      <c r="B120" s="3442"/>
      <c r="C120" s="3442"/>
      <c r="D120" s="2062" t="s">
        <v>2737</v>
      </c>
      <c r="E120" s="2062" t="s">
        <v>2742</v>
      </c>
      <c r="F120" s="2062" t="s">
        <v>2737</v>
      </c>
      <c r="G120" s="2062" t="s">
        <v>2738</v>
      </c>
      <c r="H120" s="2062" t="s">
        <v>2737</v>
      </c>
      <c r="I120" s="52" t="s">
        <v>2738</v>
      </c>
      <c r="J120" s="2816"/>
    </row>
    <row r="121" spans="1:16" ht="12.75">
      <c r="A121" s="2052" t="str">
        <f>项目基本情况!I1</f>
        <v>北京市房地产</v>
      </c>
      <c r="B121" s="2062">
        <f>项目基本情况!C12</f>
        <v>63</v>
      </c>
      <c r="C121" s="2062">
        <f>项目基本情况!C13</f>
        <v>0</v>
      </c>
      <c r="D121" s="2062">
        <f ca="1">ROUND(IF(B32="总价",C34,IF('数据-取费表'!B3="万元",E121*B121/10000,E121*B121)),0)</f>
        <v>186</v>
      </c>
      <c r="E121" s="2062">
        <f ca="1">ROUND(IF(B32="楼面单价",C34,IF(H19="元",D121/B121,D121*10000/B121)),0)</f>
        <v>29524</v>
      </c>
      <c r="F121" s="2062">
        <f ca="1">ROUND(IF(B32="总价",C35,IF('数据-取费表'!B3="万元",G121*B121/10000,G121*B121)),0)</f>
        <v>0</v>
      </c>
      <c r="G121" s="2062">
        <f ca="1">ROUND(IF(B32="楼面单价",C35,IF(H19="元",F121/B121,F121*10000/B121)),0)</f>
        <v>0</v>
      </c>
      <c r="H121" s="2062">
        <f ca="1">ROUND(IF(B32="总价",C32,IF('数据-取费表'!B3="万元",I121*B121/10000,I121*B121)),0)</f>
        <v>186</v>
      </c>
      <c r="I121" s="52">
        <f ca="1">ROUND(IF(B32="楼面单价",C32,IF(H19="元",H121/B121,H121*10000/B121)),0)</f>
        <v>29524</v>
      </c>
      <c r="J121" s="2816"/>
    </row>
    <row r="122" spans="1:16" ht="12.75">
      <c r="A122" s="3415" t="s">
        <v>2739</v>
      </c>
      <c r="B122" s="3416"/>
      <c r="C122" s="3416"/>
      <c r="D122" s="3443" t="str">
        <f ca="1">IF(H19="元",NUMBERSTRING(INT(D121),2)&amp;"元整",NUMBERSTRING(INT(D121*10000),2)&amp;"元整")</f>
        <v>壹佰捌拾陆万元整</v>
      </c>
      <c r="E122" s="3486"/>
      <c r="F122" s="3443" t="str">
        <f ca="1">IF(H19="元",NUMBERSTRING(INT(F121),2)&amp;"元整",NUMBERSTRING(INT(F121*10000),2)&amp;"元整")</f>
        <v>零元整</v>
      </c>
      <c r="G122" s="3486"/>
      <c r="H122" s="3443" t="str">
        <f ca="1">IF(H19="元",NUMBERSTRING(INT(H121),2)&amp;"元整",NUMBERSTRING(INT(H121*10000),2)&amp;"元整")</f>
        <v>壹佰捌拾陆万元整</v>
      </c>
      <c r="I122" s="3444"/>
      <c r="J122" s="2839"/>
    </row>
    <row r="123" spans="1:16" ht="12.75">
      <c r="A123" s="3420" t="str">
        <f>IF(项目基本情况!D5="房地产市场价值","——",MID(A108,3,LEN(A108)-2))</f>
        <v>估价师所知悉的法定优先受偿款</v>
      </c>
      <c r="B123" s="3426"/>
      <c r="C123" s="3421"/>
      <c r="D123" s="3418">
        <f>I105</f>
        <v>0</v>
      </c>
      <c r="E123" s="3426"/>
      <c r="F123" s="3426"/>
      <c r="G123" s="3426"/>
      <c r="H123" s="3426"/>
      <c r="I123" s="3419"/>
      <c r="J123" s="2832"/>
    </row>
    <row r="124" spans="1:16" ht="12.75">
      <c r="A124" s="3487" t="s">
        <v>2739</v>
      </c>
      <c r="B124" s="3455"/>
      <c r="C124" s="3456"/>
      <c r="D124" s="3427">
        <f>H109</f>
        <v>0</v>
      </c>
      <c r="E124" s="3428"/>
      <c r="F124" s="3428"/>
      <c r="G124" s="3428"/>
      <c r="H124" s="3428"/>
      <c r="I124" s="3429"/>
      <c r="J124" s="2840"/>
    </row>
    <row r="125" spans="1:16" ht="12.75">
      <c r="A125" s="3430" t="str">
        <f>IF(项目基本情况!D5="房地产市场价值","——",MID(A112,3,LEN(A112)-2))</f>
        <v>房地产抵押价值</v>
      </c>
      <c r="B125" s="3431"/>
      <c r="C125" s="3431"/>
      <c r="D125" s="3418">
        <f ca="1">I110</f>
        <v>186</v>
      </c>
      <c r="E125" s="3426"/>
      <c r="F125" s="3426"/>
      <c r="G125" s="3426"/>
      <c r="H125" s="3426"/>
      <c r="I125" s="3419"/>
      <c r="J125" s="2832"/>
    </row>
    <row r="126" spans="1:16" ht="12.75">
      <c r="A126" s="3415" t="s">
        <v>2739</v>
      </c>
      <c r="B126" s="3416"/>
      <c r="C126" s="3416"/>
      <c r="D126" s="3427">
        <f ca="1">I111</f>
        <v>29524</v>
      </c>
      <c r="E126" s="3428"/>
      <c r="F126" s="3428"/>
      <c r="G126" s="3428"/>
      <c r="H126" s="3428"/>
      <c r="I126" s="3429"/>
      <c r="J126" s="2840"/>
    </row>
    <row r="127" spans="1:16" ht="13.5" thickBot="1">
      <c r="A127" s="3430" t="str">
        <f>IF(项目基本情况!D5="房地产市场价值","——",MID(A114,3,LEN(A114)-2))</f>
        <v/>
      </c>
      <c r="B127" s="3431"/>
      <c r="C127" s="3431"/>
      <c r="D127" s="3463" t="str">
        <f>I112</f>
        <v>——</v>
      </c>
      <c r="E127" s="3464"/>
      <c r="F127" s="3464"/>
      <c r="G127" s="3464"/>
      <c r="H127" s="3464"/>
      <c r="I127" s="3515"/>
      <c r="J127" s="2832"/>
    </row>
    <row r="128" spans="1:16" ht="14.25" thickTop="1" thickBot="1">
      <c r="A128" s="3415" t="s">
        <v>2739</v>
      </c>
      <c r="B128" s="3416"/>
      <c r="C128" s="3417"/>
      <c r="D128" s="3479" t="str">
        <f>I113</f>
        <v>——</v>
      </c>
      <c r="E128" s="3479"/>
      <c r="F128" s="3479"/>
      <c r="G128" s="3479"/>
      <c r="H128" s="3479"/>
      <c r="I128" s="3479"/>
      <c r="J128" s="2840"/>
    </row>
    <row r="129" spans="1:10" ht="14.25" thickTop="1" thickBot="1">
      <c r="A129" s="3430" t="str">
        <f>IF(项目基本情况!D5="房地产市场价值","——",MID(F114,3,LEN(F114)-2))</f>
        <v/>
      </c>
      <c r="B129" s="3431"/>
      <c r="C129" s="3418"/>
      <c r="D129" s="3434" t="str">
        <f>I114</f>
        <v>——</v>
      </c>
      <c r="E129" s="3434"/>
      <c r="F129" s="3434"/>
      <c r="G129" s="3434"/>
      <c r="H129" s="3434"/>
      <c r="I129" s="3434"/>
      <c r="J129" s="2832"/>
    </row>
    <row r="130" spans="1:10" ht="14.25" thickTop="1" thickBot="1">
      <c r="A130" s="3439" t="s">
        <v>2739</v>
      </c>
      <c r="B130" s="3440"/>
      <c r="C130" s="3440"/>
      <c r="D130" s="3445">
        <f>H116</f>
        <v>0</v>
      </c>
      <c r="E130" s="3446"/>
      <c r="F130" s="3446"/>
      <c r="G130" s="3446"/>
      <c r="H130" s="3446"/>
      <c r="I130" s="3447"/>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413" t="str">
        <f>IF(B32="总价","（以上估价结果中楼面单价为总价除以建筑面积得出）","（以上估价结果中总价为楼面单价乘以建筑面积得出）")</f>
        <v>（以上估价结果中楼面单价为总价除以建筑面积得出）</v>
      </c>
      <c r="B132" s="3413"/>
      <c r="C132" s="3413"/>
      <c r="D132" s="3413"/>
      <c r="E132" s="3413"/>
      <c r="F132" s="3413"/>
      <c r="G132" s="3413"/>
      <c r="H132" s="3413"/>
      <c r="I132" s="3413"/>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47" t="s">
        <v>1825</v>
      </c>
      <c r="B2" s="3547"/>
      <c r="C2" s="3547"/>
      <c r="D2" s="3547"/>
      <c r="E2" s="3547"/>
      <c r="F2" s="3547"/>
      <c r="G2" s="3547"/>
      <c r="H2" s="3547"/>
      <c r="I2" s="3547"/>
      <c r="J2" s="2845"/>
    </row>
    <row r="3" spans="1:15" ht="12.75">
      <c r="A3" s="3471" t="s">
        <v>1653</v>
      </c>
      <c r="B3" s="3472"/>
      <c r="C3" s="3472"/>
      <c r="D3" s="3472"/>
      <c r="E3" s="3472"/>
      <c r="F3" s="3472"/>
      <c r="G3" s="3472"/>
      <c r="H3" s="3472"/>
      <c r="I3" s="3472"/>
      <c r="J3" s="2815"/>
    </row>
    <row r="4" spans="1:15" ht="14.25">
      <c r="A4" s="2683" t="s">
        <v>1654</v>
      </c>
      <c r="B4" s="2683" t="s">
        <v>1655</v>
      </c>
      <c r="C4" s="2684"/>
      <c r="D4" s="2684"/>
      <c r="E4" s="3417" t="s">
        <v>1826</v>
      </c>
      <c r="F4" s="3455"/>
      <c r="G4" s="3455"/>
      <c r="H4" s="3455"/>
      <c r="I4" s="3456"/>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48" t="s">
        <v>1657</v>
      </c>
      <c r="B5" s="3448">
        <v>25</v>
      </c>
      <c r="C5" s="3457"/>
      <c r="D5" s="3470"/>
      <c r="E5" s="12" t="s">
        <v>1658</v>
      </c>
      <c r="F5" s="2059"/>
      <c r="G5" s="2059"/>
      <c r="H5" s="2059"/>
      <c r="I5" s="2054"/>
      <c r="J5" s="2816"/>
    </row>
    <row r="6" spans="1:15" ht="12.75">
      <c r="A6" s="3448"/>
      <c r="B6" s="3448"/>
      <c r="C6" s="3473"/>
      <c r="D6" s="3470"/>
      <c r="E6" s="12" t="s">
        <v>1659</v>
      </c>
      <c r="F6" s="2059"/>
      <c r="G6" s="2059"/>
      <c r="H6" s="2059"/>
      <c r="I6" s="2054"/>
      <c r="J6" s="2816"/>
    </row>
    <row r="7" spans="1:15" ht="12.75">
      <c r="A7" s="3448"/>
      <c r="B7" s="3448"/>
      <c r="C7" s="3458"/>
      <c r="D7" s="3470"/>
      <c r="E7" s="12" t="s">
        <v>1660</v>
      </c>
      <c r="F7" s="2059"/>
      <c r="G7" s="2059"/>
      <c r="H7" s="2059"/>
      <c r="I7" s="2054"/>
      <c r="J7" s="2816"/>
    </row>
    <row r="8" spans="1:15" ht="12.75">
      <c r="A8" s="3448" t="s">
        <v>1661</v>
      </c>
      <c r="B8" s="3448">
        <v>15</v>
      </c>
      <c r="C8" s="3457"/>
      <c r="D8" s="3470"/>
      <c r="E8" s="12" t="s">
        <v>1662</v>
      </c>
      <c r="F8" s="2059"/>
      <c r="G8" s="2059"/>
      <c r="H8" s="2059"/>
      <c r="I8" s="2054"/>
      <c r="J8" s="2816"/>
    </row>
    <row r="9" spans="1:15" ht="12.75">
      <c r="A9" s="3448"/>
      <c r="B9" s="3448"/>
      <c r="C9" s="3458"/>
      <c r="D9" s="3470"/>
      <c r="E9" s="12" t="s">
        <v>1663</v>
      </c>
      <c r="F9" s="2059"/>
      <c r="G9" s="2059"/>
      <c r="H9" s="2059"/>
      <c r="I9" s="2054"/>
      <c r="J9" s="2816"/>
    </row>
    <row r="10" spans="1:15" ht="12.75">
      <c r="A10" s="3448" t="s">
        <v>1664</v>
      </c>
      <c r="B10" s="3448">
        <v>15</v>
      </c>
      <c r="C10" s="3457"/>
      <c r="D10" s="3470"/>
      <c r="E10" s="12" t="s">
        <v>1665</v>
      </c>
      <c r="F10" s="2059"/>
      <c r="G10" s="2059"/>
      <c r="H10" s="2059"/>
      <c r="I10" s="2054"/>
      <c r="J10" s="2816"/>
    </row>
    <row r="11" spans="1:15" ht="12.75">
      <c r="A11" s="3448"/>
      <c r="B11" s="3448"/>
      <c r="C11" s="3458"/>
      <c r="D11" s="3470"/>
      <c r="E11" s="12" t="s">
        <v>1666</v>
      </c>
      <c r="F11" s="2059"/>
      <c r="G11" s="2059"/>
      <c r="H11" s="2059"/>
      <c r="I11" s="2054"/>
      <c r="J11" s="2816"/>
    </row>
    <row r="12" spans="1:15" ht="12.75">
      <c r="A12" s="3448" t="s">
        <v>1667</v>
      </c>
      <c r="B12" s="3448">
        <v>15</v>
      </c>
      <c r="C12" s="3457"/>
      <c r="D12" s="3470"/>
      <c r="E12" s="12" t="s">
        <v>1668</v>
      </c>
      <c r="F12" s="2059"/>
      <c r="G12" s="2059"/>
      <c r="H12" s="2059"/>
      <c r="I12" s="2054"/>
      <c r="J12" s="2816"/>
    </row>
    <row r="13" spans="1:15" ht="12.75">
      <c r="A13" s="3448"/>
      <c r="B13" s="3448"/>
      <c r="C13" s="3458"/>
      <c r="D13" s="3470"/>
      <c r="E13" s="12" t="s">
        <v>1669</v>
      </c>
      <c r="F13" s="2059"/>
      <c r="G13" s="2059"/>
      <c r="H13" s="2059"/>
      <c r="I13" s="2054"/>
      <c r="J13" s="2816"/>
    </row>
    <row r="14" spans="1:15" ht="12.75">
      <c r="A14" s="3448" t="s">
        <v>1670</v>
      </c>
      <c r="B14" s="3448">
        <v>30</v>
      </c>
      <c r="C14" s="3457"/>
      <c r="D14" s="3470"/>
      <c r="E14" s="12" t="s">
        <v>1671</v>
      </c>
      <c r="F14" s="2059"/>
      <c r="G14" s="2059"/>
      <c r="H14" s="2059"/>
      <c r="I14" s="2054"/>
      <c r="J14" s="2816"/>
    </row>
    <row r="15" spans="1:15" ht="12.75">
      <c r="A15" s="3448"/>
      <c r="B15" s="3448"/>
      <c r="C15" s="3473"/>
      <c r="D15" s="3470"/>
      <c r="E15" s="12" t="s">
        <v>1672</v>
      </c>
      <c r="F15" s="2059"/>
      <c r="G15" s="2059"/>
      <c r="H15" s="2059"/>
      <c r="I15" s="2054"/>
      <c r="J15" s="2816"/>
    </row>
    <row r="16" spans="1:15" ht="12.75">
      <c r="A16" s="3448"/>
      <c r="B16" s="3448"/>
      <c r="C16" s="3458"/>
      <c r="D16" s="3470"/>
      <c r="E16" s="12" t="s">
        <v>1673</v>
      </c>
      <c r="F16" s="2059"/>
      <c r="G16" s="2059"/>
      <c r="H16" s="2059"/>
      <c r="I16" s="2054"/>
      <c r="J16" s="2816"/>
    </row>
    <row r="17" spans="1:36" ht="15">
      <c r="A17" s="2685" t="s">
        <v>1674</v>
      </c>
      <c r="B17" s="2064"/>
      <c r="C17" s="2686">
        <f>SUM(C5:C16)</f>
        <v>0</v>
      </c>
      <c r="D17" s="2686">
        <f>SUM(D5:D16)</f>
        <v>0</v>
      </c>
      <c r="E17" s="2533"/>
      <c r="F17" s="2533"/>
      <c r="G17" s="2533"/>
      <c r="H17" s="2533"/>
      <c r="I17" s="2533"/>
      <c r="J17" s="2817"/>
    </row>
    <row r="18" spans="1:36" ht="32.450000000000003" customHeight="1" thickBot="1">
      <c r="A18" s="2687" t="s">
        <v>1675</v>
      </c>
      <c r="B18" s="2688"/>
      <c r="C18" s="2689" t="e">
        <f>ROUND(C17/SUM(C17:D17),2)</f>
        <v>#DIV/0!</v>
      </c>
      <c r="D18" s="2689" t="e">
        <f>1-C18</f>
        <v>#DIV/0!</v>
      </c>
      <c r="E18" s="3466" t="s">
        <v>2758</v>
      </c>
      <c r="F18" s="3467"/>
      <c r="G18" s="3467"/>
      <c r="H18" s="3467"/>
      <c r="I18" s="3467"/>
      <c r="J18" s="2817"/>
    </row>
    <row r="19" spans="1:36" ht="15">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5">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9" t="s">
        <v>1682</v>
      </c>
      <c r="B24" s="2691" t="s">
        <v>1677</v>
      </c>
      <c r="C24" s="2694">
        <f>D30</f>
        <v>0</v>
      </c>
      <c r="D24" s="2646"/>
      <c r="E24" s="947"/>
      <c r="F24" s="947"/>
      <c r="G24" s="947"/>
      <c r="H24" s="947"/>
      <c r="I24" s="947"/>
      <c r="J24" s="2817"/>
    </row>
    <row r="25" spans="1:36" ht="21.75" customHeight="1">
      <c r="A25" s="3476"/>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2762</v>
      </c>
      <c r="F30" s="2533"/>
      <c r="G30" s="2533"/>
      <c r="H30" s="2533"/>
      <c r="I30" s="2533"/>
      <c r="J30" s="2817"/>
    </row>
    <row r="31" spans="1:36" s="2810" customFormat="1" ht="27.6" customHeight="1" thickTop="1" thickBot="1">
      <c r="A31" s="2805"/>
      <c r="B31" s="2806"/>
      <c r="C31" s="2806"/>
      <c r="D31" s="2806"/>
      <c r="E31" s="2806"/>
      <c r="F31" s="2806"/>
      <c r="G31" s="2806"/>
      <c r="H31" s="2806"/>
      <c r="I31" s="2807" t="s">
        <v>2763</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24" t="s">
        <v>1829</v>
      </c>
      <c r="B32" s="3524"/>
      <c r="C32" s="3524"/>
      <c r="D32" s="3524"/>
      <c r="E32" s="3524"/>
      <c r="F32" s="3524"/>
      <c r="G32" s="3524"/>
      <c r="H32" s="3524"/>
      <c r="I32" s="3524"/>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万元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万元</v>
      </c>
      <c r="E36" s="947"/>
      <c r="F36" s="947"/>
      <c r="G36" s="947"/>
      <c r="H36" s="947"/>
      <c r="I36" s="947"/>
      <c r="J36" s="2817"/>
    </row>
    <row r="37" spans="1:16" ht="15.75" thickBot="1">
      <c r="A37" s="1437"/>
      <c r="B37" s="1439" t="s">
        <v>1837</v>
      </c>
      <c r="C37" s="2753">
        <f>IF('数据-取费表'!B3="万元",典型户型修正!Y25,典型户型修正!X25)</f>
        <v>0</v>
      </c>
      <c r="D37" s="2533" t="str">
        <f>D34</f>
        <v>万元</v>
      </c>
      <c r="E37" s="947"/>
      <c r="F37" s="947"/>
      <c r="G37" s="947"/>
      <c r="H37" s="947"/>
      <c r="I37" s="947"/>
      <c r="J37" s="2817"/>
    </row>
    <row r="38" spans="1:16" ht="15.75" thickBot="1">
      <c r="A38" s="3459" t="s">
        <v>1838</v>
      </c>
      <c r="B38" s="1438" t="s">
        <v>1839</v>
      </c>
      <c r="C38" s="2727"/>
      <c r="D38" s="2728"/>
      <c r="E38" s="1650"/>
      <c r="F38" s="1650"/>
      <c r="G38" s="947"/>
      <c r="H38" s="947"/>
      <c r="I38" s="947"/>
      <c r="J38" s="2817"/>
    </row>
    <row r="39" spans="1:16" ht="15.75" thickBot="1">
      <c r="A39" s="3460"/>
      <c r="B39" s="2064" t="s">
        <v>1840</v>
      </c>
      <c r="C39" s="2729"/>
      <c r="D39" s="1281"/>
      <c r="E39" s="1281"/>
      <c r="F39" s="1650"/>
      <c r="G39" s="1281"/>
      <c r="H39" s="1281"/>
      <c r="I39" s="1281"/>
      <c r="J39" s="2821"/>
    </row>
    <row r="40" spans="1:16" ht="15.75" thickBot="1">
      <c r="A40" s="3461"/>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2757</v>
      </c>
      <c r="J46" s="2847"/>
      <c r="K46" s="1445" t="s">
        <v>1705</v>
      </c>
      <c r="L46" s="1446"/>
      <c r="M46" s="1446"/>
      <c r="N46" s="1446"/>
      <c r="O46" s="1446"/>
      <c r="P46" s="1446"/>
    </row>
    <row r="47" spans="1:16" ht="14.25" customHeight="1" thickBot="1">
      <c r="A47" s="3463" t="s">
        <v>1851</v>
      </c>
      <c r="B47" s="3464"/>
      <c r="C47" s="3423"/>
      <c r="D47" s="246">
        <f>ROUND(I104*F47,0)</f>
        <v>0</v>
      </c>
      <c r="E47" s="1512" t="s">
        <v>1852</v>
      </c>
      <c r="F47" s="2531">
        <v>1</v>
      </c>
      <c r="G47" s="2532" t="s">
        <v>1853</v>
      </c>
      <c r="H47" s="947"/>
      <c r="I47" s="947"/>
      <c r="J47" s="2817"/>
      <c r="K47" s="3549" t="s">
        <v>1709</v>
      </c>
      <c r="L47" s="3549"/>
      <c r="M47" s="3549"/>
      <c r="N47" s="3549"/>
      <c r="O47" s="3549"/>
      <c r="P47" s="3549"/>
    </row>
    <row r="48" spans="1:16" ht="14.25" customHeight="1">
      <c r="A48" s="3452" t="s">
        <v>1710</v>
      </c>
      <c r="B48" s="3453"/>
      <c r="C48" s="3453"/>
      <c r="D48" s="3453"/>
      <c r="E48" s="3453"/>
      <c r="F48" s="3453"/>
      <c r="G48" s="3454"/>
      <c r="H48" s="2949"/>
      <c r="I48" s="947"/>
      <c r="J48" s="2817"/>
      <c r="K48" s="2483">
        <v>1</v>
      </c>
      <c r="L48" s="3544" t="s">
        <v>1711</v>
      </c>
      <c r="M48" s="3544"/>
      <c r="N48" s="3550"/>
      <c r="O48" s="3550"/>
      <c r="P48" s="3550"/>
    </row>
    <row r="49" spans="1:17" ht="12" customHeight="1">
      <c r="A49" s="38" t="s">
        <v>1712</v>
      </c>
      <c r="B49" s="39"/>
      <c r="C49" s="40"/>
      <c r="D49" s="1070" t="s">
        <v>1713</v>
      </c>
      <c r="E49" s="235" t="s">
        <v>1714</v>
      </c>
      <c r="F49" s="41" t="s">
        <v>1715</v>
      </c>
      <c r="G49" s="2534" t="s">
        <v>1716</v>
      </c>
      <c r="H49" s="2949"/>
      <c r="I49" s="947"/>
      <c r="J49" s="2817"/>
      <c r="K49" s="2483">
        <v>2</v>
      </c>
      <c r="L49" s="3544" t="s">
        <v>1717</v>
      </c>
      <c r="M49" s="3544"/>
      <c r="N49" s="3551">
        <f>'数据-取费表'!B2</f>
        <v>44610</v>
      </c>
      <c r="O49" s="3551"/>
      <c r="P49" s="3551"/>
    </row>
    <row r="50" spans="1:17" ht="25.5">
      <c r="A50" s="3462" t="s">
        <v>1718</v>
      </c>
      <c r="B50" s="3416"/>
      <c r="C50" s="3416"/>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9"/>
      <c r="J50" s="2824"/>
      <c r="K50" s="2483">
        <v>3</v>
      </c>
      <c r="L50" s="3544" t="s">
        <v>1721</v>
      </c>
      <c r="M50" s="3544"/>
      <c r="N50" s="3545">
        <f>I104</f>
        <v>0</v>
      </c>
      <c r="O50" s="3545"/>
      <c r="P50" s="3545"/>
    </row>
    <row r="51" spans="1:17" ht="25.5" customHeight="1">
      <c r="A51" s="2061" t="s">
        <v>1722</v>
      </c>
      <c r="B51" s="3455" t="s">
        <v>1723</v>
      </c>
      <c r="C51" s="3455"/>
      <c r="D51" s="2538">
        <v>0</v>
      </c>
      <c r="E51" s="261" t="s">
        <v>1724</v>
      </c>
      <c r="F51" s="2539" t="s">
        <v>48</v>
      </c>
      <c r="G51" s="3512"/>
      <c r="H51" s="2540" t="s">
        <v>2682</v>
      </c>
      <c r="I51" s="2541"/>
      <c r="J51" s="2825"/>
      <c r="K51" s="2483">
        <v>4</v>
      </c>
      <c r="L51" s="3544" t="str">
        <f>IF(项目基本情况!F5="房地产抵押价值","房地产抵押价值","抵押担保权已注销时的房地产抵押价值")</f>
        <v>抵押担保权已注销时的房地产抵押价值</v>
      </c>
      <c r="M51" s="3544"/>
      <c r="N51" s="3545" t="str">
        <f>IF(项目基本情况!F5="房地产抵押价值",I112,I114)</f>
        <v>——</v>
      </c>
      <c r="O51" s="3545"/>
      <c r="P51" s="3545"/>
    </row>
    <row r="52" spans="1:17" ht="25.5" customHeight="1">
      <c r="A52" s="2051"/>
      <c r="B52" s="3455" t="s">
        <v>1725</v>
      </c>
      <c r="C52" s="3455"/>
      <c r="D52" s="2542"/>
      <c r="E52" s="269"/>
      <c r="F52" s="2539"/>
      <c r="G52" s="3513"/>
      <c r="H52" s="2543" t="s">
        <v>2683</v>
      </c>
      <c r="I52" s="2541"/>
      <c r="J52" s="2825"/>
      <c r="K52" s="3544" t="s">
        <v>1726</v>
      </c>
      <c r="L52" s="3544"/>
      <c r="M52" s="3544"/>
      <c r="N52" s="3544"/>
      <c r="O52" s="3544"/>
      <c r="P52" s="3544"/>
    </row>
    <row r="53" spans="1:17" ht="20.45" customHeight="1">
      <c r="A53" s="2544"/>
      <c r="B53" s="3455" t="s">
        <v>1727</v>
      </c>
      <c r="C53" s="3455"/>
      <c r="D53" s="1070"/>
      <c r="E53" s="264"/>
      <c r="F53" s="2539"/>
      <c r="G53" s="3514"/>
      <c r="H53" s="2543" t="s">
        <v>2684</v>
      </c>
      <c r="I53" s="2541"/>
      <c r="J53" s="2825"/>
      <c r="K53" s="2484" t="s">
        <v>1728</v>
      </c>
      <c r="L53" s="3544" t="s">
        <v>1729</v>
      </c>
      <c r="M53" s="3544"/>
      <c r="N53" s="2484" t="s">
        <v>1730</v>
      </c>
      <c r="O53" s="2484" t="s">
        <v>1731</v>
      </c>
      <c r="P53" s="2484" t="s">
        <v>1732</v>
      </c>
    </row>
    <row r="54" spans="1:17" ht="24" customHeight="1">
      <c r="A54" s="2052" t="s">
        <v>1733</v>
      </c>
      <c r="B54" s="3455" t="s">
        <v>1734</v>
      </c>
      <c r="C54" s="3455"/>
      <c r="D54" s="1070">
        <f>ROUND(D47*'数据-取费表'!E29/(1+'数据-取费表'!F30),0)</f>
        <v>0</v>
      </c>
      <c r="E54" s="2062" t="s">
        <v>1735</v>
      </c>
      <c r="F54" s="2545">
        <f>'数据-取费表'!E29</f>
        <v>5.6000000000000001E-2</v>
      </c>
      <c r="G54" s="2546"/>
      <c r="H54" s="947"/>
      <c r="I54" s="2950"/>
      <c r="J54" s="2825"/>
      <c r="K54" s="2483">
        <v>1</v>
      </c>
      <c r="L54" s="3540" t="s">
        <v>1736</v>
      </c>
      <c r="M54" s="3540"/>
      <c r="N54" s="2485">
        <f>D50</f>
        <v>0</v>
      </c>
      <c r="O54" s="2483" t="str">
        <f>E50</f>
        <v>销售额×税（费）率</v>
      </c>
      <c r="P54" s="2486">
        <f>F50</f>
        <v>5.6000000000000001E-2</v>
      </c>
    </row>
    <row r="55" spans="1:17" ht="12" customHeight="1">
      <c r="A55" s="2052" t="s">
        <v>1737</v>
      </c>
      <c r="B55" s="3417" t="s">
        <v>2776</v>
      </c>
      <c r="C55" s="3456"/>
      <c r="D55" s="1070">
        <f>ROUND(D47*'数据-取费表'!E29/(1+'数据-取费表'!F30),0)</f>
        <v>0</v>
      </c>
      <c r="E55" s="2062" t="s">
        <v>1735</v>
      </c>
      <c r="F55" s="2545">
        <f>'数据-取费表'!E29</f>
        <v>5.6000000000000001E-2</v>
      </c>
      <c r="G55" s="2546"/>
      <c r="H55" s="947"/>
      <c r="I55" s="2950"/>
      <c r="J55" s="2825"/>
      <c r="K55" s="2483">
        <v>2</v>
      </c>
      <c r="L55" s="3540" t="s">
        <v>1738</v>
      </c>
      <c r="M55" s="3540"/>
      <c r="N55" s="2485">
        <f t="shared" ref="N55:P56" si="1">D57</f>
        <v>0</v>
      </c>
      <c r="O55" s="2483" t="str">
        <f t="shared" si="1"/>
        <v>销售额×税（费）率</v>
      </c>
      <c r="P55" s="2486">
        <f t="shared" si="1"/>
        <v>5.0000000000000001E-4</v>
      </c>
    </row>
    <row r="56" spans="1:17" ht="12" customHeight="1">
      <c r="A56" s="2052" t="s">
        <v>1739</v>
      </c>
      <c r="B56" s="3417" t="s">
        <v>2777</v>
      </c>
      <c r="C56" s="3456"/>
      <c r="D56" s="1070">
        <f>C70</f>
        <v>0</v>
      </c>
      <c r="E56" s="264" t="s">
        <v>1740</v>
      </c>
      <c r="F56" s="2545">
        <f>'数据-取费表'!E29</f>
        <v>5.6000000000000001E-2</v>
      </c>
      <c r="G56" s="2546"/>
      <c r="H56" s="2951"/>
      <c r="I56" s="2950"/>
      <c r="J56" s="2825"/>
      <c r="K56" s="2483">
        <v>3</v>
      </c>
      <c r="L56" s="3540" t="s">
        <v>1741</v>
      </c>
      <c r="M56" s="3540"/>
      <c r="N56" s="2485">
        <f t="shared" si="1"/>
        <v>0</v>
      </c>
      <c r="O56" s="2483" t="str">
        <f t="shared" si="1"/>
        <v>增值额×税（费）率</v>
      </c>
      <c r="P56" s="2487" t="str">
        <f t="shared" si="1"/>
        <v>——</v>
      </c>
    </row>
    <row r="57" spans="1:17" ht="24" customHeight="1">
      <c r="A57" s="3415" t="s">
        <v>1742</v>
      </c>
      <c r="B57" s="3416"/>
      <c r="C57" s="3416"/>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40" t="str">
        <f>IF(H61="非个人房产","——","个人所得税")</f>
        <v>个人所得税</v>
      </c>
      <c r="M57" s="3540"/>
      <c r="N57" s="2488">
        <f>D61</f>
        <v>0</v>
      </c>
      <c r="O57" s="2489" t="str">
        <f>E61</f>
        <v>销售额×税（费）率</v>
      </c>
      <c r="P57" s="2490">
        <f>F61</f>
        <v>0.01</v>
      </c>
    </row>
    <row r="58" spans="1:17" ht="24.75">
      <c r="A58" s="3415" t="s">
        <v>1745</v>
      </c>
      <c r="B58" s="3416"/>
      <c r="C58" s="3416"/>
      <c r="D58" s="12">
        <f>IF(H58="个人住宅",D59,D60)</f>
        <v>0</v>
      </c>
      <c r="E58" s="2062" t="s">
        <v>1746</v>
      </c>
      <c r="F58" s="2545" t="str">
        <f>IF(H58="正常",F60,"免征")</f>
        <v>——</v>
      </c>
      <c r="G58" s="2547" t="s">
        <v>1747</v>
      </c>
      <c r="H58" s="2548" t="s">
        <v>1744</v>
      </c>
      <c r="I58" s="2952"/>
      <c r="J58" s="2825"/>
      <c r="K58" s="2483" t="str">
        <f>IF(项目基本情况!I6="上海银行",IF(K57="",4,K57+1),"")</f>
        <v/>
      </c>
      <c r="L58" s="3542" t="str">
        <f>IF(项目基本情况!I6="上海银行","其他处置费用","")</f>
        <v/>
      </c>
      <c r="M58" s="3543"/>
      <c r="N58" s="2485" t="str">
        <f>IF(项目基本情况!I6="上海银行",N71,"")</f>
        <v/>
      </c>
      <c r="O58" s="3542" t="str">
        <f>IF(项目基本情况!I6="上海银行","包含处置中涉及的律师、诉讼、拍卖、评估等费用","")</f>
        <v/>
      </c>
      <c r="P58" s="3546"/>
    </row>
    <row r="59" spans="1:17" ht="12.75">
      <c r="A59" s="2052" t="s">
        <v>1722</v>
      </c>
      <c r="B59" s="3417" t="s">
        <v>1748</v>
      </c>
      <c r="C59" s="3456"/>
      <c r="D59" s="2538">
        <v>0</v>
      </c>
      <c r="E59" s="261" t="s">
        <v>1724</v>
      </c>
      <c r="F59" s="235"/>
      <c r="G59" s="2546"/>
      <c r="H59" s="2952"/>
      <c r="I59" s="2952"/>
      <c r="J59" s="2825"/>
      <c r="K59" s="3540">
        <f>IF(AND(K57="",K58=""),4,IF(项目基本情况!I6="上海银行",K58+1,K57+1))</f>
        <v>5</v>
      </c>
      <c r="L59" s="3540" t="s">
        <v>1749</v>
      </c>
      <c r="M59" s="2491" t="s">
        <v>1750</v>
      </c>
      <c r="N59" s="2492"/>
      <c r="O59" s="2493">
        <f>SUMIF(N54:N58,"&lt;9e307")</f>
        <v>0</v>
      </c>
      <c r="P59" s="2494"/>
      <c r="Q59" s="1276" t="e">
        <f>O59/N51</f>
        <v>#VALUE!</v>
      </c>
    </row>
    <row r="60" spans="1:17" ht="24.75">
      <c r="A60" s="2052" t="s">
        <v>1733</v>
      </c>
      <c r="B60" s="3417" t="s">
        <v>1751</v>
      </c>
      <c r="C60" s="3455"/>
      <c r="D60" s="12">
        <f>IF(H60="转让取得",C83,C99)</f>
        <v>0</v>
      </c>
      <c r="E60" s="2062" t="s">
        <v>1746</v>
      </c>
      <c r="F60" s="235" t="s">
        <v>48</v>
      </c>
      <c r="G60" s="2546"/>
      <c r="H60" s="2548" t="s">
        <v>1752</v>
      </c>
      <c r="I60" s="2952"/>
      <c r="J60" s="2825"/>
      <c r="K60" s="3540"/>
      <c r="L60" s="3540"/>
      <c r="M60" s="2491" t="s">
        <v>1753</v>
      </c>
      <c r="N60" s="2495"/>
      <c r="O60" s="2496" t="str">
        <f>IF(H19="元",NUMBERSTRING(INT(O59),2)&amp;"元整",NUMBERSTRING(INT(O59*10000),2)&amp;"元整")</f>
        <v>零元整</v>
      </c>
      <c r="P60" s="2497"/>
    </row>
    <row r="61" spans="1:17" ht="26.25" thickBot="1">
      <c r="A61" s="3439" t="s">
        <v>1754</v>
      </c>
      <c r="B61" s="3440"/>
      <c r="C61" s="3440"/>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2755</v>
      </c>
      <c r="H61" s="2066" t="s">
        <v>2681</v>
      </c>
      <c r="I61" s="2853" t="s">
        <v>2767</v>
      </c>
      <c r="J61" s="2825"/>
      <c r="K61" s="3538">
        <f>K59+1</f>
        <v>6</v>
      </c>
      <c r="L61" s="3540" t="s">
        <v>1755</v>
      </c>
      <c r="M61" s="2483" t="s">
        <v>1750</v>
      </c>
      <c r="N61" s="2498"/>
      <c r="O61" s="2499" t="e">
        <f>N51-O59</f>
        <v>#VALUE!</v>
      </c>
      <c r="P61" s="2500"/>
    </row>
    <row r="62" spans="1:17" ht="12" customHeight="1">
      <c r="A62" s="1427"/>
      <c r="B62" s="2533"/>
      <c r="C62" s="2533"/>
      <c r="D62" s="2533"/>
      <c r="E62" s="1427"/>
      <c r="F62" s="2952"/>
      <c r="G62" s="2952"/>
      <c r="H62" s="2947"/>
      <c r="I62" s="947"/>
      <c r="J62" s="2825"/>
      <c r="K62" s="3539"/>
      <c r="L62" s="3540"/>
      <c r="M62" s="2491" t="s">
        <v>1753</v>
      </c>
      <c r="N62" s="2495"/>
      <c r="O62" s="2496" t="e">
        <f>IF(H19="元",NUMBERSTRING(INT(O61),2)&amp;"元整",NUMBERSTRING(INT(O61*10000),2)&amp;"元整")</f>
        <v>#VALUE!</v>
      </c>
      <c r="P62" s="2497"/>
    </row>
    <row r="63" spans="1:17" ht="13.5" thickBot="1">
      <c r="A63" s="3541" t="s">
        <v>1756</v>
      </c>
      <c r="B63" s="3541"/>
      <c r="C63" s="3541"/>
      <c r="D63" s="3541"/>
      <c r="E63" s="3541"/>
      <c r="F63" s="2952"/>
      <c r="G63" s="2952"/>
      <c r="H63" s="2947"/>
      <c r="I63" s="947"/>
      <c r="J63" s="2817"/>
      <c r="K63" s="2483">
        <f>K61+1</f>
        <v>7</v>
      </c>
      <c r="L63" s="3540" t="s">
        <v>1757</v>
      </c>
      <c r="M63" s="3540"/>
      <c r="N63" s="2501"/>
      <c r="O63" s="2502" t="e">
        <f>IF(H19="元",ROUND(O61/项目基本情况!C12,0),ROUND(O61*10000/项目基本情况!C12,0))</f>
        <v>#VALUE!</v>
      </c>
      <c r="P63" s="2503"/>
    </row>
    <row r="64" spans="1:17" ht="12.75">
      <c r="A64" s="3474" t="s">
        <v>1758</v>
      </c>
      <c r="B64" s="3475"/>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48" t="s">
        <v>1762</v>
      </c>
      <c r="L65" s="1277" t="s">
        <v>1763</v>
      </c>
      <c r="M65" s="1277" t="e">
        <f>IF(N51&gt;10000,N51*0.5%,IF(AND(N51&gt;1000,N51&lt;=10000),N51*1%,IF(AND(N51&gt;100,N51&lt;=1000),N51*3%,IF(AND(N51&gt;10,N51&lt;=100),N51*5%,N51*8%))))</f>
        <v>#VALUE!</v>
      </c>
      <c r="N65" s="235" t="e">
        <f>ROUND(M65,1)</f>
        <v>#VALUE!</v>
      </c>
      <c r="O65" s="2504"/>
    </row>
    <row r="66" spans="1:36" ht="12.75">
      <c r="A66" s="49" t="s">
        <v>71</v>
      </c>
      <c r="B66" s="50" t="s">
        <v>1764</v>
      </c>
      <c r="C66" s="2757">
        <f>D47</f>
        <v>0</v>
      </c>
      <c r="D66" s="50" t="s">
        <v>41</v>
      </c>
      <c r="E66" s="52"/>
      <c r="F66" s="2952"/>
      <c r="G66" s="2952"/>
      <c r="H66" s="2947"/>
      <c r="I66" s="947"/>
      <c r="J66" s="2817"/>
      <c r="K66" s="3548"/>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1766</v>
      </c>
    </row>
    <row r="67" spans="1:36" ht="12.75">
      <c r="A67" s="49" t="s">
        <v>72</v>
      </c>
      <c r="B67" s="50" t="s">
        <v>1767</v>
      </c>
      <c r="C67" s="2758"/>
      <c r="D67" s="50"/>
      <c r="E67" s="52"/>
      <c r="F67" s="2952"/>
      <c r="G67" s="2952"/>
      <c r="H67" s="2947"/>
      <c r="I67" s="947"/>
      <c r="J67" s="2817"/>
      <c r="K67" s="3548"/>
      <c r="L67" s="1277" t="s">
        <v>1768</v>
      </c>
      <c r="M67" s="1277" t="e">
        <f>IF(N51&gt;1000,N51*0.1%,IF(AND(N51&gt;500,N51&lt;=1000),N51*0.5%,IF(AND(N51&gt;50,N51&lt;=500),N51*1%,IF(AND(N51&gt;1,N51&lt;=50),N51*1.5%))))</f>
        <v>#VALUE!</v>
      </c>
      <c r="N67" s="235" t="e">
        <f t="shared" si="2"/>
        <v>#VALUE!</v>
      </c>
      <c r="O67" s="2504" t="s">
        <v>1766</v>
      </c>
    </row>
    <row r="68" spans="1:36" ht="12.75">
      <c r="A68" s="53" t="s">
        <v>47</v>
      </c>
      <c r="B68" s="54" t="s">
        <v>1769</v>
      </c>
      <c r="C68" s="2759"/>
      <c r="D68" s="54" t="s">
        <v>41</v>
      </c>
      <c r="E68" s="1286" t="s">
        <v>1770</v>
      </c>
      <c r="F68" s="2952"/>
      <c r="G68" s="2952"/>
      <c r="H68" s="2947"/>
      <c r="I68" s="947"/>
      <c r="J68" s="2817"/>
      <c r="K68" s="3548"/>
      <c r="L68" s="1277" t="s">
        <v>1771</v>
      </c>
      <c r="M68" s="1277" t="e">
        <f>N51*0.5%</f>
        <v>#VALUE!</v>
      </c>
      <c r="N68" s="235" t="e">
        <f>IF(M68&gt;0.5,0.5,ROUND(M68,0))</f>
        <v>#VALUE!</v>
      </c>
      <c r="O68" s="2504" t="s">
        <v>1772</v>
      </c>
    </row>
    <row r="69" spans="1:36" ht="12.75">
      <c r="A69" s="53" t="s">
        <v>42</v>
      </c>
      <c r="B69" s="54" t="s">
        <v>1773</v>
      </c>
      <c r="C69" s="2760">
        <f>C65-C68</f>
        <v>0</v>
      </c>
      <c r="D69" s="50" t="s">
        <v>41</v>
      </c>
      <c r="E69" s="52"/>
      <c r="F69" s="2952"/>
      <c r="G69" s="2952"/>
      <c r="H69" s="2947"/>
      <c r="I69" s="947"/>
      <c r="J69" s="2817"/>
      <c r="K69" s="3548"/>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1775</v>
      </c>
      <c r="C70" s="2761">
        <f>IF(C69&lt;=0,0,ROUND(C69*D70,0))</f>
        <v>0</v>
      </c>
      <c r="D70" s="2212">
        <f>'数据-取费表'!E29</f>
        <v>5.6000000000000001E-2</v>
      </c>
      <c r="E70" s="57"/>
      <c r="F70" s="2952"/>
      <c r="G70" s="2952"/>
      <c r="H70" s="2947"/>
      <c r="I70" s="947"/>
      <c r="J70" s="2817"/>
      <c r="K70" s="3548"/>
      <c r="L70" s="1277" t="s">
        <v>1776</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48"/>
      <c r="L71" s="1277" t="s">
        <v>1777</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5" t="s">
        <v>1778</v>
      </c>
      <c r="B72" s="3536"/>
      <c r="C72" s="3536"/>
      <c r="D72" s="3536"/>
      <c r="E72" s="3536"/>
      <c r="F72" s="3536"/>
      <c r="G72" s="3536"/>
      <c r="H72" s="3536"/>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74" t="s">
        <v>1758</v>
      </c>
      <c r="B73" s="3475"/>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17" t="s">
        <v>1788</v>
      </c>
      <c r="F78" s="3455"/>
      <c r="G78" s="3455"/>
      <c r="H78" s="3469"/>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6.000000000000001E-3</v>
      </c>
      <c r="E80" s="3449" t="s">
        <v>1793</v>
      </c>
      <c r="F80" s="3450"/>
      <c r="G80" s="3450"/>
      <c r="H80" s="3451"/>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5" t="s">
        <v>1797</v>
      </c>
      <c r="B85" s="3536"/>
      <c r="C85" s="3536"/>
      <c r="D85" s="3536"/>
      <c r="E85" s="3536"/>
      <c r="F85" s="3536"/>
      <c r="G85" s="3536"/>
      <c r="H85" s="3536"/>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74" t="s">
        <v>1758</v>
      </c>
      <c r="B86" s="3475"/>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2759</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510" t="s">
        <v>2676</v>
      </c>
      <c r="H92" s="3537"/>
      <c r="I92" s="608"/>
      <c r="J92" s="2849"/>
      <c r="K92" s="2944" t="s">
        <v>2760</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49" t="s">
        <v>1805</v>
      </c>
      <c r="F93" s="3450"/>
      <c r="G93" s="3450"/>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49" t="s">
        <v>1808</v>
      </c>
      <c r="F94" s="3450"/>
      <c r="G94" s="3450"/>
      <c r="H94" s="3451"/>
      <c r="I94" s="608"/>
      <c r="J94" s="2849"/>
      <c r="K94" s="2945" t="s">
        <v>2761</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6.000000000000001E-3</v>
      </c>
      <c r="E95" s="3449" t="s">
        <v>1793</v>
      </c>
      <c r="F95" s="3450"/>
      <c r="G95" s="3450"/>
      <c r="H95" s="3451"/>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49" t="s">
        <v>1810</v>
      </c>
      <c r="F96" s="3450"/>
      <c r="G96" s="3450"/>
      <c r="H96" s="3451"/>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96" t="s">
        <v>1812</v>
      </c>
      <c r="B101" s="3497"/>
      <c r="C101" s="3497"/>
      <c r="D101" s="3498"/>
      <c r="E101" s="1431"/>
      <c r="F101" s="3532" t="s">
        <v>2718</v>
      </c>
      <c r="G101" s="3533"/>
      <c r="H101" s="3533"/>
      <c r="I101" s="3534"/>
      <c r="J101" s="2852"/>
    </row>
    <row r="102" spans="1:36" ht="15">
      <c r="A102" s="3508" t="s">
        <v>1814</v>
      </c>
      <c r="B102" s="3509"/>
      <c r="C102" s="2775">
        <f>C4</f>
        <v>0</v>
      </c>
      <c r="D102" s="2776">
        <f>D4</f>
        <v>0</v>
      </c>
      <c r="E102" s="1431"/>
      <c r="F102" s="3420" t="s">
        <v>2719</v>
      </c>
      <c r="G102" s="3421"/>
      <c r="H102" s="3426" t="s">
        <v>2720</v>
      </c>
      <c r="I102" s="3419"/>
      <c r="J102" s="2832"/>
    </row>
    <row r="103" spans="1:36" ht="12.75">
      <c r="A103" s="3529" t="s">
        <v>2714</v>
      </c>
      <c r="B103" s="2277" t="str">
        <f>IF(H19="元","总价（元）","总价（万元）")</f>
        <v>总价（万元）</v>
      </c>
      <c r="C103" s="1277" t="e">
        <f ca="1">C19</f>
        <v>#REF!</v>
      </c>
      <c r="D103" s="2779" t="e">
        <f ca="1">D19</f>
        <v>#REF!</v>
      </c>
      <c r="E103" s="1431"/>
      <c r="F103" s="3530"/>
      <c r="G103" s="3531"/>
      <c r="H103" s="3418">
        <f>典型户型修正!B25</f>
        <v>0</v>
      </c>
      <c r="I103" s="3419"/>
      <c r="J103" s="2832"/>
    </row>
    <row r="104" spans="1:36" ht="12.75">
      <c r="A104" s="3529"/>
      <c r="B104" s="2277" t="s">
        <v>2715</v>
      </c>
      <c r="C104" s="2780" t="e">
        <f ca="1">C20</f>
        <v>#REF!</v>
      </c>
      <c r="D104" s="2781" t="e">
        <f ca="1">D20</f>
        <v>#REF!</v>
      </c>
      <c r="E104" s="1431"/>
      <c r="F104" s="3430" t="s">
        <v>2721</v>
      </c>
      <c r="G104" s="3431"/>
      <c r="H104" s="2789" t="str">
        <f>C110</f>
        <v>总价（万元）</v>
      </c>
      <c r="I104" s="2790">
        <f>H125</f>
        <v>0</v>
      </c>
      <c r="J104" s="2832"/>
    </row>
    <row r="105" spans="1:36" ht="12.75">
      <c r="A105" s="3529" t="s">
        <v>2716</v>
      </c>
      <c r="B105" s="2215" t="str">
        <f>B103</f>
        <v>总价（万元）</v>
      </c>
      <c r="C105" s="12" t="e">
        <f ca="1">ROUND(IF('数据-取费表'!B4="总价",G19,IF(H19="元",G20*'数据-取费表'!E5,G20*'数据-取费表'!E5/10000)),0)</f>
        <v>#REF!</v>
      </c>
      <c r="D105" s="2782"/>
      <c r="E105" s="1431"/>
      <c r="F105" s="3430"/>
      <c r="G105" s="3431"/>
      <c r="H105" s="2789" t="s">
        <v>2722</v>
      </c>
      <c r="I105" s="52" t="e">
        <f>I125</f>
        <v>#DIV/0!</v>
      </c>
      <c r="J105" s="2816"/>
    </row>
    <row r="106" spans="1:36" ht="12.75">
      <c r="A106" s="3529"/>
      <c r="B106" s="2277" t="s">
        <v>2715</v>
      </c>
      <c r="C106" s="1451" t="e">
        <f ca="1">ROUND(IF('数据-取费表'!B4="楼面单价",G20,IF(H19="元",G19/'数据-取费表'!E5,G19*10000/'数据-取费表'!E5)),0)</f>
        <v>#REF!</v>
      </c>
      <c r="D106" s="2782"/>
      <c r="E106" s="1431"/>
      <c r="F106" s="3430"/>
      <c r="G106" s="3431"/>
      <c r="H106" s="3490"/>
      <c r="I106" s="3491"/>
      <c r="J106" s="2833"/>
    </row>
    <row r="107" spans="1:36" ht="12.75">
      <c r="A107" s="3523" t="s">
        <v>2717</v>
      </c>
      <c r="B107" s="2783" t="str">
        <f>B103</f>
        <v>总价（万元）</v>
      </c>
      <c r="C107" s="2784">
        <f>H125</f>
        <v>0</v>
      </c>
      <c r="D107" s="2785"/>
      <c r="E107" s="1431"/>
      <c r="F107" s="3494" t="s">
        <v>2723</v>
      </c>
      <c r="G107" s="3495"/>
      <c r="H107" s="2791" t="str">
        <f>C112</f>
        <v>总额（万元）</v>
      </c>
      <c r="I107" s="2790">
        <f>SUMIF(I108:I110,"&lt;9E307")</f>
        <v>0</v>
      </c>
      <c r="J107" s="2832"/>
    </row>
    <row r="108" spans="1:36" ht="15" thickBot="1">
      <c r="A108" s="3489"/>
      <c r="B108" s="2786" t="s">
        <v>2715</v>
      </c>
      <c r="C108" s="2787" t="e">
        <f>I125</f>
        <v>#DIV/0!</v>
      </c>
      <c r="D108" s="2788"/>
      <c r="E108" s="1431"/>
      <c r="F108" s="3432" t="s">
        <v>2724</v>
      </c>
      <c r="G108" s="3433"/>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26" t="s">
        <v>1815</v>
      </c>
      <c r="B109" s="3527"/>
      <c r="C109" s="3527"/>
      <c r="D109" s="3528"/>
      <c r="E109" s="1431"/>
      <c r="F109" s="3432" t="s">
        <v>2725</v>
      </c>
      <c r="G109" s="3433"/>
      <c r="H109" s="2791" t="str">
        <f>C114</f>
        <v>总额（万元）</v>
      </c>
      <c r="I109" s="52">
        <f>C39</f>
        <v>0</v>
      </c>
      <c r="J109" s="2816"/>
    </row>
    <row r="110" spans="1:36" ht="12.75">
      <c r="A110" s="3430" t="s">
        <v>2728</v>
      </c>
      <c r="B110" s="3431"/>
      <c r="C110" s="2789" t="str">
        <f>B103</f>
        <v>总价（万元）</v>
      </c>
      <c r="D110" s="2790">
        <f>H125</f>
        <v>0</v>
      </c>
      <c r="E110" s="1431"/>
      <c r="F110" s="3432" t="s">
        <v>2726</v>
      </c>
      <c r="G110" s="3433"/>
      <c r="H110" s="2791" t="str">
        <f>C115</f>
        <v>总额（万元）</v>
      </c>
      <c r="I110" s="52">
        <f>C40</f>
        <v>0</v>
      </c>
      <c r="J110" s="2816"/>
    </row>
    <row r="111" spans="1:36" ht="12.75">
      <c r="A111" s="3430"/>
      <c r="B111" s="3431"/>
      <c r="C111" s="2789" t="s">
        <v>2729</v>
      </c>
      <c r="D111" s="52" t="e">
        <f>I125</f>
        <v>#DIV/0!</v>
      </c>
      <c r="E111" s="1431"/>
      <c r="F111" s="3430"/>
      <c r="G111" s="3431"/>
      <c r="H111" s="3492"/>
      <c r="I111" s="3493"/>
      <c r="J111" s="2834"/>
    </row>
    <row r="112" spans="1:36" ht="28.5" customHeight="1">
      <c r="A112" s="3437" t="s">
        <v>2723</v>
      </c>
      <c r="B112" s="3438"/>
      <c r="C112" s="2791" t="str">
        <f>IF(H19="元","总额（元）","总额（万元）")</f>
        <v>总额（万元）</v>
      </c>
      <c r="D112" s="2790">
        <f>IF(D38="正常操作",I108+I109+I110,I109+I110)</f>
        <v>0</v>
      </c>
      <c r="E112" s="1431"/>
      <c r="F112" s="3422" t="str">
        <f>IF(项目基本情况!F5="已注销","——","3.房地产抵押价值")</f>
        <v>3.房地产抵押价值</v>
      </c>
      <c r="G112" s="3423"/>
      <c r="H112" s="1451" t="str">
        <f>C116</f>
        <v>总价（万元）</v>
      </c>
      <c r="I112" s="2790">
        <f>IF(F112="——","——",I104-I107)</f>
        <v>0</v>
      </c>
      <c r="J112" s="2832"/>
    </row>
    <row r="113" spans="1:27" ht="12.75">
      <c r="A113" s="3432" t="s">
        <v>2730</v>
      </c>
      <c r="B113" s="3433"/>
      <c r="C113" s="2791" t="str">
        <f>C112</f>
        <v>总额（万元）</v>
      </c>
      <c r="D113" s="52">
        <f>IF(D38="同一抵押权人同一抵押物续贷",C38&amp;"（未扣减，详见特别提示）",C38)</f>
        <v>0</v>
      </c>
      <c r="E113" s="1431"/>
      <c r="F113" s="3521"/>
      <c r="G113" s="3522"/>
      <c r="H113" s="2789" t="s">
        <v>2722</v>
      </c>
      <c r="I113" s="2793" t="e">
        <f>D117</f>
        <v>#DIV/0!</v>
      </c>
      <c r="J113" s="2835"/>
    </row>
    <row r="114" spans="1:27" ht="12.75">
      <c r="A114" s="3432" t="s">
        <v>2731</v>
      </c>
      <c r="B114" s="3433"/>
      <c r="C114" s="2791" t="str">
        <f>C112</f>
        <v>总额（万元）</v>
      </c>
      <c r="D114" s="52">
        <f>C39</f>
        <v>0</v>
      </c>
      <c r="E114" s="1431"/>
      <c r="F114" s="3422" t="str">
        <f>IF(项目基本情况!F5="已注销及未注销","4.抵押担保权已注销时的房地产抵押价值",IF(项目基本情况!F5="已注销","3.抵押担保权已注销时的房地产抵押价值","——"))</f>
        <v>——</v>
      </c>
      <c r="G114" s="3423"/>
      <c r="H114" s="1451" t="str">
        <f>C118</f>
        <v>总价（万元）</v>
      </c>
      <c r="I114" s="2790" t="str">
        <f>IF(F114="——","——",I104-I109-I110)</f>
        <v>——</v>
      </c>
      <c r="J114" s="2832"/>
    </row>
    <row r="115" spans="1:27" ht="12.75">
      <c r="A115" s="3432" t="s">
        <v>2732</v>
      </c>
      <c r="B115" s="3433"/>
      <c r="C115" s="2791" t="str">
        <f>C112</f>
        <v>总额（万元）</v>
      </c>
      <c r="D115" s="52">
        <f>C40</f>
        <v>0</v>
      </c>
      <c r="E115" s="1431"/>
      <c r="F115" s="3521"/>
      <c r="G115" s="3522"/>
      <c r="H115" s="2789" t="s">
        <v>2722</v>
      </c>
      <c r="I115" s="52" t="str">
        <f>D119</f>
        <v>——</v>
      </c>
      <c r="J115" s="2816"/>
    </row>
    <row r="116" spans="1:27" ht="12.75">
      <c r="A116" s="3430" t="str">
        <f>IF(项目基本情况!F5="已注销","——","3.房地产抵押价值")</f>
        <v>3.房地产抵押价值</v>
      </c>
      <c r="B116" s="3431"/>
      <c r="C116" s="2789" t="str">
        <f>B103</f>
        <v>总价（万元）</v>
      </c>
      <c r="D116" s="2790">
        <f>IF(A116="——","——",D110-D112)</f>
        <v>0</v>
      </c>
      <c r="E116" s="1431"/>
      <c r="F116" s="3422" t="str">
        <f>IF(项目基本情况!G5="抵押净值",IF(OR(项目基本情况!F5="已注销",项目基本情况!F5="房地产抵押价值"),"4.抵押净值","5.抵押净值"),"——")</f>
        <v>——</v>
      </c>
      <c r="G116" s="3423"/>
      <c r="H116" s="2789" t="str">
        <f>C120</f>
        <v>总价（万元）</v>
      </c>
      <c r="I116" s="2790" t="str">
        <f>IF(F116="——","——",O61)</f>
        <v>——</v>
      </c>
      <c r="J116" s="2832"/>
    </row>
    <row r="117" spans="1:27" ht="13.5" thickBot="1">
      <c r="A117" s="3430"/>
      <c r="B117" s="3431"/>
      <c r="C117" s="2789" t="s">
        <v>2729</v>
      </c>
      <c r="D117" s="52" t="e">
        <f>ROUND(IF(D116=D110,D111,IF(H19="元",D116/B125,D116*10000/B125)),0)</f>
        <v>#DIV/0!</v>
      </c>
      <c r="E117" s="1431"/>
      <c r="F117" s="3424"/>
      <c r="G117" s="3425"/>
      <c r="H117" s="2794" t="s">
        <v>2722</v>
      </c>
      <c r="I117" s="2778" t="str">
        <f>D121</f>
        <v>——</v>
      </c>
      <c r="J117" s="2816"/>
    </row>
    <row r="118" spans="1:27" ht="15.75">
      <c r="A118" s="3430" t="str">
        <f>IF(项目基本情况!F5="已注销及未注销","4.抵押担保权已注销时的房地产抵押价值",IF(项目基本情况!F5="已注销","3.抵押担保权已注销时的房地产抵押价值","——"))</f>
        <v>——</v>
      </c>
      <c r="B118" s="3431"/>
      <c r="C118" s="2789" t="str">
        <f>B103</f>
        <v>总价（万元）</v>
      </c>
      <c r="D118" s="2790" t="str">
        <f>IF(A118="——","——",D110-D114-D115)</f>
        <v>——</v>
      </c>
      <c r="E118" s="1431"/>
      <c r="F118" s="3516"/>
      <c r="G118" s="3516"/>
      <c r="H118" s="3480"/>
      <c r="I118" s="3480"/>
      <c r="J118" s="2836"/>
      <c r="O118" s="32"/>
      <c r="P118" s="32"/>
    </row>
    <row r="119" spans="1:27" s="1278" customFormat="1" ht="12.75">
      <c r="A119" s="3430"/>
      <c r="B119" s="3431"/>
      <c r="C119" s="2789" t="s">
        <v>2729</v>
      </c>
      <c r="D119" s="52" t="str">
        <f>IF(A118="——","——",IF(H19="元",ROUND(D118/B125,0),ROUND(D118*10000/B125,0)))</f>
        <v>——</v>
      </c>
      <c r="E119" s="1431"/>
      <c r="F119" s="3525" t="str">
        <f>IF(B33="总价","（以上估价结果中楼面单价为总价除以建筑面积得出）","（以上估价结果中总价为楼面单价乘以建筑面积得出）")</f>
        <v>（以上估价结果中总价为楼面单价乘以建筑面积得出）</v>
      </c>
      <c r="G119" s="3525"/>
      <c r="H119" s="3525"/>
      <c r="I119" s="3525"/>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30" t="str">
        <f>IF(项目基本情况!G5="抵押净值",IF(OR(项目基本情况!F5="已注销",项目基本情况!F5="房地产抵押价值"),"4.抵押净值","5.抵押净值"),"——")</f>
        <v>——</v>
      </c>
      <c r="B120" s="3431"/>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35"/>
      <c r="B121" s="3436"/>
      <c r="C121" s="2794" t="s">
        <v>2729</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81" t="s">
        <v>1854</v>
      </c>
      <c r="B122" s="3482"/>
      <c r="C122" s="3482"/>
      <c r="D122" s="3482"/>
      <c r="E122" s="3482"/>
      <c r="F122" s="3482"/>
      <c r="G122" s="3482"/>
      <c r="H122" s="3482"/>
      <c r="I122" s="3482"/>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15" t="s">
        <v>2733</v>
      </c>
      <c r="B123" s="3441" t="s">
        <v>2734</v>
      </c>
      <c r="C123" s="3441" t="s">
        <v>2740</v>
      </c>
      <c r="D123" s="3503" t="s">
        <v>2735</v>
      </c>
      <c r="E123" s="3504"/>
      <c r="F123" s="3416" t="s">
        <v>2741</v>
      </c>
      <c r="G123" s="3416"/>
      <c r="H123" s="3416" t="s">
        <v>2736</v>
      </c>
      <c r="I123" s="3502"/>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15"/>
      <c r="B124" s="3442"/>
      <c r="C124" s="3442"/>
      <c r="D124" s="2062" t="s">
        <v>2737</v>
      </c>
      <c r="E124" s="2062" t="s">
        <v>2742</v>
      </c>
      <c r="F124" s="2062" t="s">
        <v>2737</v>
      </c>
      <c r="G124" s="2062" t="s">
        <v>2738</v>
      </c>
      <c r="H124" s="2062" t="s">
        <v>2737</v>
      </c>
      <c r="I124" s="52" t="s">
        <v>2738</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15" t="s">
        <v>2739</v>
      </c>
      <c r="B126" s="3416"/>
      <c r="C126" s="3416"/>
      <c r="D126" s="3443" t="str">
        <f>IF(H19="元",NUMBERSTRING(INT(D125),2)&amp;"元整",NUMBERSTRING(INT(D125*10000),2)&amp;"元整")</f>
        <v>零元整</v>
      </c>
      <c r="E126" s="3486"/>
      <c r="F126" s="3443" t="str">
        <f>IF(H19="元",NUMBERSTRING(INT(F125),2)&amp;"元整",NUMBERSTRING(INT(F125*10000),2)&amp;"元整")</f>
        <v>零元整</v>
      </c>
      <c r="G126" s="3486"/>
      <c r="H126" s="3443" t="str">
        <f>IF(H19="元",NUMBERSTRING(INT(H125),2)&amp;"元整",NUMBERSTRING(INT(H125*10000),2)&amp;"元整")</f>
        <v>零元整</v>
      </c>
      <c r="I126" s="3444"/>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20" t="str">
        <f>IF(项目基本情况!D5="房地产市场价值","——",MID(A112,3,LEN(A112)-2))</f>
        <v>估价师所知悉的法定优先受偿款</v>
      </c>
      <c r="B127" s="3426"/>
      <c r="C127" s="3421"/>
      <c r="D127" s="3418">
        <f>I107</f>
        <v>0</v>
      </c>
      <c r="E127" s="3426"/>
      <c r="F127" s="3426"/>
      <c r="G127" s="3426"/>
      <c r="H127" s="3426"/>
      <c r="I127" s="3419"/>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7" t="s">
        <v>2739</v>
      </c>
      <c r="B128" s="3455"/>
      <c r="C128" s="3456"/>
      <c r="D128" s="3427">
        <f>H111</f>
        <v>0</v>
      </c>
      <c r="E128" s="3428"/>
      <c r="F128" s="3428"/>
      <c r="G128" s="3428"/>
      <c r="H128" s="3428"/>
      <c r="I128" s="3429"/>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30" t="str">
        <f>IF(项目基本情况!D5="房地产市场价值","——",MID(A116,3,LEN(A116)-2))</f>
        <v>房地产抵押价值</v>
      </c>
      <c r="B129" s="3431"/>
      <c r="C129" s="3431"/>
      <c r="D129" s="3418">
        <f>I112</f>
        <v>0</v>
      </c>
      <c r="E129" s="3426"/>
      <c r="F129" s="3426"/>
      <c r="G129" s="3426"/>
      <c r="H129" s="3426"/>
      <c r="I129" s="3419"/>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15" t="s">
        <v>2739</v>
      </c>
      <c r="B130" s="3416"/>
      <c r="C130" s="3416"/>
      <c r="D130" s="3427" t="e">
        <f>I113</f>
        <v>#DIV/0!</v>
      </c>
      <c r="E130" s="3428"/>
      <c r="F130" s="3428"/>
      <c r="G130" s="3428"/>
      <c r="H130" s="3428"/>
      <c r="I130" s="3429"/>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30" t="str">
        <f>IF(项目基本情况!D5="房地产市场价值","——",MID(A118,3,LEN(A118)-2))</f>
        <v/>
      </c>
      <c r="B131" s="3431"/>
      <c r="C131" s="3431"/>
      <c r="D131" s="3463" t="str">
        <f>I114</f>
        <v>——</v>
      </c>
      <c r="E131" s="3464"/>
      <c r="F131" s="3464"/>
      <c r="G131" s="3464"/>
      <c r="H131" s="3464"/>
      <c r="I131" s="3515"/>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15" t="s">
        <v>2739</v>
      </c>
      <c r="B132" s="3416"/>
      <c r="C132" s="3417"/>
      <c r="D132" s="3479" t="str">
        <f>I115</f>
        <v>——</v>
      </c>
      <c r="E132" s="3479"/>
      <c r="F132" s="3479"/>
      <c r="G132" s="3479"/>
      <c r="H132" s="3479"/>
      <c r="I132" s="3479"/>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30" t="str">
        <f>IF(项目基本情况!D5="房地产市场价值","——",MID(F116,3,LEN(F116)-2))</f>
        <v/>
      </c>
      <c r="B133" s="3431"/>
      <c r="C133" s="3418"/>
      <c r="D133" s="3434" t="str">
        <f>I116</f>
        <v>——</v>
      </c>
      <c r="E133" s="3434"/>
      <c r="F133" s="3434"/>
      <c r="G133" s="3434"/>
      <c r="H133" s="3434"/>
      <c r="I133" s="3434"/>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9" t="s">
        <v>2739</v>
      </c>
      <c r="B134" s="3440"/>
      <c r="C134" s="3440"/>
      <c r="D134" s="3445">
        <f>H118</f>
        <v>0</v>
      </c>
      <c r="E134" s="3446"/>
      <c r="F134" s="3446"/>
      <c r="G134" s="3446"/>
      <c r="H134" s="3446"/>
      <c r="I134" s="3447"/>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13" t="str">
        <f>IF(B33="总价","（以上估价结果中楼面单价为总价除以建筑面积得出）","（以上估价结果中总价为楼面单价乘以建筑面积得出）")</f>
        <v>（以上估价结果中总价为楼面单价乘以建筑面积得出）</v>
      </c>
      <c r="B136" s="3413"/>
      <c r="C136" s="3413"/>
      <c r="D136" s="3413"/>
      <c r="E136" s="3413"/>
      <c r="F136" s="3413"/>
      <c r="G136" s="3413"/>
      <c r="H136" s="3413"/>
      <c r="I136" s="3413"/>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169</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26765</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1030500</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v>1000000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30500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41"/>
      <c r="E8" s="115"/>
      <c r="F8" s="1140"/>
      <c r="G8" s="1488"/>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0</v>
      </c>
      <c r="D10" s="1143">
        <f>IF('数据-取费表'!B10&lt;&gt;"住宅",IF(B1="仅计算典型户型",'数据-取费表'!E5,'数据-取费表'!B5),0)</f>
        <v>63</v>
      </c>
      <c r="E10" s="1142">
        <f>'数据-取费表'!E12</f>
        <v>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f>IF(G19="已包含在土地取得成本中","0",ROUND(D19*E19,0))</f>
        <v>12600</v>
      </c>
      <c r="D19" s="1146">
        <f>IF(B1="仅计算典型户型",'数据-取费表'!E5,'数据-取费表'!B5)</f>
        <v>63</v>
      </c>
      <c r="E19" s="111">
        <f>'数据-取费表'!E15</f>
        <v>200</v>
      </c>
      <c r="F19" s="112"/>
      <c r="G19" s="1488"/>
    </row>
    <row r="20" spans="1:123" s="91" customFormat="1" ht="13.5" customHeight="1">
      <c r="A20" s="120" t="s">
        <v>1884</v>
      </c>
      <c r="B20" s="89" t="s">
        <v>1885</v>
      </c>
      <c r="C20" s="99">
        <f>ROUND((C5+C19)*F20,0)</f>
        <v>20862</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90337</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88380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1081</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876</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159594</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159594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1423657</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243023</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220500</v>
      </c>
      <c r="D34" s="1138"/>
      <c r="E34" s="115"/>
      <c r="F34" s="1149" t="str">
        <f>IF('数据-取费表'!B26=0,"",'数据-取费表'!E20)</f>
        <v/>
      </c>
      <c r="G34" s="95"/>
    </row>
    <row r="35" spans="1:123" ht="13.5" customHeight="1">
      <c r="A35" s="92" t="s">
        <v>1867</v>
      </c>
      <c r="B35" s="93" t="s">
        <v>1916</v>
      </c>
      <c r="C35" s="115">
        <f>ROUND(C34*F35,0)</f>
        <v>6615</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12600</v>
      </c>
      <c r="D37" s="1138">
        <f>IF(B1="仅计算典型户型",'数据-取费表'!E5,'数据-取费表'!B5)</f>
        <v>63</v>
      </c>
      <c r="E37" s="115">
        <f>'数据-取费表'!E23</f>
        <v>200</v>
      </c>
      <c r="F37" s="1150"/>
      <c r="G37" s="124" t="s">
        <v>1921</v>
      </c>
    </row>
    <row r="38" spans="1:123" ht="13.5" customHeight="1">
      <c r="A38" s="92" t="s">
        <v>1922</v>
      </c>
      <c r="B38" s="93" t="s">
        <v>1923</v>
      </c>
      <c r="C38" s="115">
        <f>ROUND(C34*F38,0)</f>
        <v>3308</v>
      </c>
      <c r="D38" s="115"/>
      <c r="E38" s="115"/>
      <c r="F38" s="1150">
        <f>'数据-取费表'!E24</f>
        <v>1.4999999999999999E-2</v>
      </c>
      <c r="G38" s="95" t="s">
        <v>1917</v>
      </c>
    </row>
    <row r="39" spans="1:123" s="91" customFormat="1" ht="13.5" customHeight="1">
      <c r="A39" s="120" t="s">
        <v>1882</v>
      </c>
      <c r="B39" s="89" t="s">
        <v>1885</v>
      </c>
      <c r="C39" s="99">
        <f>ROUND(C33*F20,0)</f>
        <v>4860</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10411</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10207</v>
      </c>
      <c r="D42" s="104"/>
      <c r="E42" s="104"/>
      <c r="F42" s="105"/>
      <c r="G42" s="3552" t="s">
        <v>1927</v>
      </c>
    </row>
    <row r="43" spans="1:123" ht="13.5" customHeight="1">
      <c r="A43" s="92" t="s">
        <v>1867</v>
      </c>
      <c r="B43" s="93" t="s">
        <v>1896</v>
      </c>
      <c r="C43" s="104">
        <f ca="1">ROUND(IF('数据-取费表'!B24&lt;=1,C39*F22*'数据-取费表'!B23/2,C39*(POWER((1+F22),'数据-取费表'!B23/2)-1)),0)</f>
        <v>204</v>
      </c>
      <c r="D43" s="104"/>
      <c r="E43" s="104"/>
      <c r="F43" s="105"/>
      <c r="G43" s="3553"/>
    </row>
    <row r="44" spans="1:123" ht="13.5" customHeight="1">
      <c r="A44" s="92" t="s">
        <v>1869</v>
      </c>
      <c r="B44" s="93" t="s">
        <v>1898</v>
      </c>
      <c r="C44" s="104">
        <f ca="1">ROUND(IF('数据-取费表'!B24&lt;=1,C40*F22*'数据-取费表'!B23/2,C40*(POWER((1+F22),'数据-取费表'!B23/2)-1)),4)</f>
        <v>8.0000000000000004E-4</v>
      </c>
      <c r="D44" s="104"/>
      <c r="E44" s="104"/>
      <c r="F44" s="105"/>
      <c r="G44" s="3554"/>
    </row>
    <row r="45" spans="1:123" s="91" customFormat="1" ht="13.5" customHeight="1">
      <c r="A45" s="120" t="s">
        <v>1891</v>
      </c>
      <c r="B45" s="110" t="s">
        <v>1903</v>
      </c>
      <c r="C45" s="111">
        <f>C46</f>
        <v>37182</v>
      </c>
      <c r="D45" s="101">
        <f>C47</f>
        <v>3.0000000000000001E-3</v>
      </c>
      <c r="E45" s="102" t="s">
        <v>1925</v>
      </c>
      <c r="F45" s="2859">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37182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8">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320160</v>
      </c>
      <c r="D49" s="99"/>
      <c r="E49" s="99"/>
      <c r="F49" s="126"/>
      <c r="G49" s="100" t="s">
        <v>1935</v>
      </c>
    </row>
    <row r="50" spans="1:123" s="122" customFormat="1" ht="24">
      <c r="A50" s="994" t="s">
        <v>1936</v>
      </c>
      <c r="B50" s="89" t="s">
        <v>1937</v>
      </c>
      <c r="C50" s="99"/>
      <c r="D50" s="99"/>
      <c r="E50" s="99"/>
      <c r="F50" s="126">
        <f>IF('数据-取费表'!B26=0,'数据-取费表'!E20,1)</f>
        <v>0.82</v>
      </c>
      <c r="G50" s="113" t="s">
        <v>1938</v>
      </c>
    </row>
    <row r="51" spans="1:123" ht="16.5" customHeight="1">
      <c r="A51" s="994" t="s">
        <v>1939</v>
      </c>
      <c r="B51" s="89" t="s">
        <v>1940</v>
      </c>
      <c r="C51" s="99">
        <f ca="1">ROUND(C49*F50,0)</f>
        <v>262531</v>
      </c>
      <c r="D51" s="99"/>
      <c r="E51" s="99"/>
      <c r="F51" s="126"/>
      <c r="G51" s="100" t="s">
        <v>1941</v>
      </c>
    </row>
    <row r="52" spans="1:123" s="88" customFormat="1" ht="16.5" thickBot="1">
      <c r="A52" s="127" t="s">
        <v>1942</v>
      </c>
      <c r="B52" s="128"/>
      <c r="C52" s="129">
        <f ca="1">C31+C51</f>
        <v>1686188</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0.156</v>
      </c>
    </row>
    <row r="57" spans="1:123">
      <c r="B57" s="135" t="s">
        <v>1945</v>
      </c>
      <c r="C57" s="137">
        <f ca="1">1-C56</f>
        <v>0.84399999999999997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0</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0</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0</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2979</v>
      </c>
      <c r="B1" s="3135"/>
      <c r="C1" s="3141"/>
      <c r="D1" s="3141"/>
      <c r="E1" s="3136"/>
      <c r="F1" s="3137"/>
      <c r="G1" s="3230"/>
      <c r="J1" s="3233" t="s">
        <v>2835</v>
      </c>
      <c r="K1" s="3234"/>
      <c r="L1" s="3234"/>
      <c r="M1" s="3234"/>
      <c r="N1" s="3234"/>
      <c r="O1" s="3234"/>
      <c r="P1" s="3234"/>
      <c r="Q1" s="3234"/>
      <c r="R1" s="3235"/>
      <c r="S1" s="3236"/>
      <c r="T1" s="3236"/>
      <c r="U1" s="3236"/>
    </row>
    <row r="2" spans="1:23" s="3144" customFormat="1" ht="13.15" customHeight="1">
      <c r="A2" s="3139" t="s">
        <v>2836</v>
      </c>
      <c r="B2" s="3140" t="e">
        <f>C40</f>
        <v>#DIV/0!</v>
      </c>
      <c r="C2" s="3141" t="s">
        <v>2837</v>
      </c>
      <c r="D2" s="3141"/>
      <c r="E2" s="3142"/>
      <c r="F2" s="3143"/>
      <c r="G2" s="3237"/>
      <c r="H2" s="3238"/>
      <c r="I2" s="3239"/>
      <c r="J2" s="3555" t="s">
        <v>2838</v>
      </c>
      <c r="K2" s="3556"/>
      <c r="L2" s="3240" t="s">
        <v>2839</v>
      </c>
      <c r="M2" s="3240" t="s">
        <v>2840</v>
      </c>
      <c r="N2" s="3240" t="s">
        <v>2841</v>
      </c>
      <c r="O2" s="3240" t="s">
        <v>2842</v>
      </c>
      <c r="P2" s="3240" t="s">
        <v>2843</v>
      </c>
      <c r="Q2" s="3241" t="s">
        <v>2844</v>
      </c>
      <c r="R2" s="3242" t="s">
        <v>2845</v>
      </c>
      <c r="S2" s="3236"/>
      <c r="T2" s="3236"/>
      <c r="U2" s="3236"/>
      <c r="V2" s="3239"/>
      <c r="W2" s="3238"/>
    </row>
    <row r="3" spans="1:23" s="3144" customFormat="1" ht="13.15" customHeight="1">
      <c r="A3" s="3146" t="s">
        <v>2846</v>
      </c>
      <c r="B3" s="3147" t="e">
        <f>ROUND(B2*10000/B4,0)</f>
        <v>#DIV/0!</v>
      </c>
      <c r="C3" s="3141" t="s">
        <v>2847</v>
      </c>
      <c r="D3" s="3141"/>
      <c r="E3" s="3142"/>
      <c r="F3" s="3143"/>
      <c r="G3" s="3237"/>
      <c r="H3" s="3238"/>
      <c r="I3" s="3239"/>
      <c r="J3" s="3557" t="s">
        <v>2848</v>
      </c>
      <c r="K3" s="3558"/>
      <c r="L3" s="3243"/>
      <c r="M3" s="3243"/>
      <c r="N3" s="3243"/>
      <c r="O3" s="3243"/>
      <c r="P3" s="3243"/>
      <c r="Q3" s="3244"/>
      <c r="R3" s="3245">
        <f>SUM(L3:Q3)</f>
        <v>0</v>
      </c>
      <c r="S3" s="3236"/>
      <c r="T3" s="3236"/>
      <c r="U3" s="3236"/>
      <c r="V3" s="3239"/>
      <c r="W3" s="3238"/>
    </row>
    <row r="4" spans="1:23" s="3144" customFormat="1" ht="13.15" customHeight="1">
      <c r="A4" s="3148" t="s">
        <v>2849</v>
      </c>
      <c r="B4" s="3205"/>
      <c r="C4" s="3141"/>
      <c r="D4" s="3141"/>
      <c r="E4" s="3142"/>
      <c r="F4" s="3143"/>
      <c r="G4" s="3237"/>
      <c r="H4" s="3238"/>
      <c r="I4" s="3239"/>
      <c r="J4" s="3557" t="s">
        <v>2850</v>
      </c>
      <c r="K4" s="3558"/>
      <c r="L4" s="3246"/>
      <c r="M4" s="3246"/>
      <c r="N4" s="3246"/>
      <c r="O4" s="3246"/>
      <c r="P4" s="3246"/>
      <c r="Q4" s="3247"/>
      <c r="R4" s="3248">
        <f>SUM(L4:Q4)</f>
        <v>0</v>
      </c>
      <c r="S4" s="3236"/>
      <c r="T4" s="3236"/>
      <c r="U4" s="3236"/>
      <c r="V4" s="3239"/>
      <c r="W4" s="3238"/>
    </row>
    <row r="5" spans="1:23" s="3144" customFormat="1" ht="13.15" customHeight="1" thickBot="1">
      <c r="A5" s="3149" t="s">
        <v>2851</v>
      </c>
      <c r="B5" s="3206"/>
      <c r="C5" s="3141"/>
      <c r="D5" s="3150"/>
      <c r="E5" s="3143"/>
      <c r="F5" s="3143"/>
      <c r="G5" s="3237"/>
      <c r="H5" s="3238"/>
      <c r="I5" s="3239"/>
      <c r="J5" s="3249" t="s">
        <v>2852</v>
      </c>
      <c r="K5" s="3250"/>
      <c r="L5" s="3250"/>
      <c r="M5" s="3251"/>
      <c r="N5" s="3251"/>
      <c r="O5" s="3251"/>
      <c r="P5" s="3251"/>
      <c r="Q5" s="3251"/>
      <c r="R5" s="3242">
        <f>SUM(R14,R19,R24,R25,R27,R28)</f>
        <v>0</v>
      </c>
      <c r="S5" s="3236"/>
      <c r="T5" s="3236" t="s">
        <v>2853</v>
      </c>
      <c r="U5" s="3236" t="e">
        <f>ROUND(R5*10000/365/R3,1)</f>
        <v>#DIV/0!</v>
      </c>
      <c r="V5" s="3239"/>
      <c r="W5" s="3238"/>
    </row>
    <row r="6" spans="1:23" s="3144" customFormat="1" ht="13.15" customHeight="1" thickBot="1">
      <c r="A6" s="3559" t="s">
        <v>2854</v>
      </c>
      <c r="B6" s="3560"/>
      <c r="C6" s="3561"/>
      <c r="D6" s="3207"/>
      <c r="E6" s="3151"/>
      <c r="F6" s="3152"/>
      <c r="G6" s="3252"/>
      <c r="H6" s="3238"/>
      <c r="I6" s="3239"/>
      <c r="J6" s="3562">
        <v>1</v>
      </c>
      <c r="K6" s="3563" t="s">
        <v>2855</v>
      </c>
      <c r="L6" s="3253" t="s">
        <v>2856</v>
      </c>
      <c r="M6" s="3254" t="s">
        <v>2857</v>
      </c>
      <c r="N6" s="3254" t="s">
        <v>2858</v>
      </c>
      <c r="O6" s="3254" t="s">
        <v>2859</v>
      </c>
      <c r="P6" s="3254" t="s">
        <v>2860</v>
      </c>
      <c r="Q6" s="3254" t="s">
        <v>2861</v>
      </c>
      <c r="R6" s="3245" t="s">
        <v>2862</v>
      </c>
      <c r="S6" s="3236"/>
      <c r="T6" s="3236" t="s">
        <v>2863</v>
      </c>
      <c r="U6" s="3236"/>
      <c r="V6" s="3239"/>
      <c r="W6" s="3238"/>
    </row>
    <row r="7" spans="1:23" s="3144" customFormat="1" ht="13.15" customHeight="1">
      <c r="A7" s="3154" t="s">
        <v>2864</v>
      </c>
      <c r="B7" s="3155"/>
      <c r="C7" s="3156"/>
      <c r="D7" s="3157">
        <f>SUM(D9,D10,D11,D17,0)</f>
        <v>0</v>
      </c>
      <c r="E7" s="3158" t="e">
        <f>E9+E10+E11+E17</f>
        <v>#DIV/0!</v>
      </c>
      <c r="F7" s="3159"/>
      <c r="G7" s="3255"/>
      <c r="H7" s="3238"/>
      <c r="I7" s="3239"/>
      <c r="J7" s="3562"/>
      <c r="K7" s="3564"/>
      <c r="L7" s="3256" t="s">
        <v>2964</v>
      </c>
      <c r="M7" s="3257"/>
      <c r="N7" s="3257"/>
      <c r="O7" s="3258"/>
      <c r="P7" s="3258"/>
      <c r="Q7" s="3259">
        <v>365</v>
      </c>
      <c r="R7" s="3260">
        <f>ROUND(M7*N7*O7*P7*Q7/10000,0)</f>
        <v>0</v>
      </c>
      <c r="S7" s="3236"/>
      <c r="T7" s="3236" t="s">
        <v>2865</v>
      </c>
      <c r="U7" s="3236"/>
      <c r="V7" s="3239"/>
      <c r="W7" s="3238"/>
    </row>
    <row r="8" spans="1:23" s="3144" customFormat="1" ht="13.15" customHeight="1">
      <c r="A8" s="3160" t="s">
        <v>2866</v>
      </c>
      <c r="B8" s="3566" t="s">
        <v>2867</v>
      </c>
      <c r="C8" s="3567"/>
      <c r="D8" s="3161" t="s">
        <v>2868</v>
      </c>
      <c r="E8" s="3162" t="s">
        <v>2869</v>
      </c>
      <c r="F8" s="3145" t="s">
        <v>2870</v>
      </c>
      <c r="G8" s="3315" t="s">
        <v>2978</v>
      </c>
      <c r="H8" s="3238"/>
      <c r="I8" s="3239"/>
      <c r="J8" s="3562"/>
      <c r="K8" s="3564"/>
      <c r="L8" s="3256" t="s">
        <v>2965</v>
      </c>
      <c r="M8" s="3257"/>
      <c r="N8" s="3257"/>
      <c r="O8" s="3258"/>
      <c r="P8" s="3258"/>
      <c r="Q8" s="3259">
        <v>365</v>
      </c>
      <c r="R8" s="3260">
        <f t="shared" ref="R8:R13" si="0">ROUND(M8*N8*O8*P8*Q8/10000,0)</f>
        <v>0</v>
      </c>
      <c r="S8" s="3236"/>
      <c r="T8" s="3236" t="s">
        <v>2871</v>
      </c>
      <c r="U8" s="3236"/>
      <c r="V8" s="3239"/>
      <c r="W8" s="3238"/>
    </row>
    <row r="9" spans="1:23" s="3144" customFormat="1" ht="13.15" customHeight="1">
      <c r="A9" s="3160">
        <v>1</v>
      </c>
      <c r="B9" s="3566" t="s">
        <v>2872</v>
      </c>
      <c r="C9" s="3567"/>
      <c r="D9" s="3161">
        <f>ROUND(D6*E9,0)</f>
        <v>0</v>
      </c>
      <c r="E9" s="3208"/>
      <c r="F9" s="3163" t="s">
        <v>2873</v>
      </c>
      <c r="G9" s="3261" t="s">
        <v>2976</v>
      </c>
      <c r="H9" s="3238"/>
      <c r="I9" s="3239"/>
      <c r="J9" s="3562"/>
      <c r="K9" s="3564"/>
      <c r="L9" s="3256" t="s">
        <v>2966</v>
      </c>
      <c r="M9" s="3257"/>
      <c r="N9" s="3257"/>
      <c r="O9" s="3258"/>
      <c r="P9" s="3258"/>
      <c r="Q9" s="3259">
        <v>365</v>
      </c>
      <c r="R9" s="3260">
        <f t="shared" si="0"/>
        <v>0</v>
      </c>
      <c r="S9" s="3236"/>
      <c r="T9" s="3236"/>
      <c r="U9" s="3236"/>
      <c r="V9" s="3239"/>
      <c r="W9" s="3238"/>
    </row>
    <row r="10" spans="1:23" s="3144" customFormat="1" ht="13.15" customHeight="1">
      <c r="A10" s="3160">
        <v>2</v>
      </c>
      <c r="B10" s="3566" t="s">
        <v>2874</v>
      </c>
      <c r="C10" s="3567"/>
      <c r="D10" s="3161">
        <f>ROUND(D6*E10,0)</f>
        <v>0</v>
      </c>
      <c r="E10" s="3208"/>
      <c r="F10" s="3163" t="s">
        <v>2875</v>
      </c>
      <c r="G10" s="3261" t="s">
        <v>2977</v>
      </c>
      <c r="H10" s="3238"/>
      <c r="I10" s="3239"/>
      <c r="J10" s="3562"/>
      <c r="K10" s="3564"/>
      <c r="L10" s="3256" t="s">
        <v>2967</v>
      </c>
      <c r="M10" s="3257"/>
      <c r="N10" s="3257"/>
      <c r="O10" s="3258"/>
      <c r="P10" s="3258"/>
      <c r="Q10" s="3259">
        <v>365</v>
      </c>
      <c r="R10" s="3260">
        <f t="shared" si="0"/>
        <v>0</v>
      </c>
      <c r="S10" s="3236"/>
      <c r="T10" s="3236"/>
      <c r="U10" s="3236"/>
      <c r="V10" s="3239"/>
      <c r="W10" s="3238"/>
    </row>
    <row r="11" spans="1:23" s="3144" customFormat="1" ht="13.15" customHeight="1">
      <c r="A11" s="3160">
        <v>3</v>
      </c>
      <c r="B11" s="3566" t="s">
        <v>2876</v>
      </c>
      <c r="C11" s="3567"/>
      <c r="D11" s="3161">
        <f>D12+D14+D15+D16</f>
        <v>0</v>
      </c>
      <c r="E11" s="3164" t="e">
        <f>D11/D6</f>
        <v>#DIV/0!</v>
      </c>
      <c r="F11" s="3145"/>
      <c r="G11" s="3261"/>
      <c r="H11" s="3238"/>
      <c r="I11" s="3239"/>
      <c r="J11" s="3562"/>
      <c r="K11" s="3564"/>
      <c r="L11" s="3256" t="s">
        <v>2968</v>
      </c>
      <c r="M11" s="3257"/>
      <c r="N11" s="3257"/>
      <c r="O11" s="3258"/>
      <c r="P11" s="3258"/>
      <c r="Q11" s="3259">
        <v>365</v>
      </c>
      <c r="R11" s="3260">
        <f t="shared" si="0"/>
        <v>0</v>
      </c>
      <c r="S11" s="3236"/>
      <c r="T11" s="3236"/>
      <c r="U11" s="3236"/>
      <c r="V11" s="3239"/>
      <c r="W11" s="3238"/>
    </row>
    <row r="12" spans="1:23" s="3144" customFormat="1" ht="13.15" customHeight="1">
      <c r="A12" s="3165" t="s">
        <v>2877</v>
      </c>
      <c r="B12" s="3568" t="s">
        <v>2878</v>
      </c>
      <c r="C12" s="3569"/>
      <c r="D12" s="3166">
        <f>ROUND(D13*1.2%*(1-30%),0)</f>
        <v>0</v>
      </c>
      <c r="E12" s="3167">
        <v>1.2E-2</v>
      </c>
      <c r="F12" s="3145" t="s">
        <v>2879</v>
      </c>
      <c r="G12" s="3261"/>
      <c r="H12" s="3238"/>
      <c r="I12" s="3239"/>
      <c r="J12" s="3562"/>
      <c r="K12" s="3564"/>
      <c r="L12" s="3256" t="s">
        <v>2969</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2880</v>
      </c>
      <c r="D13" s="3209"/>
      <c r="E13" s="3170"/>
      <c r="F13" s="3145"/>
      <c r="G13" s="3261"/>
      <c r="H13" s="3238"/>
      <c r="I13" s="3239"/>
      <c r="J13" s="3562"/>
      <c r="K13" s="3564"/>
      <c r="L13" s="3256" t="s">
        <v>2970</v>
      </c>
      <c r="M13" s="3257"/>
      <c r="N13" s="3257"/>
      <c r="O13" s="3258"/>
      <c r="P13" s="3258"/>
      <c r="Q13" s="3259">
        <v>365</v>
      </c>
      <c r="R13" s="3260">
        <f t="shared" si="0"/>
        <v>0</v>
      </c>
      <c r="S13" s="3236"/>
      <c r="T13" s="3236"/>
      <c r="U13" s="3236"/>
      <c r="V13" s="3239"/>
      <c r="W13" s="3238"/>
    </row>
    <row r="14" spans="1:23" s="3144" customFormat="1" ht="13.15" customHeight="1">
      <c r="A14" s="3165" t="s">
        <v>2881</v>
      </c>
      <c r="B14" s="3568" t="s">
        <v>2882</v>
      </c>
      <c r="C14" s="3569"/>
      <c r="D14" s="3166">
        <f>ROUND(E14*B5/10000,0)</f>
        <v>0</v>
      </c>
      <c r="E14" s="3210"/>
      <c r="F14" s="3145" t="s">
        <v>2883</v>
      </c>
      <c r="G14" s="3261"/>
      <c r="H14" s="3238"/>
      <c r="I14" s="3239"/>
      <c r="J14" s="3562"/>
      <c r="K14" s="3565"/>
      <c r="L14" s="3262" t="s">
        <v>2884</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2885</v>
      </c>
      <c r="B15" s="3568" t="s">
        <v>2886</v>
      </c>
      <c r="C15" s="3569"/>
      <c r="D15" s="3166">
        <f>ROUND(D6*E15,0)</f>
        <v>0</v>
      </c>
      <c r="E15" s="3167">
        <v>5.5E-2</v>
      </c>
      <c r="F15" s="3145" t="s">
        <v>2887</v>
      </c>
      <c r="G15" s="3261"/>
      <c r="H15" s="3238"/>
      <c r="I15" s="3239"/>
      <c r="J15" s="3562">
        <v>2</v>
      </c>
      <c r="K15" s="3563" t="s">
        <v>2888</v>
      </c>
      <c r="L15" s="3266" t="s">
        <v>2889</v>
      </c>
      <c r="M15" s="3267" t="s">
        <v>2890</v>
      </c>
      <c r="N15" s="3267" t="s">
        <v>2891</v>
      </c>
      <c r="O15" s="3268" t="s">
        <v>2892</v>
      </c>
      <c r="P15" s="3268" t="s">
        <v>2893</v>
      </c>
      <c r="Q15" s="3205" t="s">
        <v>2894</v>
      </c>
      <c r="R15" s="3269" t="s">
        <v>2895</v>
      </c>
      <c r="S15" s="3236"/>
      <c r="T15" s="3236"/>
      <c r="U15" s="3236"/>
      <c r="V15" s="3239"/>
      <c r="W15" s="3238"/>
    </row>
    <row r="16" spans="1:23" s="3144" customFormat="1" ht="13.15" customHeight="1">
      <c r="A16" s="3165" t="s">
        <v>2896</v>
      </c>
      <c r="B16" s="3568" t="s">
        <v>2897</v>
      </c>
      <c r="C16" s="3569"/>
      <c r="D16" s="3211">
        <f>D6*E16</f>
        <v>0</v>
      </c>
      <c r="E16" s="3212"/>
      <c r="F16" s="3163" t="s">
        <v>2898</v>
      </c>
      <c r="G16" s="3261"/>
      <c r="H16" s="3238"/>
      <c r="I16" s="3239"/>
      <c r="J16" s="3562"/>
      <c r="K16" s="3564"/>
      <c r="L16" s="3256" t="s">
        <v>2971</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570" t="s">
        <v>2899</v>
      </c>
      <c r="C17" s="3571"/>
      <c r="D17" s="3172">
        <f>ROUND(D6*E17,0)</f>
        <v>0</v>
      </c>
      <c r="E17" s="3213"/>
      <c r="F17" s="3173" t="s">
        <v>2900</v>
      </c>
      <c r="G17" s="3314">
        <v>0.1</v>
      </c>
      <c r="H17" s="3238"/>
      <c r="I17" s="3239"/>
      <c r="J17" s="3562"/>
      <c r="K17" s="3564"/>
      <c r="L17" s="3256" t="s">
        <v>2972</v>
      </c>
      <c r="M17" s="3257"/>
      <c r="N17" s="3257"/>
      <c r="O17" s="3258"/>
      <c r="P17" s="3259">
        <v>365</v>
      </c>
      <c r="Q17" s="3257"/>
      <c r="R17" s="3270">
        <f>ROUND(M17*N17*O17*P17/10000,0)</f>
        <v>0</v>
      </c>
      <c r="S17" s="3236"/>
      <c r="T17" s="3236"/>
      <c r="U17" s="3236"/>
      <c r="V17" s="3239"/>
      <c r="W17" s="3238"/>
    </row>
    <row r="18" spans="1:23" s="3144" customFormat="1" ht="13.15" customHeight="1" thickBot="1">
      <c r="A18" s="3154" t="s">
        <v>2901</v>
      </c>
      <c r="B18" s="3155"/>
      <c r="C18" s="3155"/>
      <c r="D18" s="3174">
        <f>ROUND(D6*E18,0)</f>
        <v>0</v>
      </c>
      <c r="E18" s="3214"/>
      <c r="F18" s="3175" t="s">
        <v>2902</v>
      </c>
      <c r="G18" s="3314">
        <v>0.05</v>
      </c>
      <c r="H18" s="3238"/>
      <c r="I18" s="3239"/>
      <c r="J18" s="3562"/>
      <c r="K18" s="3564"/>
      <c r="L18" s="3256" t="s">
        <v>2973</v>
      </c>
      <c r="M18" s="3257"/>
      <c r="N18" s="3257"/>
      <c r="O18" s="3258"/>
      <c r="P18" s="3259">
        <v>365</v>
      </c>
      <c r="Q18" s="3257"/>
      <c r="R18" s="3270">
        <f>ROUND(M18*N18*O18*P18/10000,0)</f>
        <v>0</v>
      </c>
      <c r="S18" s="3236"/>
      <c r="T18" s="3236"/>
      <c r="U18" s="3236"/>
      <c r="V18" s="3239"/>
      <c r="W18" s="3238"/>
    </row>
    <row r="19" spans="1:23" s="3144" customFormat="1" ht="13.15" customHeight="1" thickBot="1">
      <c r="A19" s="3176" t="s">
        <v>2903</v>
      </c>
      <c r="B19" s="3151"/>
      <c r="C19" s="3151"/>
      <c r="D19" s="3151"/>
      <c r="E19" s="3151"/>
      <c r="F19" s="3152"/>
      <c r="G19" s="3261"/>
      <c r="H19" s="3238"/>
      <c r="I19" s="3239"/>
      <c r="J19" s="3562"/>
      <c r="K19" s="3565"/>
      <c r="L19" s="3262" t="s">
        <v>2884</v>
      </c>
      <c r="M19" s="3263"/>
      <c r="N19" s="3263">
        <f>SUM(N16:N18)</f>
        <v>0</v>
      </c>
      <c r="O19" s="3264"/>
      <c r="P19" s="3271" t="s">
        <v>2974</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62">
        <v>3</v>
      </c>
      <c r="K20" s="3563" t="s">
        <v>2904</v>
      </c>
      <c r="L20" s="3266" t="s">
        <v>2905</v>
      </c>
      <c r="M20" s="3267" t="s">
        <v>2906</v>
      </c>
      <c r="N20" s="3273" t="s">
        <v>2907</v>
      </c>
      <c r="O20" s="3268" t="s">
        <v>2908</v>
      </c>
      <c r="P20" s="3210" t="s">
        <v>2893</v>
      </c>
      <c r="Q20" s="3205" t="s">
        <v>2894</v>
      </c>
      <c r="R20" s="3269" t="s">
        <v>2895</v>
      </c>
      <c r="S20" s="3274"/>
      <c r="T20" s="3274"/>
      <c r="U20" s="3274"/>
      <c r="V20" s="3239"/>
      <c r="W20" s="3238"/>
    </row>
    <row r="21" spans="1:23" s="3144" customFormat="1" ht="13.15" customHeight="1">
      <c r="A21" s="3154"/>
      <c r="B21" s="3155"/>
      <c r="C21" s="3178" t="s">
        <v>2909</v>
      </c>
      <c r="D21" s="3179" t="s">
        <v>2910</v>
      </c>
      <c r="E21" s="3180" t="s">
        <v>2911</v>
      </c>
      <c r="F21" s="3177"/>
      <c r="G21" s="3261"/>
      <c r="H21" s="3238"/>
      <c r="I21" s="3239"/>
      <c r="J21" s="3562"/>
      <c r="K21" s="3564"/>
      <c r="L21" s="3266" t="s">
        <v>2912</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2913</v>
      </c>
      <c r="D22" s="3216" t="s">
        <v>2914</v>
      </c>
      <c r="E22" s="3217" t="s">
        <v>2915</v>
      </c>
      <c r="F22" s="3177"/>
      <c r="G22" s="3276"/>
      <c r="H22" s="3238"/>
      <c r="I22" s="3239"/>
      <c r="J22" s="3562"/>
      <c r="K22" s="3564"/>
      <c r="L22" s="3266" t="s">
        <v>2916</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2917</v>
      </c>
      <c r="C23" s="3182">
        <f>D6</f>
        <v>0</v>
      </c>
      <c r="D23" s="3183">
        <f>C23*(1+D24)</f>
        <v>0</v>
      </c>
      <c r="E23" s="3184">
        <f>D23*(1+E24)</f>
        <v>0</v>
      </c>
      <c r="F23" s="3185"/>
      <c r="G23" s="3277"/>
      <c r="H23" s="3238"/>
      <c r="I23" s="3239"/>
      <c r="J23" s="3562"/>
      <c r="K23" s="3564"/>
      <c r="L23" s="3266" t="s">
        <v>2918</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2919</v>
      </c>
      <c r="C24" s="3188"/>
      <c r="D24" s="3218"/>
      <c r="E24" s="3219"/>
      <c r="F24" s="3189"/>
      <c r="G24" s="3277"/>
      <c r="H24" s="3238"/>
      <c r="I24" s="3239"/>
      <c r="J24" s="3562"/>
      <c r="K24" s="3565"/>
      <c r="L24" s="3262" t="s">
        <v>2884</v>
      </c>
      <c r="M24" s="3263">
        <f>SUM(M21:M23)</f>
        <v>0</v>
      </c>
      <c r="N24" s="3263"/>
      <c r="O24" s="3264"/>
      <c r="P24" s="3271" t="s">
        <v>2974</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2920</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2921</v>
      </c>
      <c r="C26" s="3182">
        <f>D7</f>
        <v>0</v>
      </c>
      <c r="D26" s="3183">
        <f>D23*D27</f>
        <v>0</v>
      </c>
      <c r="E26" s="3184">
        <f>E23*E27</f>
        <v>0</v>
      </c>
      <c r="F26" s="3185"/>
      <c r="G26" s="3277"/>
      <c r="H26" s="3238"/>
      <c r="I26" s="3239"/>
      <c r="J26" s="3572">
        <v>5</v>
      </c>
      <c r="K26" s="3285" t="s">
        <v>2922</v>
      </c>
      <c r="L26" s="3286"/>
      <c r="M26" s="3287"/>
      <c r="N26" s="3288" t="s">
        <v>2923</v>
      </c>
      <c r="O26" s="3288" t="s">
        <v>2924</v>
      </c>
      <c r="P26" s="3289" t="s">
        <v>2925</v>
      </c>
      <c r="Q26" s="3289" t="s">
        <v>2926</v>
      </c>
      <c r="R26" s="3245" t="s">
        <v>2895</v>
      </c>
      <c r="S26" s="3290"/>
      <c r="T26" s="3290"/>
      <c r="U26" s="3290"/>
      <c r="V26" s="3283"/>
      <c r="W26" s="3284"/>
    </row>
    <row r="27" spans="1:23" s="3144" customFormat="1" ht="13.15" customHeight="1">
      <c r="A27" s="3186"/>
      <c r="B27" s="3187" t="s">
        <v>2927</v>
      </c>
      <c r="C27" s="3191" t="e">
        <f>E7</f>
        <v>#DIV/0!</v>
      </c>
      <c r="D27" s="3218"/>
      <c r="E27" s="3219"/>
      <c r="F27" s="3189"/>
      <c r="G27" s="3277"/>
      <c r="H27" s="3284"/>
      <c r="I27" s="3283"/>
      <c r="J27" s="3573"/>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2928</v>
      </c>
      <c r="F28" s="3189"/>
      <c r="G28" s="3276"/>
      <c r="H28" s="3284"/>
      <c r="I28" s="3283"/>
      <c r="J28" s="3296">
        <v>6</v>
      </c>
      <c r="K28" s="3297" t="s">
        <v>2929</v>
      </c>
      <c r="L28" s="3298" t="s">
        <v>2930</v>
      </c>
      <c r="M28" s="3299"/>
      <c r="N28" s="3298" t="s">
        <v>2931</v>
      </c>
      <c r="O28" s="3300"/>
      <c r="P28" s="3298" t="s">
        <v>2932</v>
      </c>
      <c r="Q28" s="3301">
        <v>1.4999999999999999E-2</v>
      </c>
      <c r="R28" s="3302"/>
      <c r="S28" s="3274"/>
      <c r="T28" s="3274"/>
      <c r="U28" s="3274"/>
      <c r="V28" s="3283"/>
      <c r="W28" s="3284"/>
    </row>
    <row r="29" spans="1:23" s="3190" customFormat="1" ht="13.15" customHeight="1">
      <c r="A29" s="3181">
        <v>3</v>
      </c>
      <c r="B29" s="3153" t="s">
        <v>2933</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2927</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2934</v>
      </c>
      <c r="K31" s="3234"/>
      <c r="L31" s="3234"/>
      <c r="M31" s="3234"/>
      <c r="N31" s="3234"/>
      <c r="O31" s="3234"/>
      <c r="P31" s="3234"/>
      <c r="Q31" s="3234"/>
      <c r="R31" s="3235"/>
      <c r="S31" s="3274"/>
      <c r="T31" s="3236"/>
      <c r="U31" s="3236"/>
      <c r="V31" s="3283"/>
      <c r="W31" s="3284"/>
    </row>
    <row r="32" spans="1:23" s="3190" customFormat="1" ht="13.15" customHeight="1">
      <c r="A32" s="3181">
        <v>4</v>
      </c>
      <c r="B32" s="3153" t="s">
        <v>2935</v>
      </c>
      <c r="C32" s="3182">
        <f>C23-C26-C29</f>
        <v>0</v>
      </c>
      <c r="D32" s="3183">
        <f>D23-D26-D29</f>
        <v>0</v>
      </c>
      <c r="E32" s="3184">
        <f>E23-E26-E29</f>
        <v>0</v>
      </c>
      <c r="F32" s="3185"/>
      <c r="G32" s="3276"/>
      <c r="H32" s="3238"/>
      <c r="I32" s="3239"/>
      <c r="J32" s="3555" t="s">
        <v>2936</v>
      </c>
      <c r="K32" s="3556"/>
      <c r="L32" s="3240" t="s">
        <v>2937</v>
      </c>
      <c r="M32" s="3240" t="s">
        <v>2840</v>
      </c>
      <c r="N32" s="3240" t="s">
        <v>2841</v>
      </c>
      <c r="O32" s="3240" t="s">
        <v>2842</v>
      </c>
      <c r="P32" s="3240" t="s">
        <v>2843</v>
      </c>
      <c r="Q32" s="3241" t="s">
        <v>2938</v>
      </c>
      <c r="R32" s="3303" t="s">
        <v>2939</v>
      </c>
      <c r="S32" s="3274"/>
      <c r="T32" s="3236"/>
      <c r="U32" s="3236"/>
      <c r="V32" s="3283"/>
      <c r="W32" s="3284"/>
    </row>
    <row r="33" spans="1:23" s="3144" customFormat="1" ht="13.15" customHeight="1">
      <c r="A33" s="3181"/>
      <c r="B33" s="3153"/>
      <c r="C33" s="3182"/>
      <c r="D33" s="3193"/>
      <c r="E33" s="3194"/>
      <c r="F33" s="3185"/>
      <c r="G33" s="3276"/>
      <c r="H33" s="3284"/>
      <c r="I33" s="3283"/>
      <c r="J33" s="3557" t="s">
        <v>2940</v>
      </c>
      <c r="K33" s="3558"/>
      <c r="L33" s="3243"/>
      <c r="M33" s="3243"/>
      <c r="N33" s="3243"/>
      <c r="O33" s="3243"/>
      <c r="P33" s="3243"/>
      <c r="Q33" s="3244"/>
      <c r="R33" s="3304">
        <f>SUM(L33:Q33)</f>
        <v>0</v>
      </c>
      <c r="S33" s="3274"/>
      <c r="T33" s="3236"/>
      <c r="U33" s="3236"/>
      <c r="V33" s="3239"/>
      <c r="W33" s="3238"/>
    </row>
    <row r="34" spans="1:23" s="3144" customFormat="1" ht="13.15" customHeight="1">
      <c r="A34" s="3181">
        <v>5</v>
      </c>
      <c r="B34" s="3153" t="s">
        <v>2941</v>
      </c>
      <c r="C34" s="3221"/>
      <c r="D34" s="3222"/>
      <c r="E34" s="3223"/>
      <c r="F34" s="3185"/>
      <c r="G34" s="3276"/>
      <c r="H34" s="3284"/>
      <c r="I34" s="3283"/>
      <c r="J34" s="3557" t="s">
        <v>2942</v>
      </c>
      <c r="K34" s="3558"/>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2943</v>
      </c>
      <c r="C35" s="3224"/>
      <c r="D35" s="3225"/>
      <c r="E35" s="3226"/>
      <c r="F35" s="3185"/>
      <c r="G35" s="3306"/>
      <c r="H35" s="3238"/>
      <c r="I35" s="3283"/>
      <c r="J35" s="3249" t="s">
        <v>2944</v>
      </c>
      <c r="K35" s="3250"/>
      <c r="L35" s="3250"/>
      <c r="M35" s="3251"/>
      <c r="N35" s="3251"/>
      <c r="O35" s="3251"/>
      <c r="P35" s="3251"/>
      <c r="Q35" s="3251"/>
      <c r="R35" s="3307">
        <f>R40+R41+R43</f>
        <v>0</v>
      </c>
      <c r="S35" s="3274"/>
      <c r="T35" s="3236" t="s">
        <v>2945</v>
      </c>
      <c r="U35" s="3236"/>
      <c r="V35" s="3239"/>
      <c r="W35" s="3238"/>
    </row>
    <row r="36" spans="1:23" s="3144" customFormat="1" ht="13.15" customHeight="1" thickBot="1">
      <c r="A36" s="3181">
        <v>7</v>
      </c>
      <c r="B36" s="3195" t="s">
        <v>2946</v>
      </c>
      <c r="C36" s="3227"/>
      <c r="D36" s="3228"/>
      <c r="E36" s="3229"/>
      <c r="F36" s="3196">
        <f>C36+D36+E36</f>
        <v>0</v>
      </c>
      <c r="G36" s="3276"/>
      <c r="H36" s="3238"/>
      <c r="I36" s="3239"/>
      <c r="J36" s="3562">
        <v>1</v>
      </c>
      <c r="K36" s="3563" t="s">
        <v>2947</v>
      </c>
      <c r="L36" s="3253"/>
      <c r="M36" s="3254"/>
      <c r="N36" s="3254"/>
      <c r="O36" s="3254"/>
      <c r="P36" s="3254"/>
      <c r="Q36" s="3254"/>
      <c r="R36" s="3245" t="s">
        <v>2895</v>
      </c>
      <c r="S36" s="3274"/>
      <c r="T36" s="3236" t="s">
        <v>2948</v>
      </c>
      <c r="U36" s="3236"/>
      <c r="V36" s="3239"/>
      <c r="W36" s="3238"/>
    </row>
    <row r="37" spans="1:23" s="3144" customFormat="1" ht="13.15" customHeight="1">
      <c r="A37" s="3181"/>
      <c r="B37" s="3153"/>
      <c r="C37" s="3153"/>
      <c r="D37" s="3153"/>
      <c r="E37" s="3153"/>
      <c r="F37" s="3185"/>
      <c r="G37" s="3276"/>
      <c r="H37" s="3238"/>
      <c r="I37" s="3239"/>
      <c r="J37" s="3562"/>
      <c r="K37" s="3564"/>
      <c r="L37" s="3266"/>
      <c r="M37" s="3267"/>
      <c r="N37" s="3205"/>
      <c r="O37" s="3268"/>
      <c r="P37" s="3268"/>
      <c r="Q37" s="3210"/>
      <c r="R37" s="3308"/>
      <c r="S37" s="3274"/>
      <c r="T37" s="3236" t="s">
        <v>2949</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62"/>
      <c r="K38" s="3564"/>
      <c r="L38" s="3266"/>
      <c r="M38" s="3267"/>
      <c r="N38" s="3205"/>
      <c r="O38" s="3268"/>
      <c r="P38" s="3268"/>
      <c r="Q38" s="3210"/>
      <c r="R38" s="3308"/>
      <c r="S38" s="3274"/>
      <c r="T38" s="3236" t="s">
        <v>2871</v>
      </c>
      <c r="U38" s="3236"/>
      <c r="V38" s="3239"/>
      <c r="W38" s="3238"/>
    </row>
    <row r="39" spans="1:23" s="3144" customFormat="1" ht="13.15" customHeight="1">
      <c r="A39" s="3181">
        <v>9</v>
      </c>
      <c r="B39" s="3153" t="s">
        <v>2950</v>
      </c>
      <c r="C39" s="3166" t="e">
        <f>C38</f>
        <v>#DIV/0!</v>
      </c>
      <c r="D39" s="3153">
        <f>D38/(1+D34)^C36</f>
        <v>0</v>
      </c>
      <c r="E39" s="3153">
        <f>E38/(1+E34)^(C36+D36)</f>
        <v>0</v>
      </c>
      <c r="F39" s="3185"/>
      <c r="G39" s="3309"/>
      <c r="H39" s="3238"/>
      <c r="I39" s="3239"/>
      <c r="J39" s="3562"/>
      <c r="K39" s="3564"/>
      <c r="L39" s="3266"/>
      <c r="M39" s="3267"/>
      <c r="N39" s="3205"/>
      <c r="O39" s="3268"/>
      <c r="P39" s="3268"/>
      <c r="Q39" s="3210"/>
      <c r="R39" s="3308"/>
      <c r="S39" s="3274"/>
      <c r="T39" s="3236"/>
      <c r="U39" s="3236"/>
      <c r="V39" s="3239"/>
      <c r="W39" s="3238"/>
    </row>
    <row r="40" spans="1:23" s="3144" customFormat="1" ht="13.15" customHeight="1">
      <c r="A40" s="3197">
        <v>10</v>
      </c>
      <c r="B40" s="3153" t="s">
        <v>2951</v>
      </c>
      <c r="C40" s="3198" t="e">
        <f>C39+D39+E39</f>
        <v>#DIV/0!</v>
      </c>
      <c r="D40" s="3199"/>
      <c r="E40" s="3199"/>
      <c r="F40" s="3200"/>
      <c r="G40" s="3276"/>
      <c r="H40" s="3238"/>
      <c r="I40" s="3239"/>
      <c r="J40" s="3562"/>
      <c r="K40" s="3565"/>
      <c r="L40" s="3262" t="s">
        <v>2952</v>
      </c>
      <c r="M40" s="3263"/>
      <c r="N40" s="3263"/>
      <c r="O40" s="3264"/>
      <c r="P40" s="3264"/>
      <c r="Q40" s="3265"/>
      <c r="R40" s="3242">
        <f>SUM(R37:R39)</f>
        <v>0</v>
      </c>
      <c r="S40" s="3274"/>
      <c r="T40" s="3236"/>
      <c r="U40" s="3236"/>
      <c r="V40" s="3239"/>
      <c r="W40" s="3238"/>
    </row>
    <row r="41" spans="1:23" s="3144" customFormat="1" ht="13.15" customHeight="1" thickBot="1">
      <c r="A41" s="3201">
        <v>11</v>
      </c>
      <c r="B41" s="3202" t="s">
        <v>2953</v>
      </c>
      <c r="C41" s="3202" t="e">
        <f>ROUND(C40*10000/B4,0)</f>
        <v>#DIV/0!</v>
      </c>
      <c r="D41" s="3203"/>
      <c r="E41" s="3203"/>
      <c r="F41" s="3204"/>
      <c r="G41" s="3310"/>
      <c r="H41" s="3238"/>
      <c r="I41" s="3239"/>
      <c r="J41" s="3278">
        <v>2</v>
      </c>
      <c r="K41" s="3279" t="s">
        <v>2954</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572">
        <v>3</v>
      </c>
      <c r="K42" s="3285" t="s">
        <v>2955</v>
      </c>
      <c r="L42" s="3286"/>
      <c r="M42" s="3287"/>
      <c r="N42" s="3288" t="s">
        <v>2956</v>
      </c>
      <c r="O42" s="3288" t="s">
        <v>2957</v>
      </c>
      <c r="P42" s="3289" t="s">
        <v>2958</v>
      </c>
      <c r="Q42" s="3289" t="s">
        <v>2959</v>
      </c>
      <c r="R42" s="3245" t="s">
        <v>2862</v>
      </c>
      <c r="S42" s="3290"/>
      <c r="T42" s="3290"/>
      <c r="U42" s="3236"/>
      <c r="V42" s="3239"/>
      <c r="W42" s="3238"/>
    </row>
    <row r="43" spans="1:23" ht="13.15" customHeight="1">
      <c r="A43" s="3144"/>
      <c r="B43" s="3144"/>
      <c r="C43" s="3144"/>
      <c r="D43" s="3144"/>
      <c r="E43" s="3144"/>
      <c r="F43" s="3144"/>
      <c r="I43" s="3231"/>
      <c r="J43" s="3573"/>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2960</v>
      </c>
      <c r="L44" s="3313" t="s">
        <v>2961</v>
      </c>
      <c r="M44" s="3299"/>
      <c r="N44" s="3313" t="s">
        <v>2962</v>
      </c>
      <c r="O44" s="3299"/>
      <c r="P44" s="3313" t="s">
        <v>2963</v>
      </c>
      <c r="Q44" s="3301">
        <v>1.4999999999999999E-2</v>
      </c>
      <c r="R44" s="3302"/>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f>项目基本情况!B4</f>
        <v>0</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吴薇（注册号:1419970001）、郑燚（注册号:1120070131)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77" t="s">
        <v>2155</v>
      </c>
      <c r="D4" s="3578"/>
      <c r="E4" s="3578"/>
      <c r="F4" s="3578"/>
      <c r="G4" s="3578"/>
      <c r="H4" s="3578"/>
      <c r="I4" s="3578"/>
      <c r="J4" s="3578"/>
      <c r="K4" s="3578"/>
      <c r="L4" s="3578"/>
      <c r="M4" s="3578"/>
      <c r="N4" s="3578"/>
      <c r="O4" s="3578"/>
      <c r="P4" s="3578"/>
      <c r="Q4" s="3578"/>
      <c r="R4" s="3578"/>
      <c r="S4" s="3579"/>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574" t="s">
        <v>45</v>
      </c>
      <c r="D25" s="3575"/>
      <c r="E25" s="3575"/>
      <c r="F25" s="3575"/>
      <c r="G25" s="3575"/>
      <c r="H25" s="3575"/>
      <c r="I25" s="3575"/>
      <c r="J25" s="3575"/>
      <c r="K25" s="3575"/>
      <c r="L25" s="3575"/>
      <c r="M25" s="3575"/>
      <c r="N25" s="3575"/>
      <c r="O25" s="3575"/>
      <c r="P25" s="3575"/>
      <c r="Q25" s="3576"/>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65"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63</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2188</v>
      </c>
      <c r="B4" s="1634"/>
      <c r="C4" s="3613" t="s">
        <v>2189</v>
      </c>
      <c r="D4" s="3614"/>
      <c r="E4" s="3615" t="s">
        <v>2190</v>
      </c>
      <c r="F4" s="3616"/>
      <c r="G4" s="3613" t="s">
        <v>2191</v>
      </c>
      <c r="H4" s="3614"/>
      <c r="I4" s="3613" t="s">
        <v>2192</v>
      </c>
      <c r="J4" s="3614"/>
      <c r="K4" s="1635" t="s">
        <v>2193</v>
      </c>
      <c r="L4" s="2967"/>
      <c r="M4" s="2968"/>
      <c r="N4" s="2968"/>
      <c r="O4" s="2968"/>
      <c r="P4" s="3617" t="s">
        <v>2194</v>
      </c>
      <c r="Q4" s="3618"/>
      <c r="R4" s="3602" t="s">
        <v>2190</v>
      </c>
      <c r="S4" s="3603"/>
      <c r="T4" s="3602" t="s">
        <v>2191</v>
      </c>
      <c r="U4" s="3603"/>
      <c r="V4" s="3623" t="s">
        <v>2192</v>
      </c>
      <c r="W4" s="3623"/>
      <c r="X4" s="1636"/>
      <c r="Y4" s="3602" t="s">
        <v>2194</v>
      </c>
      <c r="Z4" s="3603"/>
      <c r="AA4" s="3610" t="s">
        <v>2190</v>
      </c>
      <c r="AB4" s="3610" t="s">
        <v>2191</v>
      </c>
      <c r="AC4" s="3610" t="s">
        <v>2192</v>
      </c>
    </row>
    <row r="5" spans="1:29" ht="15">
      <c r="A5" s="1638"/>
      <c r="B5" s="1639"/>
      <c r="C5" s="3598" t="s">
        <v>2195</v>
      </c>
      <c r="D5" s="3599"/>
      <c r="E5" s="3624" t="s">
        <v>2196</v>
      </c>
      <c r="F5" s="3625"/>
      <c r="G5" s="3598" t="s">
        <v>2197</v>
      </c>
      <c r="H5" s="3599"/>
      <c r="I5" s="3598" t="s">
        <v>2198</v>
      </c>
      <c r="J5" s="3599"/>
      <c r="K5" s="1640"/>
      <c r="L5" s="2967"/>
      <c r="M5" s="2968"/>
      <c r="N5" s="2968"/>
      <c r="O5" s="2968"/>
      <c r="P5" s="3619"/>
      <c r="Q5" s="3620"/>
      <c r="R5" s="3604"/>
      <c r="S5" s="3605"/>
      <c r="T5" s="3604"/>
      <c r="U5" s="3605"/>
      <c r="V5" s="3623"/>
      <c r="W5" s="3623"/>
      <c r="X5" s="1636"/>
      <c r="Y5" s="3604"/>
      <c r="Z5" s="3605"/>
      <c r="AA5" s="3611"/>
      <c r="AB5" s="3611"/>
      <c r="AC5" s="3611"/>
    </row>
    <row r="6" spans="1:29" ht="15.75" thickBot="1">
      <c r="A6" s="1641"/>
      <c r="B6" s="1642"/>
      <c r="C6" s="3596" t="s">
        <v>2199</v>
      </c>
      <c r="D6" s="3597"/>
      <c r="E6" s="3626" t="s">
        <v>2199</v>
      </c>
      <c r="F6" s="3627"/>
      <c r="G6" s="3596" t="s">
        <v>2199</v>
      </c>
      <c r="H6" s="3597"/>
      <c r="I6" s="3596" t="s">
        <v>2199</v>
      </c>
      <c r="J6" s="3597"/>
      <c r="K6" s="1640" t="s">
        <v>2200</v>
      </c>
      <c r="L6" s="2967"/>
      <c r="M6" s="2968"/>
      <c r="N6" s="2968"/>
      <c r="O6" s="2968"/>
      <c r="P6" s="3621"/>
      <c r="Q6" s="3622"/>
      <c r="R6" s="3604"/>
      <c r="S6" s="3605"/>
      <c r="T6" s="3606"/>
      <c r="U6" s="3607"/>
      <c r="V6" s="3623"/>
      <c r="W6" s="3623"/>
      <c r="X6" s="1636"/>
      <c r="Y6" s="3606"/>
      <c r="Z6" s="3607"/>
      <c r="AA6" s="3612"/>
      <c r="AB6" s="3612"/>
      <c r="AC6" s="3612"/>
    </row>
    <row r="7" spans="1:29" s="1655" customFormat="1" ht="15.75" thickBot="1">
      <c r="A7" s="1643" t="s">
        <v>2201</v>
      </c>
      <c r="B7" s="1644"/>
      <c r="C7" s="1645">
        <f>'数据-取费表'!B2</f>
        <v>44610</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600" t="s">
        <v>2202</v>
      </c>
      <c r="Q7" s="3608"/>
      <c r="R7" s="1651" t="s">
        <v>34</v>
      </c>
      <c r="S7" s="1652">
        <f t="shared" ref="S7:S15" si="0">F7</f>
        <v>0</v>
      </c>
      <c r="T7" s="1651" t="s">
        <v>34</v>
      </c>
      <c r="U7" s="1652">
        <f t="shared" ref="U7:U15" si="1">H7</f>
        <v>0</v>
      </c>
      <c r="V7" s="1651" t="s">
        <v>34</v>
      </c>
      <c r="W7" s="1652">
        <f t="shared" ref="W7:W15" si="2">J7</f>
        <v>0</v>
      </c>
      <c r="X7" s="1653"/>
      <c r="Y7" s="3600" t="s">
        <v>2202</v>
      </c>
      <c r="Z7" s="3601"/>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600" t="s">
        <v>2205</v>
      </c>
      <c r="Q8" s="3601"/>
      <c r="R8" s="1651" t="s">
        <v>34</v>
      </c>
      <c r="S8" s="1652">
        <f t="shared" si="0"/>
        <v>0</v>
      </c>
      <c r="T8" s="1651" t="s">
        <v>34</v>
      </c>
      <c r="U8" s="1652">
        <f t="shared" si="1"/>
        <v>0</v>
      </c>
      <c r="V8" s="1651" t="s">
        <v>34</v>
      </c>
      <c r="W8" s="1652">
        <f t="shared" si="2"/>
        <v>0</v>
      </c>
      <c r="X8" s="1653"/>
      <c r="Y8" s="3600" t="s">
        <v>2205</v>
      </c>
      <c r="Z8" s="3601"/>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09" t="s">
        <v>2208</v>
      </c>
      <c r="Q9" s="1605" t="str">
        <f t="shared" ref="Q9:Q15" si="6">B9</f>
        <v>用途</v>
      </c>
      <c r="R9" s="1651" t="s">
        <v>25</v>
      </c>
      <c r="S9" s="1652">
        <f t="shared" si="0"/>
        <v>100</v>
      </c>
      <c r="T9" s="1651" t="s">
        <v>25</v>
      </c>
      <c r="U9" s="1652">
        <f t="shared" si="1"/>
        <v>100</v>
      </c>
      <c r="V9" s="1651" t="s">
        <v>25</v>
      </c>
      <c r="W9" s="1652">
        <f t="shared" si="2"/>
        <v>100</v>
      </c>
      <c r="X9" s="1653"/>
      <c r="Y9" s="3448"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09"/>
      <c r="Q10" s="1605" t="str">
        <f t="shared" si="6"/>
        <v>土地使用年限（年）</v>
      </c>
      <c r="R10" s="1651" t="s">
        <v>25</v>
      </c>
      <c r="S10" s="1652">
        <f t="shared" si="0"/>
        <v>100</v>
      </c>
      <c r="T10" s="1651" t="s">
        <v>25</v>
      </c>
      <c r="U10" s="1652">
        <f t="shared" si="1"/>
        <v>100</v>
      </c>
      <c r="V10" s="1651" t="s">
        <v>25</v>
      </c>
      <c r="W10" s="1652">
        <f t="shared" si="2"/>
        <v>100</v>
      </c>
      <c r="X10" s="1653"/>
      <c r="Y10" s="3448"/>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09"/>
      <c r="Q11" s="1605" t="str">
        <f t="shared" si="6"/>
        <v>容积率</v>
      </c>
      <c r="R11" s="1651" t="s">
        <v>28</v>
      </c>
      <c r="S11" s="1652" t="e">
        <f t="shared" si="0"/>
        <v>#N/A</v>
      </c>
      <c r="T11" s="1651" t="s">
        <v>28</v>
      </c>
      <c r="U11" s="1652" t="e">
        <f t="shared" si="1"/>
        <v>#N/A</v>
      </c>
      <c r="V11" s="1651" t="s">
        <v>28</v>
      </c>
      <c r="W11" s="1652" t="e">
        <f t="shared" si="2"/>
        <v>#N/A</v>
      </c>
      <c r="X11" s="1653"/>
      <c r="Y11" s="344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09"/>
      <c r="Q12" s="1605">
        <f t="shared" si="6"/>
        <v>111</v>
      </c>
      <c r="R12" s="1651" t="s">
        <v>28</v>
      </c>
      <c r="S12" s="1652">
        <f t="shared" si="0"/>
        <v>100</v>
      </c>
      <c r="T12" s="1651" t="s">
        <v>28</v>
      </c>
      <c r="U12" s="1652">
        <f t="shared" si="1"/>
        <v>100</v>
      </c>
      <c r="V12" s="1651" t="s">
        <v>28</v>
      </c>
      <c r="W12" s="1652">
        <f t="shared" si="2"/>
        <v>100</v>
      </c>
      <c r="X12" s="1653"/>
      <c r="Y12" s="3448"/>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09"/>
      <c r="Q13" s="1605">
        <f t="shared" si="6"/>
        <v>111</v>
      </c>
      <c r="R13" s="1651" t="s">
        <v>28</v>
      </c>
      <c r="S13" s="1652">
        <f t="shared" si="0"/>
        <v>100</v>
      </c>
      <c r="T13" s="1651" t="s">
        <v>28</v>
      </c>
      <c r="U13" s="1652">
        <f t="shared" si="1"/>
        <v>100</v>
      </c>
      <c r="V13" s="1651" t="s">
        <v>28</v>
      </c>
      <c r="W13" s="1652">
        <f t="shared" si="2"/>
        <v>100</v>
      </c>
      <c r="X13" s="1653"/>
      <c r="Y13" s="3448"/>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09"/>
      <c r="Q14" s="1605">
        <f t="shared" si="6"/>
        <v>111</v>
      </c>
      <c r="R14" s="1651" t="s">
        <v>28</v>
      </c>
      <c r="S14" s="1652">
        <f t="shared" si="0"/>
        <v>100</v>
      </c>
      <c r="T14" s="1651" t="s">
        <v>28</v>
      </c>
      <c r="U14" s="1652">
        <f t="shared" si="1"/>
        <v>100</v>
      </c>
      <c r="V14" s="1651" t="s">
        <v>28</v>
      </c>
      <c r="W14" s="1652">
        <f t="shared" si="2"/>
        <v>100</v>
      </c>
      <c r="X14" s="1653"/>
      <c r="Y14" s="3448"/>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587" t="s">
        <v>2213</v>
      </c>
      <c r="Q15" s="1586" t="str">
        <f t="shared" si="6"/>
        <v>居住社区成熟度</v>
      </c>
      <c r="R15" s="1696" t="s">
        <v>28</v>
      </c>
      <c r="S15" s="1697">
        <f t="shared" si="0"/>
        <v>100</v>
      </c>
      <c r="T15" s="1696" t="s">
        <v>28</v>
      </c>
      <c r="U15" s="1697">
        <f t="shared" si="1"/>
        <v>100</v>
      </c>
      <c r="V15" s="1696" t="s">
        <v>28</v>
      </c>
      <c r="W15" s="1697">
        <f t="shared" si="2"/>
        <v>100</v>
      </c>
      <c r="X15" s="1636"/>
      <c r="Y15" s="3589"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588"/>
      <c r="Q16" s="1586"/>
      <c r="R16" s="1696"/>
      <c r="S16" s="1697"/>
      <c r="T16" s="1696"/>
      <c r="U16" s="1697"/>
      <c r="V16" s="1696"/>
      <c r="W16" s="1697"/>
      <c r="X16" s="1636"/>
      <c r="Y16" s="3590"/>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588"/>
      <c r="Q17" s="1586" t="str">
        <f>B17</f>
        <v>交通便捷度</v>
      </c>
      <c r="R17" s="1696" t="s">
        <v>28</v>
      </c>
      <c r="S17" s="1697">
        <f>F17</f>
        <v>100</v>
      </c>
      <c r="T17" s="1696" t="s">
        <v>28</v>
      </c>
      <c r="U17" s="1697">
        <f>H17</f>
        <v>100</v>
      </c>
      <c r="V17" s="1696" t="s">
        <v>28</v>
      </c>
      <c r="W17" s="1697">
        <f>J17</f>
        <v>100</v>
      </c>
      <c r="X17" s="1636"/>
      <c r="Y17" s="3590"/>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588"/>
      <c r="Q18" s="1586"/>
      <c r="R18" s="1696"/>
      <c r="S18" s="1697"/>
      <c r="T18" s="1696"/>
      <c r="U18" s="1697"/>
      <c r="V18" s="1696"/>
      <c r="W18" s="1697"/>
      <c r="X18" s="1636"/>
      <c r="Y18" s="3590"/>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588"/>
      <c r="Q19" s="1586" t="str">
        <f>B19</f>
        <v>公共配套设施</v>
      </c>
      <c r="R19" s="1696" t="s">
        <v>28</v>
      </c>
      <c r="S19" s="1697">
        <f>F19</f>
        <v>100</v>
      </c>
      <c r="T19" s="1696" t="s">
        <v>28</v>
      </c>
      <c r="U19" s="1697">
        <f>H19</f>
        <v>100</v>
      </c>
      <c r="V19" s="1696" t="s">
        <v>28</v>
      </c>
      <c r="W19" s="1697">
        <f>J19</f>
        <v>100</v>
      </c>
      <c r="X19" s="1636"/>
      <c r="Y19" s="3590"/>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588"/>
      <c r="Q20" s="1586"/>
      <c r="R20" s="1696"/>
      <c r="S20" s="1697"/>
      <c r="T20" s="1696"/>
      <c r="U20" s="1697"/>
      <c r="V20" s="1696"/>
      <c r="W20" s="1697"/>
      <c r="X20" s="1636"/>
      <c r="Y20" s="3590"/>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588"/>
      <c r="Q21" s="1586" t="str">
        <f>B21</f>
        <v>基础设施水平</v>
      </c>
      <c r="R21" s="1696" t="s">
        <v>28</v>
      </c>
      <c r="S21" s="1697">
        <f>F21</f>
        <v>100</v>
      </c>
      <c r="T21" s="1696" t="s">
        <v>28</v>
      </c>
      <c r="U21" s="1697">
        <f>H21</f>
        <v>100</v>
      </c>
      <c r="V21" s="1696" t="s">
        <v>28</v>
      </c>
      <c r="W21" s="1697">
        <f>J21</f>
        <v>100</v>
      </c>
      <c r="X21" s="1636"/>
      <c r="Y21" s="3590"/>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588"/>
      <c r="Q22" s="1586"/>
      <c r="R22" s="1696"/>
      <c r="S22" s="1697"/>
      <c r="T22" s="1696"/>
      <c r="U22" s="1697"/>
      <c r="V22" s="1696"/>
      <c r="W22" s="1697"/>
      <c r="X22" s="1636"/>
      <c r="Y22" s="3590"/>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588"/>
      <c r="Q23" s="1586" t="str">
        <f>B23</f>
        <v>自然及人文环境</v>
      </c>
      <c r="R23" s="1696" t="s">
        <v>28</v>
      </c>
      <c r="S23" s="1697">
        <f>F23</f>
        <v>100</v>
      </c>
      <c r="T23" s="1696" t="s">
        <v>28</v>
      </c>
      <c r="U23" s="1697">
        <f>H23</f>
        <v>100</v>
      </c>
      <c r="V23" s="1696" t="s">
        <v>28</v>
      </c>
      <c r="W23" s="1697">
        <f>J23</f>
        <v>100</v>
      </c>
      <c r="X23" s="1636"/>
      <c r="Y23" s="3590"/>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588"/>
      <c r="Q24" s="1586"/>
      <c r="R24" s="1696"/>
      <c r="S24" s="1697"/>
      <c r="T24" s="1696"/>
      <c r="U24" s="1697"/>
      <c r="V24" s="1696"/>
      <c r="W24" s="1697"/>
      <c r="X24" s="1636"/>
      <c r="Y24" s="3590"/>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588"/>
      <c r="Q25" s="1586" t="str">
        <f t="shared" ref="Q25:Q46" si="11">B25</f>
        <v>楼层-1</v>
      </c>
      <c r="R25" s="1696" t="s">
        <v>28</v>
      </c>
      <c r="S25" s="1697">
        <f>F25</f>
        <v>100</v>
      </c>
      <c r="T25" s="1696" t="s">
        <v>28</v>
      </c>
      <c r="U25" s="1697">
        <f>H25</f>
        <v>100</v>
      </c>
      <c r="V25" s="1696" t="s">
        <v>28</v>
      </c>
      <c r="W25" s="1697">
        <f>J25</f>
        <v>100</v>
      </c>
      <c r="X25" s="1636"/>
      <c r="Y25" s="3590"/>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588"/>
      <c r="Q26" s="1586" t="str">
        <f t="shared" si="11"/>
        <v>朝向</v>
      </c>
      <c r="R26" s="1696" t="s">
        <v>28</v>
      </c>
      <c r="S26" s="1697">
        <f>F26</f>
        <v>100</v>
      </c>
      <c r="T26" s="1696" t="s">
        <v>28</v>
      </c>
      <c r="U26" s="1697">
        <f>H26</f>
        <v>100</v>
      </c>
      <c r="V26" s="1696" t="s">
        <v>28</v>
      </c>
      <c r="W26" s="1697">
        <f>J26</f>
        <v>100</v>
      </c>
      <c r="X26" s="1636"/>
      <c r="Y26" s="3590"/>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588"/>
      <c r="Q27" s="1605" t="str">
        <f t="shared" si="11"/>
        <v>道路级别</v>
      </c>
      <c r="R27" s="1651" t="s">
        <v>28</v>
      </c>
      <c r="S27" s="1652">
        <f>F27</f>
        <v>100</v>
      </c>
      <c r="T27" s="1651" t="s">
        <v>28</v>
      </c>
      <c r="U27" s="1652">
        <f>H27</f>
        <v>100</v>
      </c>
      <c r="V27" s="1651" t="s">
        <v>28</v>
      </c>
      <c r="W27" s="1652">
        <f>J27</f>
        <v>100</v>
      </c>
      <c r="X27" s="1653"/>
      <c r="Y27" s="3590"/>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588"/>
      <c r="Q28" s="1586">
        <f t="shared" si="11"/>
        <v>111</v>
      </c>
      <c r="R28" s="1696" t="s">
        <v>28</v>
      </c>
      <c r="S28" s="1697">
        <f t="shared" ref="S28:S46" si="12">F28</f>
        <v>100</v>
      </c>
      <c r="T28" s="1696" t="s">
        <v>28</v>
      </c>
      <c r="U28" s="1697">
        <f t="shared" ref="U28:U46" si="13">H28</f>
        <v>100</v>
      </c>
      <c r="V28" s="1696" t="s">
        <v>28</v>
      </c>
      <c r="W28" s="1697">
        <f t="shared" ref="W28:W46" si="14">J28</f>
        <v>100</v>
      </c>
      <c r="X28" s="1636"/>
      <c r="Y28" s="3590"/>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588"/>
      <c r="Q29" s="1586">
        <f t="shared" si="11"/>
        <v>111</v>
      </c>
      <c r="R29" s="1696" t="s">
        <v>28</v>
      </c>
      <c r="S29" s="1697">
        <f t="shared" si="12"/>
        <v>100</v>
      </c>
      <c r="T29" s="1696" t="s">
        <v>28</v>
      </c>
      <c r="U29" s="1697">
        <f t="shared" si="13"/>
        <v>100</v>
      </c>
      <c r="V29" s="1696" t="s">
        <v>28</v>
      </c>
      <c r="W29" s="1697">
        <f t="shared" si="14"/>
        <v>100</v>
      </c>
      <c r="X29" s="1636"/>
      <c r="Y29" s="3590"/>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588"/>
      <c r="Q30" s="1586">
        <f t="shared" si="11"/>
        <v>111</v>
      </c>
      <c r="R30" s="1696" t="s">
        <v>28</v>
      </c>
      <c r="S30" s="1697">
        <f t="shared" si="12"/>
        <v>100</v>
      </c>
      <c r="T30" s="1696" t="s">
        <v>28</v>
      </c>
      <c r="U30" s="1697">
        <f t="shared" si="13"/>
        <v>100</v>
      </c>
      <c r="V30" s="1696" t="s">
        <v>28</v>
      </c>
      <c r="W30" s="1697">
        <f t="shared" si="14"/>
        <v>100</v>
      </c>
      <c r="X30" s="1636"/>
      <c r="Y30" s="3590"/>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588"/>
      <c r="Q31" s="1586">
        <f t="shared" si="11"/>
        <v>111</v>
      </c>
      <c r="R31" s="1696" t="s">
        <v>28</v>
      </c>
      <c r="S31" s="1697">
        <f t="shared" si="12"/>
        <v>100</v>
      </c>
      <c r="T31" s="1696" t="s">
        <v>28</v>
      </c>
      <c r="U31" s="1697">
        <f t="shared" si="13"/>
        <v>100</v>
      </c>
      <c r="V31" s="1696" t="s">
        <v>28</v>
      </c>
      <c r="W31" s="1697">
        <f t="shared" si="14"/>
        <v>100</v>
      </c>
      <c r="X31" s="1636"/>
      <c r="Y31" s="3590"/>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591" t="s">
        <v>2219</v>
      </c>
      <c r="Q32" s="1586" t="str">
        <f t="shared" si="11"/>
        <v>建筑类型</v>
      </c>
      <c r="R32" s="1696" t="s">
        <v>28</v>
      </c>
      <c r="S32" s="1697">
        <f t="shared" si="12"/>
        <v>100</v>
      </c>
      <c r="T32" s="1696" t="s">
        <v>28</v>
      </c>
      <c r="U32" s="1697">
        <f t="shared" si="13"/>
        <v>100</v>
      </c>
      <c r="V32" s="1696" t="s">
        <v>28</v>
      </c>
      <c r="W32" s="1697">
        <f t="shared" si="14"/>
        <v>100</v>
      </c>
      <c r="X32" s="1636"/>
      <c r="Y32" s="3594"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592"/>
      <c r="Q33" s="1737" t="str">
        <f t="shared" si="11"/>
        <v>项目建筑规模</v>
      </c>
      <c r="R33" s="1738" t="s">
        <v>28</v>
      </c>
      <c r="S33" s="1739" t="e">
        <f t="shared" si="12"/>
        <v>#N/A</v>
      </c>
      <c r="T33" s="1738" t="s">
        <v>28</v>
      </c>
      <c r="U33" s="1739" t="e">
        <f t="shared" si="13"/>
        <v>#N/A</v>
      </c>
      <c r="V33" s="1738" t="s">
        <v>28</v>
      </c>
      <c r="W33" s="1739" t="e">
        <f t="shared" si="14"/>
        <v>#N/A</v>
      </c>
      <c r="X33" s="1740"/>
      <c r="Y33" s="3594"/>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592"/>
      <c r="Q34" s="1586" t="str">
        <f t="shared" si="11"/>
        <v>建筑结构</v>
      </c>
      <c r="R34" s="1696" t="s">
        <v>28</v>
      </c>
      <c r="S34" s="1697">
        <f t="shared" si="12"/>
        <v>100</v>
      </c>
      <c r="T34" s="1696" t="s">
        <v>28</v>
      </c>
      <c r="U34" s="1697">
        <f t="shared" si="13"/>
        <v>100</v>
      </c>
      <c r="V34" s="1696" t="s">
        <v>28</v>
      </c>
      <c r="W34" s="1697">
        <f t="shared" si="14"/>
        <v>100</v>
      </c>
      <c r="X34" s="1636"/>
      <c r="Y34" s="3594"/>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592"/>
      <c r="Q35" s="1586" t="str">
        <f t="shared" si="11"/>
        <v>建筑品质</v>
      </c>
      <c r="R35" s="1696" t="s">
        <v>28</v>
      </c>
      <c r="S35" s="1697">
        <f t="shared" si="12"/>
        <v>100</v>
      </c>
      <c r="T35" s="1696" t="s">
        <v>28</v>
      </c>
      <c r="U35" s="1697">
        <f t="shared" si="13"/>
        <v>100</v>
      </c>
      <c r="V35" s="1696" t="s">
        <v>28</v>
      </c>
      <c r="W35" s="1697">
        <f t="shared" si="14"/>
        <v>100</v>
      </c>
      <c r="X35" s="1636"/>
      <c r="Y35" s="3594"/>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592"/>
      <c r="Q36" s="1586" t="str">
        <f t="shared" si="11"/>
        <v>公共部分装修</v>
      </c>
      <c r="R36" s="1696" t="s">
        <v>28</v>
      </c>
      <c r="S36" s="1697">
        <f t="shared" si="12"/>
        <v>100</v>
      </c>
      <c r="T36" s="1696" t="s">
        <v>28</v>
      </c>
      <c r="U36" s="1697">
        <f t="shared" si="13"/>
        <v>100</v>
      </c>
      <c r="V36" s="1696" t="s">
        <v>28</v>
      </c>
      <c r="W36" s="1697">
        <f t="shared" si="14"/>
        <v>100</v>
      </c>
      <c r="X36" s="1636"/>
      <c r="Y36" s="3594"/>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592"/>
      <c r="Q37" s="1605" t="str">
        <f t="shared" si="11"/>
        <v>成新度</v>
      </c>
      <c r="R37" s="1651" t="s">
        <v>28</v>
      </c>
      <c r="S37" s="1652" t="e">
        <f t="shared" si="12"/>
        <v>#N/A</v>
      </c>
      <c r="T37" s="1651" t="s">
        <v>28</v>
      </c>
      <c r="U37" s="1652" t="e">
        <f t="shared" si="13"/>
        <v>#N/A</v>
      </c>
      <c r="V37" s="1651" t="s">
        <v>28</v>
      </c>
      <c r="W37" s="1652" t="e">
        <f t="shared" si="14"/>
        <v>#N/A</v>
      </c>
      <c r="X37" s="1653"/>
      <c r="Y37" s="3594"/>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592" t="s">
        <v>2219</v>
      </c>
      <c r="Q38" s="1586" t="str">
        <f t="shared" si="11"/>
        <v>物业管理</v>
      </c>
      <c r="R38" s="1696" t="s">
        <v>28</v>
      </c>
      <c r="S38" s="1697">
        <f t="shared" si="12"/>
        <v>100</v>
      </c>
      <c r="T38" s="1696" t="s">
        <v>28</v>
      </c>
      <c r="U38" s="1697">
        <f t="shared" si="13"/>
        <v>100</v>
      </c>
      <c r="V38" s="1696" t="s">
        <v>28</v>
      </c>
      <c r="W38" s="1697">
        <f t="shared" si="14"/>
        <v>100</v>
      </c>
      <c r="X38" s="1636"/>
      <c r="Y38" s="3594"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592"/>
      <c r="Q39" s="1586" t="str">
        <f t="shared" si="11"/>
        <v>市政基础设施</v>
      </c>
      <c r="R39" s="1696" t="s">
        <v>28</v>
      </c>
      <c r="S39" s="1697">
        <f t="shared" si="12"/>
        <v>100</v>
      </c>
      <c r="T39" s="1696" t="s">
        <v>28</v>
      </c>
      <c r="U39" s="1697">
        <f t="shared" si="13"/>
        <v>100</v>
      </c>
      <c r="V39" s="1696" t="s">
        <v>28</v>
      </c>
      <c r="W39" s="1697">
        <f t="shared" si="14"/>
        <v>100</v>
      </c>
      <c r="X39" s="1636"/>
      <c r="Y39" s="3594"/>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592"/>
      <c r="Q40" s="1586" t="str">
        <f t="shared" si="11"/>
        <v>房型</v>
      </c>
      <c r="R40" s="1696" t="s">
        <v>28</v>
      </c>
      <c r="S40" s="1697">
        <f t="shared" si="12"/>
        <v>100</v>
      </c>
      <c r="T40" s="1696" t="s">
        <v>28</v>
      </c>
      <c r="U40" s="1697">
        <f t="shared" si="13"/>
        <v>100</v>
      </c>
      <c r="V40" s="1696" t="s">
        <v>28</v>
      </c>
      <c r="W40" s="1697">
        <f t="shared" si="14"/>
        <v>100</v>
      </c>
      <c r="X40" s="1636"/>
      <c r="Y40" s="3594"/>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592"/>
      <c r="Q41" s="1737" t="str">
        <f t="shared" si="11"/>
        <v>单套/主力户型建筑面积</v>
      </c>
      <c r="R41" s="1738" t="s">
        <v>28</v>
      </c>
      <c r="S41" s="1739">
        <f t="shared" si="12"/>
        <v>100</v>
      </c>
      <c r="T41" s="1738" t="s">
        <v>28</v>
      </c>
      <c r="U41" s="1739">
        <f t="shared" si="13"/>
        <v>100</v>
      </c>
      <c r="V41" s="1738" t="s">
        <v>28</v>
      </c>
      <c r="W41" s="1739">
        <f t="shared" si="14"/>
        <v>100</v>
      </c>
      <c r="X41" s="1740"/>
      <c r="Y41" s="3594"/>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592"/>
      <c r="Q42" s="1586" t="str">
        <f t="shared" si="11"/>
        <v>内部装修</v>
      </c>
      <c r="R42" s="1696" t="s">
        <v>28</v>
      </c>
      <c r="S42" s="1697">
        <f t="shared" si="12"/>
        <v>100</v>
      </c>
      <c r="T42" s="1696" t="s">
        <v>28</v>
      </c>
      <c r="U42" s="1697">
        <f t="shared" si="13"/>
        <v>100</v>
      </c>
      <c r="V42" s="1696" t="s">
        <v>28</v>
      </c>
      <c r="W42" s="1697">
        <f t="shared" si="14"/>
        <v>100</v>
      </c>
      <c r="X42" s="1636"/>
      <c r="Y42" s="3594"/>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592"/>
      <c r="Q43" s="1586" t="str">
        <f t="shared" si="11"/>
        <v>内部装修维护情况</v>
      </c>
      <c r="R43" s="1696" t="s">
        <v>28</v>
      </c>
      <c r="S43" s="1697">
        <f t="shared" si="12"/>
        <v>100</v>
      </c>
      <c r="T43" s="1696" t="s">
        <v>28</v>
      </c>
      <c r="U43" s="1697">
        <f t="shared" si="13"/>
        <v>100</v>
      </c>
      <c r="V43" s="1696" t="s">
        <v>28</v>
      </c>
      <c r="W43" s="1697">
        <f t="shared" si="14"/>
        <v>100</v>
      </c>
      <c r="X43" s="1636"/>
      <c r="Y43" s="3594"/>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592"/>
      <c r="Q44" s="1605">
        <f t="shared" si="11"/>
        <v>111</v>
      </c>
      <c r="R44" s="1651" t="s">
        <v>28</v>
      </c>
      <c r="S44" s="1652">
        <f t="shared" si="12"/>
        <v>100</v>
      </c>
      <c r="T44" s="1651" t="s">
        <v>28</v>
      </c>
      <c r="U44" s="1652">
        <f t="shared" si="13"/>
        <v>100</v>
      </c>
      <c r="V44" s="1651" t="s">
        <v>28</v>
      </c>
      <c r="W44" s="1652">
        <f t="shared" si="14"/>
        <v>100</v>
      </c>
      <c r="X44" s="1653"/>
      <c r="Y44" s="3594"/>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592"/>
      <c r="Q45" s="1586">
        <f t="shared" si="11"/>
        <v>111</v>
      </c>
      <c r="R45" s="1696" t="s">
        <v>28</v>
      </c>
      <c r="S45" s="1697">
        <f t="shared" si="12"/>
        <v>100</v>
      </c>
      <c r="T45" s="1696" t="s">
        <v>28</v>
      </c>
      <c r="U45" s="1697">
        <f t="shared" si="13"/>
        <v>100</v>
      </c>
      <c r="V45" s="1696" t="s">
        <v>28</v>
      </c>
      <c r="W45" s="1697">
        <f t="shared" si="14"/>
        <v>100</v>
      </c>
      <c r="X45" s="1636"/>
      <c r="Y45" s="3594"/>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593"/>
      <c r="Q46" s="1586">
        <f t="shared" si="11"/>
        <v>111</v>
      </c>
      <c r="R46" s="1696" t="s">
        <v>27</v>
      </c>
      <c r="S46" s="1697">
        <f t="shared" si="12"/>
        <v>100</v>
      </c>
      <c r="T46" s="1696" t="s">
        <v>27</v>
      </c>
      <c r="U46" s="1697">
        <f t="shared" si="13"/>
        <v>100</v>
      </c>
      <c r="V46" s="1696" t="s">
        <v>27</v>
      </c>
      <c r="W46" s="1697">
        <f t="shared" si="14"/>
        <v>100</v>
      </c>
      <c r="X46" s="1636"/>
      <c r="Y46" s="3595"/>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3"/>
      <c r="N47" s="2968"/>
      <c r="P47" s="3586" t="str">
        <f>A47</f>
        <v>成交单价（元/平方米）</v>
      </c>
      <c r="Q47" s="3586"/>
      <c r="R47" s="3582">
        <f>E47</f>
        <v>0</v>
      </c>
      <c r="S47" s="3582"/>
      <c r="T47" s="3582">
        <f>G47</f>
        <v>0</v>
      </c>
      <c r="U47" s="3582"/>
      <c r="V47" s="3582">
        <f>I47</f>
        <v>0</v>
      </c>
      <c r="W47" s="3582"/>
      <c r="X47" s="1762"/>
      <c r="Y47" s="1763"/>
      <c r="Z47" s="1762"/>
      <c r="AA47" s="1762"/>
      <c r="AB47" s="1762"/>
      <c r="AC47" s="1762"/>
    </row>
    <row r="48" spans="1:29" ht="15.75" thickBot="1">
      <c r="A48" s="1764" t="s">
        <v>2232</v>
      </c>
      <c r="B48" s="1765"/>
      <c r="C48" s="1766" t="e">
        <f>R49</f>
        <v>#DIV/0!</v>
      </c>
      <c r="D48" s="1767" t="s">
        <v>2685</v>
      </c>
      <c r="E48" s="1768" t="e">
        <f>R48</f>
        <v>#DIV/0!</v>
      </c>
      <c r="F48" s="1769"/>
      <c r="G48" s="1766" t="e">
        <f>T48</f>
        <v>#DIV/0!</v>
      </c>
      <c r="H48" s="1769"/>
      <c r="I48" s="1768" t="e">
        <f>V48</f>
        <v>#DIV/0!</v>
      </c>
      <c r="J48" s="1769"/>
      <c r="K48" s="2482">
        <f>F48+H48+J48</f>
        <v>0</v>
      </c>
      <c r="L48" s="2973"/>
      <c r="P48" s="3586" t="str">
        <f>A48</f>
        <v>比较价值（元/平方米）</v>
      </c>
      <c r="Q48" s="3586"/>
      <c r="R48" s="3582" t="e">
        <f>IF(E1="售价",ROUND(PRODUCT(R47,AA7:AA46),0),ROUND(PRODUCT(R47,AA7:AA46),1))</f>
        <v>#DIV/0!</v>
      </c>
      <c r="S48" s="3582"/>
      <c r="T48" s="3580" t="e">
        <f>IF(E1="售价",ROUND(PRODUCT(T47,AB7:AB46),0),ROUND(PRODUCT(T47,AB7:AB46),1))</f>
        <v>#DIV/0!</v>
      </c>
      <c r="U48" s="3581"/>
      <c r="V48" s="3582" t="e">
        <f>IF(E1="售价",ROUND(PRODUCT(V47,AC7:AC46),0),ROUND(PRODUCT(V47,AC7:AC46),1))</f>
        <v>#DIV/0!</v>
      </c>
      <c r="W48" s="3582"/>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3"/>
      <c r="P49" s="3583" t="str">
        <f>A49</f>
        <v>估价对象XX用房的比较价值（楼面单价，元/平方米）</v>
      </c>
      <c r="Q49" s="3584"/>
      <c r="R49" s="3585" t="e">
        <f>IF(E1="售价",ROUND(IF(D48="简单平均",AVERAGE(R48:V48),R48*F48+T48*H48+V48*J48),0),ROUND(IF(D48="简单平均",AVERAGE(R48:V48),R48*F48+T48*H48+V48*J48),1))</f>
        <v>#DIV/0!</v>
      </c>
      <c r="S49" s="3585"/>
      <c r="T49" s="3585"/>
      <c r="U49" s="3585"/>
      <c r="V49" s="3585"/>
      <c r="W49" s="3585"/>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5">
      <c r="A58" s="1793" t="s">
        <v>2238</v>
      </c>
      <c r="B58" s="1794"/>
      <c r="C58" s="1795" t="str">
        <f>YEAR(C7)&amp;"-"&amp;MONTH(C7)</f>
        <v>2022-2</v>
      </c>
      <c r="D58" s="1796">
        <f>EDATE(C58,-1)</f>
        <v>44562</v>
      </c>
      <c r="E58" s="1796">
        <f t="shared" ref="E58:O58" si="16">EDATE(D58,-1)</f>
        <v>44531</v>
      </c>
      <c r="F58" s="1796">
        <f t="shared" si="16"/>
        <v>44501</v>
      </c>
      <c r="G58" s="1796">
        <f t="shared" si="16"/>
        <v>44470</v>
      </c>
      <c r="H58" s="1796">
        <f t="shared" si="16"/>
        <v>44440</v>
      </c>
      <c r="I58" s="1796">
        <f t="shared" si="16"/>
        <v>44409</v>
      </c>
      <c r="J58" s="1796">
        <f t="shared" si="16"/>
        <v>44378</v>
      </c>
      <c r="K58" s="1796">
        <f t="shared" si="16"/>
        <v>44348</v>
      </c>
      <c r="L58" s="1796">
        <f t="shared" si="16"/>
        <v>44317</v>
      </c>
      <c r="M58" s="1796">
        <f t="shared" si="16"/>
        <v>44287</v>
      </c>
      <c r="N58" s="1796">
        <f t="shared" si="16"/>
        <v>44256</v>
      </c>
      <c r="O58" s="1796">
        <f t="shared" si="16"/>
        <v>44228</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64" priority="20" stopIfTrue="1" operator="containsText" text="超过">
      <formula>NOT(ISERROR(SEARCH("超过",F52)))</formula>
    </cfRule>
  </conditionalFormatting>
  <conditionalFormatting sqref="J54">
    <cfRule type="containsText" dxfId="163" priority="19" stopIfTrue="1" operator="containsText" text="超过">
      <formula>NOT(ISERROR(SEARCH("超过",J54)))</formula>
    </cfRule>
  </conditionalFormatting>
  <conditionalFormatting sqref="H54">
    <cfRule type="containsText" dxfId="162" priority="18" stopIfTrue="1" operator="containsText" text="超过">
      <formula>NOT(ISERROR(SEARCH("超过",H54)))</formula>
    </cfRule>
  </conditionalFormatting>
  <conditionalFormatting sqref="F54">
    <cfRule type="containsText" dxfId="161" priority="17" stopIfTrue="1" operator="containsText" text="超过">
      <formula>NOT(ISERROR(SEARCH("超过",F54)))</formula>
    </cfRule>
  </conditionalFormatting>
  <conditionalFormatting sqref="F53 H53 J53">
    <cfRule type="containsText" dxfId="160" priority="16" stopIfTrue="1" operator="containsText" text="超过">
      <formula>NOT(ISERROR(SEARCH("超过",F53)))</formula>
    </cfRule>
  </conditionalFormatting>
  <conditionalFormatting sqref="E52">
    <cfRule type="expression" dxfId="159" priority="15" stopIfTrue="1">
      <formula>$F$52="超过30%"</formula>
    </cfRule>
  </conditionalFormatting>
  <conditionalFormatting sqref="G54">
    <cfRule type="expression" dxfId="158" priority="13" stopIfTrue="1">
      <formula>$H$54="超过30%"</formula>
    </cfRule>
  </conditionalFormatting>
  <conditionalFormatting sqref="E53">
    <cfRule type="expression" dxfId="157" priority="12" stopIfTrue="1">
      <formula>$F$53="超过20%"</formula>
    </cfRule>
  </conditionalFormatting>
  <conditionalFormatting sqref="E54">
    <cfRule type="expression" dxfId="156" priority="11" stopIfTrue="1">
      <formula>$F$54="超过30%"</formula>
    </cfRule>
  </conditionalFormatting>
  <conditionalFormatting sqref="G52">
    <cfRule type="expression" dxfId="155" priority="10" stopIfTrue="1">
      <formula>$H$52="超过30%"</formula>
    </cfRule>
  </conditionalFormatting>
  <conditionalFormatting sqref="G53">
    <cfRule type="expression" dxfId="154" priority="9" stopIfTrue="1">
      <formula>$H$53="超过20%"</formula>
    </cfRule>
  </conditionalFormatting>
  <conditionalFormatting sqref="I52">
    <cfRule type="expression" dxfId="153" priority="8" stopIfTrue="1">
      <formula>$J$52="超过30%"</formula>
    </cfRule>
  </conditionalFormatting>
  <conditionalFormatting sqref="I53">
    <cfRule type="expression" dxfId="152" priority="7" stopIfTrue="1">
      <formula>$J$53="超过20%"</formula>
    </cfRule>
  </conditionalFormatting>
  <conditionalFormatting sqref="I54">
    <cfRule type="expression" dxfId="151" priority="6" stopIfTrue="1">
      <formula>$J$54="超过30%"</formula>
    </cfRule>
  </conditionalFormatting>
  <conditionalFormatting sqref="F48">
    <cfRule type="expression" dxfId="150" priority="4">
      <formula>$D$48="简单平均"</formula>
    </cfRule>
  </conditionalFormatting>
  <conditionalFormatting sqref="H48">
    <cfRule type="expression" dxfId="149" priority="3">
      <formula>$D$48="简单平均"</formula>
    </cfRule>
  </conditionalFormatting>
  <conditionalFormatting sqref="J48">
    <cfRule type="expression" dxfId="148" priority="2">
      <formula>$D$48="简单平均"</formula>
    </cfRule>
  </conditionalFormatting>
  <conditionalFormatting sqref="F7:F46 H7:H46 J7:J46">
    <cfRule type="cellIs" dxfId="147"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M31" sqref="M31"/>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2187</v>
      </c>
      <c r="D3" s="1630">
        <f>IF(C1="仅计算典型户型",'数据-取费表'!E5,'数据-取费表'!B5)</f>
        <v>63</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2188</v>
      </c>
      <c r="B4" s="1634"/>
      <c r="C4" s="3613" t="s">
        <v>2189</v>
      </c>
      <c r="D4" s="3614"/>
      <c r="E4" s="3615" t="s">
        <v>2190</v>
      </c>
      <c r="F4" s="3616"/>
      <c r="G4" s="3613" t="s">
        <v>2191</v>
      </c>
      <c r="H4" s="3614"/>
      <c r="I4" s="3613" t="s">
        <v>2192</v>
      </c>
      <c r="J4" s="3614"/>
      <c r="K4" s="1936" t="s">
        <v>2193</v>
      </c>
      <c r="L4" s="2967"/>
      <c r="M4" s="2968"/>
      <c r="N4" s="2968"/>
      <c r="O4" s="2968"/>
      <c r="P4" s="3617" t="s">
        <v>2194</v>
      </c>
      <c r="Q4" s="3618"/>
      <c r="R4" s="3602" t="s">
        <v>2190</v>
      </c>
      <c r="S4" s="3603"/>
      <c r="T4" s="3602" t="s">
        <v>2191</v>
      </c>
      <c r="U4" s="3603"/>
      <c r="V4" s="3623" t="s">
        <v>2192</v>
      </c>
      <c r="W4" s="3623"/>
      <c r="X4" s="2045"/>
      <c r="Y4" s="3602" t="s">
        <v>2194</v>
      </c>
      <c r="Z4" s="3603"/>
      <c r="AA4" s="3610" t="s">
        <v>2190</v>
      </c>
      <c r="AB4" s="3623" t="s">
        <v>2191</v>
      </c>
      <c r="AC4" s="3610" t="s">
        <v>2192</v>
      </c>
    </row>
    <row r="5" spans="1:29" ht="15">
      <c r="A5" s="1638"/>
      <c r="B5" s="1639"/>
      <c r="C5" s="3598" t="s">
        <v>2195</v>
      </c>
      <c r="D5" s="3599"/>
      <c r="E5" s="3624" t="s">
        <v>2196</v>
      </c>
      <c r="F5" s="3625"/>
      <c r="G5" s="3598" t="s">
        <v>2197</v>
      </c>
      <c r="H5" s="3599"/>
      <c r="I5" s="3598" t="s">
        <v>2198</v>
      </c>
      <c r="J5" s="3599"/>
      <c r="K5" s="1936"/>
      <c r="L5" s="2967"/>
      <c r="M5" s="2968"/>
      <c r="N5" s="2968"/>
      <c r="O5" s="2968"/>
      <c r="P5" s="3619"/>
      <c r="Q5" s="3620"/>
      <c r="R5" s="3604"/>
      <c r="S5" s="3605"/>
      <c r="T5" s="3604"/>
      <c r="U5" s="3605"/>
      <c r="V5" s="3623"/>
      <c r="W5" s="3623"/>
      <c r="X5" s="2045"/>
      <c r="Y5" s="3604"/>
      <c r="Z5" s="3605"/>
      <c r="AA5" s="3611"/>
      <c r="AB5" s="3623"/>
      <c r="AC5" s="3611"/>
    </row>
    <row r="6" spans="1:29" ht="15.75" thickBot="1">
      <c r="A6" s="1641"/>
      <c r="B6" s="1642"/>
      <c r="C6" s="3596" t="s">
        <v>2199</v>
      </c>
      <c r="D6" s="3597"/>
      <c r="E6" s="3626" t="s">
        <v>2199</v>
      </c>
      <c r="F6" s="3627"/>
      <c r="G6" s="3596" t="s">
        <v>2199</v>
      </c>
      <c r="H6" s="3597"/>
      <c r="I6" s="3596" t="s">
        <v>2199</v>
      </c>
      <c r="J6" s="3597"/>
      <c r="K6" s="1936" t="s">
        <v>2200</v>
      </c>
      <c r="L6" s="2967"/>
      <c r="M6" s="2968"/>
      <c r="N6" s="2968"/>
      <c r="O6" s="2968"/>
      <c r="P6" s="3621"/>
      <c r="Q6" s="3622"/>
      <c r="R6" s="3604"/>
      <c r="S6" s="3605"/>
      <c r="T6" s="3606"/>
      <c r="U6" s="3607"/>
      <c r="V6" s="3623"/>
      <c r="W6" s="3623"/>
      <c r="X6" s="2045"/>
      <c r="Y6" s="3606"/>
      <c r="Z6" s="3607"/>
      <c r="AA6" s="3612"/>
      <c r="AB6" s="3623"/>
      <c r="AC6" s="3612"/>
    </row>
    <row r="7" spans="1:29" s="1655" customFormat="1" ht="15.75" thickBot="1">
      <c r="A7" s="1643" t="s">
        <v>2201</v>
      </c>
      <c r="B7" s="1644"/>
      <c r="C7" s="1645">
        <f>'数据-取费表'!B2</f>
        <v>44610</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600" t="s">
        <v>2202</v>
      </c>
      <c r="Q7" s="3608"/>
      <c r="R7" s="1651" t="s">
        <v>25</v>
      </c>
      <c r="S7" s="1652">
        <f t="shared" ref="S7:S15" si="0">F7</f>
        <v>0</v>
      </c>
      <c r="T7" s="1651" t="s">
        <v>25</v>
      </c>
      <c r="U7" s="1652">
        <f t="shared" ref="U7:U15" si="1">H7</f>
        <v>0</v>
      </c>
      <c r="V7" s="1651" t="s">
        <v>25</v>
      </c>
      <c r="W7" s="1652">
        <f t="shared" ref="W7:W15" si="2">J7</f>
        <v>0</v>
      </c>
      <c r="X7" s="1653"/>
      <c r="Y7" s="3600" t="s">
        <v>2202</v>
      </c>
      <c r="Z7" s="3601"/>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600" t="s">
        <v>2205</v>
      </c>
      <c r="Q8" s="3601"/>
      <c r="R8" s="1651" t="s">
        <v>25</v>
      </c>
      <c r="S8" s="1652">
        <f t="shared" si="0"/>
        <v>0</v>
      </c>
      <c r="T8" s="1651" t="s">
        <v>25</v>
      </c>
      <c r="U8" s="1652">
        <f t="shared" si="1"/>
        <v>0</v>
      </c>
      <c r="V8" s="1651" t="s">
        <v>25</v>
      </c>
      <c r="W8" s="1652">
        <f t="shared" si="2"/>
        <v>0</v>
      </c>
      <c r="X8" s="1653"/>
      <c r="Y8" s="3600" t="s">
        <v>2205</v>
      </c>
      <c r="Z8" s="3601"/>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09" t="s">
        <v>2208</v>
      </c>
      <c r="Q9" s="2036" t="str">
        <f t="shared" ref="Q9:Q15" si="6">B9</f>
        <v>用途</v>
      </c>
      <c r="R9" s="1651" t="s">
        <v>25</v>
      </c>
      <c r="S9" s="1652">
        <f t="shared" si="0"/>
        <v>100</v>
      </c>
      <c r="T9" s="1651" t="s">
        <v>25</v>
      </c>
      <c r="U9" s="1652">
        <f t="shared" si="1"/>
        <v>100</v>
      </c>
      <c r="V9" s="1651" t="s">
        <v>25</v>
      </c>
      <c r="W9" s="1652">
        <f t="shared" si="2"/>
        <v>100</v>
      </c>
      <c r="X9" s="1653"/>
      <c r="Y9" s="3448"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09"/>
      <c r="Q10" s="2036" t="str">
        <f t="shared" si="6"/>
        <v>土地使用年限（年）</v>
      </c>
      <c r="R10" s="1651" t="s">
        <v>25</v>
      </c>
      <c r="S10" s="1652">
        <f t="shared" si="0"/>
        <v>100</v>
      </c>
      <c r="T10" s="1651" t="s">
        <v>25</v>
      </c>
      <c r="U10" s="1652">
        <f t="shared" si="1"/>
        <v>100</v>
      </c>
      <c r="V10" s="1651" t="s">
        <v>25</v>
      </c>
      <c r="W10" s="1652">
        <f t="shared" si="2"/>
        <v>100</v>
      </c>
      <c r="X10" s="1653"/>
      <c r="Y10" s="3448"/>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09"/>
      <c r="Q11" s="2036" t="str">
        <f t="shared" si="6"/>
        <v>容积率</v>
      </c>
      <c r="R11" s="1651" t="s">
        <v>25</v>
      </c>
      <c r="S11" s="1652" t="e">
        <f t="shared" si="0"/>
        <v>#N/A</v>
      </c>
      <c r="T11" s="1651" t="s">
        <v>25</v>
      </c>
      <c r="U11" s="1652" t="e">
        <f t="shared" si="1"/>
        <v>#N/A</v>
      </c>
      <c r="V11" s="1651" t="s">
        <v>25</v>
      </c>
      <c r="W11" s="1652" t="e">
        <f t="shared" si="2"/>
        <v>#N/A</v>
      </c>
      <c r="X11" s="1653"/>
      <c r="Y11" s="344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09"/>
      <c r="Q12" s="2036">
        <f t="shared" si="6"/>
        <v>111</v>
      </c>
      <c r="R12" s="1651" t="s">
        <v>25</v>
      </c>
      <c r="S12" s="1652">
        <f t="shared" si="0"/>
        <v>100</v>
      </c>
      <c r="T12" s="1651" t="s">
        <v>25</v>
      </c>
      <c r="U12" s="1652">
        <f t="shared" si="1"/>
        <v>100</v>
      </c>
      <c r="V12" s="1651" t="s">
        <v>25</v>
      </c>
      <c r="W12" s="1652">
        <f t="shared" si="2"/>
        <v>100</v>
      </c>
      <c r="X12" s="1653"/>
      <c r="Y12" s="3448"/>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09"/>
      <c r="Q13" s="2036">
        <f t="shared" si="6"/>
        <v>111</v>
      </c>
      <c r="R13" s="1651" t="s">
        <v>25</v>
      </c>
      <c r="S13" s="1652">
        <f t="shared" si="0"/>
        <v>100</v>
      </c>
      <c r="T13" s="1651" t="s">
        <v>25</v>
      </c>
      <c r="U13" s="1652">
        <f t="shared" si="1"/>
        <v>100</v>
      </c>
      <c r="V13" s="1651" t="s">
        <v>25</v>
      </c>
      <c r="W13" s="1652">
        <f t="shared" si="2"/>
        <v>100</v>
      </c>
      <c r="X13" s="1653"/>
      <c r="Y13" s="3448"/>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09"/>
      <c r="Q14" s="2036">
        <f t="shared" si="6"/>
        <v>111</v>
      </c>
      <c r="R14" s="1651" t="s">
        <v>25</v>
      </c>
      <c r="S14" s="1652">
        <f t="shared" si="0"/>
        <v>100</v>
      </c>
      <c r="T14" s="1651" t="s">
        <v>25</v>
      </c>
      <c r="U14" s="1652">
        <f t="shared" si="1"/>
        <v>100</v>
      </c>
      <c r="V14" s="1651" t="s">
        <v>25</v>
      </c>
      <c r="W14" s="1652">
        <f t="shared" si="2"/>
        <v>100</v>
      </c>
      <c r="X14" s="1653"/>
      <c r="Y14" s="3448"/>
      <c r="Z14" s="1664">
        <f t="shared" si="7"/>
        <v>111</v>
      </c>
      <c r="AA14" s="1654">
        <f t="shared" si="3"/>
        <v>1</v>
      </c>
      <c r="AB14" s="1654">
        <f t="shared" si="4"/>
        <v>1</v>
      </c>
      <c r="AC14" s="1654">
        <f t="shared" si="5"/>
        <v>1</v>
      </c>
    </row>
    <row r="15" spans="1:29" ht="71.25">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587" t="s">
        <v>2213</v>
      </c>
      <c r="Q15" s="2042" t="str">
        <f t="shared" si="6"/>
        <v>商业繁华度</v>
      </c>
      <c r="R15" s="1696" t="s">
        <v>25</v>
      </c>
      <c r="S15" s="1697">
        <f t="shared" si="0"/>
        <v>100</v>
      </c>
      <c r="T15" s="1696" t="s">
        <v>25</v>
      </c>
      <c r="U15" s="1697">
        <f t="shared" si="1"/>
        <v>100</v>
      </c>
      <c r="V15" s="1696" t="s">
        <v>25</v>
      </c>
      <c r="W15" s="1697">
        <f t="shared" si="2"/>
        <v>100</v>
      </c>
      <c r="X15" s="2045"/>
      <c r="Y15" s="3589"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588"/>
      <c r="Q16" s="2042"/>
      <c r="R16" s="1696"/>
      <c r="S16" s="1697"/>
      <c r="T16" s="1696"/>
      <c r="U16" s="1697"/>
      <c r="V16" s="1696"/>
      <c r="W16" s="1697"/>
      <c r="X16" s="2045"/>
      <c r="Y16" s="3590"/>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588"/>
      <c r="Q17" s="2042" t="str">
        <f>B17</f>
        <v>交通便捷度</v>
      </c>
      <c r="R17" s="1696" t="s">
        <v>25</v>
      </c>
      <c r="S17" s="1697">
        <f>F17</f>
        <v>100</v>
      </c>
      <c r="T17" s="1696" t="s">
        <v>25</v>
      </c>
      <c r="U17" s="1697">
        <f>H17</f>
        <v>100</v>
      </c>
      <c r="V17" s="1696" t="s">
        <v>25</v>
      </c>
      <c r="W17" s="1697">
        <f>J17</f>
        <v>100</v>
      </c>
      <c r="X17" s="2045"/>
      <c r="Y17" s="3590"/>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588"/>
      <c r="Q18" s="2042"/>
      <c r="R18" s="1696"/>
      <c r="S18" s="1697"/>
      <c r="T18" s="1696"/>
      <c r="U18" s="1697"/>
      <c r="V18" s="1696"/>
      <c r="W18" s="1697"/>
      <c r="X18" s="2045"/>
      <c r="Y18" s="3590"/>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588"/>
      <c r="Q19" s="2042" t="str">
        <f>B19</f>
        <v>公共配套设施</v>
      </c>
      <c r="R19" s="1696" t="s">
        <v>25</v>
      </c>
      <c r="S19" s="1697">
        <f>F19</f>
        <v>100</v>
      </c>
      <c r="T19" s="1696" t="s">
        <v>25</v>
      </c>
      <c r="U19" s="1697">
        <f>H19</f>
        <v>100</v>
      </c>
      <c r="V19" s="1696" t="s">
        <v>25</v>
      </c>
      <c r="W19" s="1697">
        <f>J19</f>
        <v>100</v>
      </c>
      <c r="X19" s="2045"/>
      <c r="Y19" s="3590"/>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588"/>
      <c r="Q20" s="2042"/>
      <c r="R20" s="1696"/>
      <c r="S20" s="1697"/>
      <c r="T20" s="1696"/>
      <c r="U20" s="1697"/>
      <c r="V20" s="1696"/>
      <c r="W20" s="1697"/>
      <c r="X20" s="2045"/>
      <c r="Y20" s="3590"/>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588"/>
      <c r="Q21" s="2042" t="str">
        <f>B21</f>
        <v>基础设施水平</v>
      </c>
      <c r="R21" s="1696" t="s">
        <v>25</v>
      </c>
      <c r="S21" s="1697">
        <f>F21</f>
        <v>100</v>
      </c>
      <c r="T21" s="1696" t="s">
        <v>25</v>
      </c>
      <c r="U21" s="1697">
        <f>H21</f>
        <v>100</v>
      </c>
      <c r="V21" s="1696" t="s">
        <v>25</v>
      </c>
      <c r="W21" s="1697">
        <f>J21</f>
        <v>100</v>
      </c>
      <c r="X21" s="2045"/>
      <c r="Y21" s="3590"/>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588"/>
      <c r="Q22" s="2042"/>
      <c r="R22" s="1696"/>
      <c r="S22" s="1697"/>
      <c r="T22" s="1696"/>
      <c r="U22" s="1697"/>
      <c r="V22" s="1696"/>
      <c r="W22" s="1697"/>
      <c r="X22" s="2045"/>
      <c r="Y22" s="3590"/>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588"/>
      <c r="Q23" s="2042" t="str">
        <f>B23</f>
        <v>自然及人文环境</v>
      </c>
      <c r="R23" s="1696" t="s">
        <v>25</v>
      </c>
      <c r="S23" s="1697">
        <f>F23</f>
        <v>100</v>
      </c>
      <c r="T23" s="1696" t="s">
        <v>25</v>
      </c>
      <c r="U23" s="1697">
        <f>H23</f>
        <v>100</v>
      </c>
      <c r="V23" s="1696" t="s">
        <v>25</v>
      </c>
      <c r="W23" s="1697">
        <f>J23</f>
        <v>100</v>
      </c>
      <c r="X23" s="2045"/>
      <c r="Y23" s="3590"/>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588"/>
      <c r="Q24" s="2042"/>
      <c r="R24" s="1696"/>
      <c r="S24" s="1697"/>
      <c r="T24" s="1696"/>
      <c r="U24" s="1697"/>
      <c r="V24" s="1696"/>
      <c r="W24" s="1697"/>
      <c r="X24" s="2045"/>
      <c r="Y24" s="3590"/>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588"/>
      <c r="Q25" s="2042" t="str">
        <f t="shared" ref="Q25:Q46" si="11">B25</f>
        <v>临街状况</v>
      </c>
      <c r="R25" s="1696" t="s">
        <v>25</v>
      </c>
      <c r="S25" s="1697">
        <f>F25</f>
        <v>100</v>
      </c>
      <c r="T25" s="1696" t="s">
        <v>25</v>
      </c>
      <c r="U25" s="1697">
        <f>H25</f>
        <v>100</v>
      </c>
      <c r="V25" s="1696" t="s">
        <v>25</v>
      </c>
      <c r="W25" s="1697">
        <f>J25</f>
        <v>100</v>
      </c>
      <c r="X25" s="2045"/>
      <c r="Y25" s="3590"/>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588"/>
      <c r="Q26" s="2042" t="str">
        <f t="shared" si="11"/>
        <v>平面位置/可视性</v>
      </c>
      <c r="R26" s="1696" t="s">
        <v>25</v>
      </c>
      <c r="S26" s="1697">
        <f>F26</f>
        <v>100</v>
      </c>
      <c r="T26" s="1696" t="s">
        <v>25</v>
      </c>
      <c r="U26" s="1697">
        <f>H26</f>
        <v>100</v>
      </c>
      <c r="V26" s="1696" t="s">
        <v>25</v>
      </c>
      <c r="W26" s="1697">
        <f>J26</f>
        <v>100</v>
      </c>
      <c r="X26" s="2045"/>
      <c r="Y26" s="3590"/>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588"/>
      <c r="Q27" s="2036" t="str">
        <f t="shared" si="11"/>
        <v>人流量</v>
      </c>
      <c r="R27" s="1651" t="s">
        <v>25</v>
      </c>
      <c r="S27" s="1652">
        <f>F27</f>
        <v>100</v>
      </c>
      <c r="T27" s="1651" t="s">
        <v>25</v>
      </c>
      <c r="U27" s="1652">
        <f>H27</f>
        <v>100</v>
      </c>
      <c r="V27" s="1651" t="s">
        <v>25</v>
      </c>
      <c r="W27" s="1652">
        <f>J27</f>
        <v>100</v>
      </c>
      <c r="X27" s="1653"/>
      <c r="Y27" s="3590"/>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588"/>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590"/>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588"/>
      <c r="Q29" s="2042">
        <f t="shared" si="11"/>
        <v>111</v>
      </c>
      <c r="R29" s="1696" t="s">
        <v>25</v>
      </c>
      <c r="S29" s="1697">
        <f t="shared" si="12"/>
        <v>100</v>
      </c>
      <c r="T29" s="1696" t="s">
        <v>25</v>
      </c>
      <c r="U29" s="1697">
        <f t="shared" si="13"/>
        <v>100</v>
      </c>
      <c r="V29" s="1696" t="s">
        <v>25</v>
      </c>
      <c r="W29" s="1697">
        <f t="shared" si="14"/>
        <v>100</v>
      </c>
      <c r="X29" s="2045"/>
      <c r="Y29" s="3590"/>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588"/>
      <c r="Q30" s="2042">
        <f t="shared" si="11"/>
        <v>111</v>
      </c>
      <c r="R30" s="1696" t="s">
        <v>25</v>
      </c>
      <c r="S30" s="1697">
        <f t="shared" si="12"/>
        <v>100</v>
      </c>
      <c r="T30" s="1696" t="s">
        <v>25</v>
      </c>
      <c r="U30" s="1697">
        <f t="shared" si="13"/>
        <v>100</v>
      </c>
      <c r="V30" s="1696" t="s">
        <v>25</v>
      </c>
      <c r="W30" s="1697">
        <f t="shared" si="14"/>
        <v>100</v>
      </c>
      <c r="X30" s="2045"/>
      <c r="Y30" s="3590"/>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588"/>
      <c r="Q31" s="2042">
        <f t="shared" si="11"/>
        <v>111</v>
      </c>
      <c r="R31" s="1696" t="s">
        <v>25</v>
      </c>
      <c r="S31" s="1697">
        <f t="shared" si="12"/>
        <v>100</v>
      </c>
      <c r="T31" s="1696" t="s">
        <v>25</v>
      </c>
      <c r="U31" s="1697">
        <f t="shared" si="13"/>
        <v>100</v>
      </c>
      <c r="V31" s="1696" t="s">
        <v>25</v>
      </c>
      <c r="W31" s="1697">
        <f t="shared" si="14"/>
        <v>100</v>
      </c>
      <c r="X31" s="2045"/>
      <c r="Y31" s="3590"/>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591" t="s">
        <v>2219</v>
      </c>
      <c r="Q32" s="2042" t="str">
        <f t="shared" si="11"/>
        <v>商业类型</v>
      </c>
      <c r="R32" s="1696" t="s">
        <v>25</v>
      </c>
      <c r="S32" s="1697">
        <f t="shared" si="12"/>
        <v>100</v>
      </c>
      <c r="T32" s="1696" t="s">
        <v>25</v>
      </c>
      <c r="U32" s="1697">
        <f t="shared" si="13"/>
        <v>100</v>
      </c>
      <c r="V32" s="1696" t="s">
        <v>25</v>
      </c>
      <c r="W32" s="1697">
        <f t="shared" si="14"/>
        <v>100</v>
      </c>
      <c r="X32" s="2045"/>
      <c r="Y32" s="3594"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592"/>
      <c r="Q33" s="1737" t="str">
        <f t="shared" si="11"/>
        <v>项目建筑规模</v>
      </c>
      <c r="R33" s="1738" t="s">
        <v>25</v>
      </c>
      <c r="S33" s="1739" t="e">
        <f t="shared" si="12"/>
        <v>#N/A</v>
      </c>
      <c r="T33" s="1738" t="s">
        <v>25</v>
      </c>
      <c r="U33" s="1739" t="e">
        <f t="shared" si="13"/>
        <v>#N/A</v>
      </c>
      <c r="V33" s="1738" t="s">
        <v>25</v>
      </c>
      <c r="W33" s="1739" t="e">
        <f t="shared" si="14"/>
        <v>#N/A</v>
      </c>
      <c r="X33" s="1740"/>
      <c r="Y33" s="3594"/>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592"/>
      <c r="Q34" s="2042" t="str">
        <f t="shared" si="11"/>
        <v>建筑结构</v>
      </c>
      <c r="R34" s="1696" t="s">
        <v>25</v>
      </c>
      <c r="S34" s="1697">
        <f t="shared" si="12"/>
        <v>100</v>
      </c>
      <c r="T34" s="1696" t="s">
        <v>25</v>
      </c>
      <c r="U34" s="1697">
        <f t="shared" si="13"/>
        <v>100</v>
      </c>
      <c r="V34" s="1696" t="s">
        <v>25</v>
      </c>
      <c r="W34" s="1697">
        <f t="shared" si="14"/>
        <v>100</v>
      </c>
      <c r="X34" s="2045"/>
      <c r="Y34" s="3594"/>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592"/>
      <c r="Q35" s="2042" t="str">
        <f t="shared" si="11"/>
        <v>公共部分装修</v>
      </c>
      <c r="R35" s="1696" t="s">
        <v>25</v>
      </c>
      <c r="S35" s="1697">
        <f t="shared" si="12"/>
        <v>100</v>
      </c>
      <c r="T35" s="1696" t="s">
        <v>25</v>
      </c>
      <c r="U35" s="1697">
        <f t="shared" si="13"/>
        <v>100</v>
      </c>
      <c r="V35" s="1696" t="s">
        <v>25</v>
      </c>
      <c r="W35" s="1697">
        <f t="shared" si="14"/>
        <v>100</v>
      </c>
      <c r="X35" s="2045"/>
      <c r="Y35" s="3594"/>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592"/>
      <c r="Q36" s="2042" t="str">
        <f t="shared" si="11"/>
        <v>成新度</v>
      </c>
      <c r="R36" s="1696" t="s">
        <v>25</v>
      </c>
      <c r="S36" s="1697" t="e">
        <f t="shared" si="12"/>
        <v>#N/A</v>
      </c>
      <c r="T36" s="1696" t="s">
        <v>25</v>
      </c>
      <c r="U36" s="1697" t="e">
        <f t="shared" si="13"/>
        <v>#N/A</v>
      </c>
      <c r="V36" s="1696" t="s">
        <v>25</v>
      </c>
      <c r="W36" s="1697" t="e">
        <f t="shared" si="14"/>
        <v>#N/A</v>
      </c>
      <c r="X36" s="2045"/>
      <c r="Y36" s="3594"/>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592"/>
      <c r="Q37" s="2036" t="str">
        <f t="shared" si="11"/>
        <v>市政基础设施</v>
      </c>
      <c r="R37" s="1651" t="s">
        <v>25</v>
      </c>
      <c r="S37" s="1652">
        <f t="shared" si="12"/>
        <v>100</v>
      </c>
      <c r="T37" s="1651" t="s">
        <v>25</v>
      </c>
      <c r="U37" s="1652">
        <f t="shared" si="13"/>
        <v>100</v>
      </c>
      <c r="V37" s="1651" t="s">
        <v>25</v>
      </c>
      <c r="W37" s="1652">
        <f t="shared" si="14"/>
        <v>100</v>
      </c>
      <c r="X37" s="1653"/>
      <c r="Y37" s="3594"/>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592" t="s">
        <v>2219</v>
      </c>
      <c r="Q38" s="2042" t="str">
        <f t="shared" si="11"/>
        <v>业态</v>
      </c>
      <c r="R38" s="1696" t="s">
        <v>25</v>
      </c>
      <c r="S38" s="1697">
        <f t="shared" si="12"/>
        <v>100</v>
      </c>
      <c r="T38" s="1696" t="s">
        <v>25</v>
      </c>
      <c r="U38" s="1697">
        <f t="shared" si="13"/>
        <v>100</v>
      </c>
      <c r="V38" s="1696" t="s">
        <v>25</v>
      </c>
      <c r="W38" s="1697">
        <f t="shared" si="14"/>
        <v>100</v>
      </c>
      <c r="X38" s="2045"/>
      <c r="Y38" s="3594"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592"/>
      <c r="Q39" s="2042" t="str">
        <f t="shared" si="11"/>
        <v>层高</v>
      </c>
      <c r="R39" s="1696" t="s">
        <v>25</v>
      </c>
      <c r="S39" s="1697">
        <f t="shared" si="12"/>
        <v>100</v>
      </c>
      <c r="T39" s="1696" t="s">
        <v>25</v>
      </c>
      <c r="U39" s="1697">
        <f t="shared" si="13"/>
        <v>100</v>
      </c>
      <c r="V39" s="1696" t="s">
        <v>25</v>
      </c>
      <c r="W39" s="1697">
        <f t="shared" si="14"/>
        <v>100</v>
      </c>
      <c r="X39" s="2045"/>
      <c r="Y39" s="3594"/>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592"/>
      <c r="Q40" s="2042" t="str">
        <f t="shared" si="11"/>
        <v>单套建筑面积</v>
      </c>
      <c r="R40" s="1696" t="s">
        <v>25</v>
      </c>
      <c r="S40" s="1697">
        <f t="shared" si="12"/>
        <v>100</v>
      </c>
      <c r="T40" s="1696" t="s">
        <v>25</v>
      </c>
      <c r="U40" s="1697">
        <f t="shared" si="13"/>
        <v>100</v>
      </c>
      <c r="V40" s="1696" t="s">
        <v>25</v>
      </c>
      <c r="W40" s="1697">
        <f t="shared" si="14"/>
        <v>100</v>
      </c>
      <c r="X40" s="2045"/>
      <c r="Y40" s="3594"/>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592"/>
      <c r="Q41" s="1737" t="str">
        <f t="shared" si="11"/>
        <v>进深比</v>
      </c>
      <c r="R41" s="1738" t="s">
        <v>25</v>
      </c>
      <c r="S41" s="1739">
        <f t="shared" si="12"/>
        <v>100</v>
      </c>
      <c r="T41" s="1738" t="s">
        <v>25</v>
      </c>
      <c r="U41" s="1739">
        <f t="shared" si="13"/>
        <v>100</v>
      </c>
      <c r="V41" s="1738" t="s">
        <v>25</v>
      </c>
      <c r="W41" s="1739">
        <f t="shared" si="14"/>
        <v>100</v>
      </c>
      <c r="X41" s="1740"/>
      <c r="Y41" s="3594"/>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592"/>
      <c r="Q42" s="2042" t="str">
        <f t="shared" si="11"/>
        <v>内部装修</v>
      </c>
      <c r="R42" s="1696" t="s">
        <v>25</v>
      </c>
      <c r="S42" s="1697">
        <f t="shared" si="12"/>
        <v>100</v>
      </c>
      <c r="T42" s="1696" t="s">
        <v>25</v>
      </c>
      <c r="U42" s="1697">
        <f t="shared" si="13"/>
        <v>100</v>
      </c>
      <c r="V42" s="1696" t="s">
        <v>25</v>
      </c>
      <c r="W42" s="1697">
        <f t="shared" si="14"/>
        <v>100</v>
      </c>
      <c r="X42" s="2045"/>
      <c r="Y42" s="3594"/>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592"/>
      <c r="Q43" s="2042" t="str">
        <f t="shared" si="11"/>
        <v>内部装修维护情况</v>
      </c>
      <c r="R43" s="1696" t="s">
        <v>25</v>
      </c>
      <c r="S43" s="1697">
        <f t="shared" si="12"/>
        <v>100</v>
      </c>
      <c r="T43" s="1696" t="s">
        <v>25</v>
      </c>
      <c r="U43" s="1697">
        <f t="shared" si="13"/>
        <v>100</v>
      </c>
      <c r="V43" s="1696" t="s">
        <v>25</v>
      </c>
      <c r="W43" s="1697">
        <f t="shared" si="14"/>
        <v>100</v>
      </c>
      <c r="X43" s="2045"/>
      <c r="Y43" s="3594"/>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592"/>
      <c r="Q44" s="2036">
        <f t="shared" si="11"/>
        <v>111</v>
      </c>
      <c r="R44" s="1651" t="s">
        <v>25</v>
      </c>
      <c r="S44" s="1652">
        <f t="shared" si="12"/>
        <v>100</v>
      </c>
      <c r="T44" s="1651" t="s">
        <v>25</v>
      </c>
      <c r="U44" s="1652">
        <f t="shared" si="13"/>
        <v>100</v>
      </c>
      <c r="V44" s="1651" t="s">
        <v>25</v>
      </c>
      <c r="W44" s="1652">
        <f t="shared" si="14"/>
        <v>100</v>
      </c>
      <c r="X44" s="1653"/>
      <c r="Y44" s="3594"/>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592"/>
      <c r="Q45" s="2042">
        <f t="shared" si="11"/>
        <v>111</v>
      </c>
      <c r="R45" s="1696" t="s">
        <v>25</v>
      </c>
      <c r="S45" s="1697">
        <f t="shared" si="12"/>
        <v>100</v>
      </c>
      <c r="T45" s="1696" t="s">
        <v>25</v>
      </c>
      <c r="U45" s="1697">
        <f t="shared" si="13"/>
        <v>100</v>
      </c>
      <c r="V45" s="1696" t="s">
        <v>25</v>
      </c>
      <c r="W45" s="1697">
        <f t="shared" si="14"/>
        <v>100</v>
      </c>
      <c r="X45" s="2045"/>
      <c r="Y45" s="3594"/>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593"/>
      <c r="Q46" s="2042">
        <f t="shared" si="11"/>
        <v>111</v>
      </c>
      <c r="R46" s="1696" t="s">
        <v>25</v>
      </c>
      <c r="S46" s="1697">
        <f t="shared" si="12"/>
        <v>100</v>
      </c>
      <c r="T46" s="1696" t="s">
        <v>25</v>
      </c>
      <c r="U46" s="1697">
        <f t="shared" si="13"/>
        <v>100</v>
      </c>
      <c r="V46" s="1696" t="s">
        <v>25</v>
      </c>
      <c r="W46" s="1697">
        <f t="shared" si="14"/>
        <v>100</v>
      </c>
      <c r="X46" s="2045"/>
      <c r="Y46" s="3595"/>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73"/>
      <c r="N47" s="2968"/>
      <c r="P47" s="3586" t="str">
        <f>A47</f>
        <v>成交单价（元/平方米）</v>
      </c>
      <c r="Q47" s="3586"/>
      <c r="R47" s="3582">
        <f>E47</f>
        <v>0</v>
      </c>
      <c r="S47" s="3582"/>
      <c r="T47" s="3582">
        <f>G47</f>
        <v>0</v>
      </c>
      <c r="U47" s="3582"/>
      <c r="V47" s="3582">
        <f>I47</f>
        <v>0</v>
      </c>
      <c r="W47" s="3582"/>
      <c r="X47" s="1762"/>
      <c r="Y47" s="2044"/>
      <c r="Z47" s="1762"/>
      <c r="AA47" s="1762"/>
      <c r="AB47" s="1762"/>
      <c r="AC47" s="1762"/>
    </row>
    <row r="48" spans="1:29" ht="15.75" thickBot="1">
      <c r="A48" s="1764" t="s">
        <v>2314</v>
      </c>
      <c r="B48" s="1765"/>
      <c r="C48" s="1766" t="e">
        <f>R49</f>
        <v>#DIV/0!</v>
      </c>
      <c r="D48" s="1767" t="s">
        <v>2685</v>
      </c>
      <c r="E48" s="1768" t="e">
        <f>R48</f>
        <v>#DIV/0!</v>
      </c>
      <c r="F48" s="1769"/>
      <c r="G48" s="1766" t="e">
        <f>T48</f>
        <v>#DIV/0!</v>
      </c>
      <c r="H48" s="1769"/>
      <c r="I48" s="1768" t="e">
        <f>V48</f>
        <v>#DIV/0!</v>
      </c>
      <c r="J48" s="1769"/>
      <c r="K48" s="2481">
        <f>F48+H48+J48</f>
        <v>0</v>
      </c>
      <c r="L48" s="2973"/>
      <c r="N48" s="2968"/>
      <c r="P48" s="3586" t="str">
        <f>A48</f>
        <v>比较价值（元/平方米）</v>
      </c>
      <c r="Q48" s="3586"/>
      <c r="R48" s="3582" t="e">
        <f>IF(E1="售价",ROUND(PRODUCT(R47,AA7:AA46),0),ROUND(PRODUCT(R47,AA7:AA46),1))</f>
        <v>#DIV/0!</v>
      </c>
      <c r="S48" s="3582"/>
      <c r="T48" s="3582" t="e">
        <f>IF(E1="售价",ROUND(PRODUCT(T47,AB7:AB46),0),ROUND(PRODUCT(T47,AB7:AB46),1))</f>
        <v>#DIV/0!</v>
      </c>
      <c r="U48" s="3582"/>
      <c r="V48" s="3582" t="e">
        <f>IF(E1="售价",ROUND(PRODUCT(V47,AC7:AC46),0),ROUND(PRODUCT(V47,AC7:AC46),1))</f>
        <v>#DIV/0!</v>
      </c>
      <c r="W48" s="3582"/>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73"/>
      <c r="N49" s="2968"/>
      <c r="P49" s="3583" t="str">
        <f>A49</f>
        <v>估价对象XX用房的比较价值（楼面单价，元/平方米）</v>
      </c>
      <c r="Q49" s="3584"/>
      <c r="R49" s="3585" t="e">
        <f>IF(E1="售价",ROUND(IF(D48="简单平均",AVERAGE(R48:V48),R48*F48+T48*H48+V48*J48),0),ROUND(IF(D48="简单平均",AVERAGE(R48:V48),R48*F48+T48*H48+V48*J48),1))</f>
        <v>#DIV/0!</v>
      </c>
      <c r="S49" s="3585"/>
      <c r="T49" s="3585"/>
      <c r="U49" s="3585"/>
      <c r="V49" s="3585"/>
      <c r="W49" s="3585"/>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2022-2</v>
      </c>
      <c r="D58" s="1796">
        <f>EDATE(C58,-1)</f>
        <v>44562</v>
      </c>
      <c r="E58" s="1796">
        <f t="shared" ref="E58:O58" si="16">EDATE(D58,-1)</f>
        <v>44531</v>
      </c>
      <c r="F58" s="1796">
        <f t="shared" si="16"/>
        <v>44501</v>
      </c>
      <c r="G58" s="1796">
        <f t="shared" si="16"/>
        <v>44470</v>
      </c>
      <c r="H58" s="1796">
        <f t="shared" si="16"/>
        <v>44440</v>
      </c>
      <c r="I58" s="1796">
        <f t="shared" si="16"/>
        <v>44409</v>
      </c>
      <c r="J58" s="1796">
        <f t="shared" si="16"/>
        <v>44378</v>
      </c>
      <c r="K58" s="1796">
        <f t="shared" si="16"/>
        <v>44348</v>
      </c>
      <c r="L58" s="1796">
        <f t="shared" si="16"/>
        <v>44317</v>
      </c>
      <c r="M58" s="1796">
        <f t="shared" si="16"/>
        <v>44287</v>
      </c>
      <c r="N58" s="1796">
        <f t="shared" si="16"/>
        <v>44256</v>
      </c>
      <c r="O58" s="1796">
        <f t="shared" si="16"/>
        <v>44228</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2242</v>
      </c>
      <c r="B63" s="1818" t="s">
        <v>2207</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2320</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2217</v>
      </c>
      <c r="B100" s="1818" t="s">
        <v>2321</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2268</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2270</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2322</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2323</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2275</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46" priority="21" stopIfTrue="1" operator="containsText" text="超过">
      <formula>NOT(ISERROR(SEARCH("超过",F52)))</formula>
    </cfRule>
  </conditionalFormatting>
  <conditionalFormatting sqref="H54">
    <cfRule type="containsText" dxfId="145" priority="19" stopIfTrue="1" operator="containsText" text="超过">
      <formula>NOT(ISERROR(SEARCH("超过",H54)))</formula>
    </cfRule>
  </conditionalFormatting>
  <conditionalFormatting sqref="F54">
    <cfRule type="containsText" dxfId="144" priority="18" stopIfTrue="1" operator="containsText" text="超过">
      <formula>NOT(ISERROR(SEARCH("超过",F54)))</formula>
    </cfRule>
  </conditionalFormatting>
  <conditionalFormatting sqref="F53 H53">
    <cfRule type="containsText" dxfId="143" priority="17" stopIfTrue="1" operator="containsText" text="超过">
      <formula>NOT(ISERROR(SEARCH("超过",F53)))</formula>
    </cfRule>
  </conditionalFormatting>
  <conditionalFormatting sqref="E52">
    <cfRule type="expression" dxfId="142" priority="16" stopIfTrue="1">
      <formula>$F$52="超过30%"</formula>
    </cfRule>
  </conditionalFormatting>
  <conditionalFormatting sqref="E53">
    <cfRule type="expression" dxfId="141" priority="15" stopIfTrue="1">
      <formula>$F$53="超过20%"</formula>
    </cfRule>
  </conditionalFormatting>
  <conditionalFormatting sqref="E54">
    <cfRule type="expression" dxfId="140" priority="14" stopIfTrue="1">
      <formula>$F$54="超过30%"</formula>
    </cfRule>
  </conditionalFormatting>
  <conditionalFormatting sqref="G54">
    <cfRule type="expression" dxfId="139" priority="13" stopIfTrue="1">
      <formula>$H$54="超过30%"</formula>
    </cfRule>
  </conditionalFormatting>
  <conditionalFormatting sqref="G52">
    <cfRule type="expression" dxfId="138" priority="12" stopIfTrue="1">
      <formula>$H$52="超过30%"</formula>
    </cfRule>
  </conditionalFormatting>
  <conditionalFormatting sqref="G53">
    <cfRule type="expression" dxfId="137" priority="11" stopIfTrue="1">
      <formula>$H$53="超过20%"</formula>
    </cfRule>
  </conditionalFormatting>
  <conditionalFormatting sqref="J52">
    <cfRule type="containsText" dxfId="136" priority="10" stopIfTrue="1" operator="containsText" text="超过">
      <formula>NOT(ISERROR(SEARCH("超过",J52)))</formula>
    </cfRule>
  </conditionalFormatting>
  <conditionalFormatting sqref="J54">
    <cfRule type="containsText" dxfId="135" priority="9" stopIfTrue="1" operator="containsText" text="超过">
      <formula>NOT(ISERROR(SEARCH("超过",J54)))</formula>
    </cfRule>
  </conditionalFormatting>
  <conditionalFormatting sqref="J53">
    <cfRule type="containsText" dxfId="134" priority="8" stopIfTrue="1" operator="containsText" text="超过">
      <formula>NOT(ISERROR(SEARCH("超过",J53)))</formula>
    </cfRule>
  </conditionalFormatting>
  <conditionalFormatting sqref="I52">
    <cfRule type="expression" dxfId="133" priority="7" stopIfTrue="1">
      <formula>$J$52="超过30%"</formula>
    </cfRule>
  </conditionalFormatting>
  <conditionalFormatting sqref="I53">
    <cfRule type="expression" dxfId="132" priority="6" stopIfTrue="1">
      <formula>$J$53="超过20%"</formula>
    </cfRule>
  </conditionalFormatting>
  <conditionalFormatting sqref="I54">
    <cfRule type="expression" dxfId="131" priority="5" stopIfTrue="1">
      <formula>$J$54="超过30%"</formula>
    </cfRule>
  </conditionalFormatting>
  <conditionalFormatting sqref="F48">
    <cfRule type="expression" dxfId="130" priority="4">
      <formula>$D$48="简单平均"</formula>
    </cfRule>
  </conditionalFormatting>
  <conditionalFormatting sqref="H48">
    <cfRule type="expression" dxfId="129" priority="3">
      <formula>$D$48="简单平均"</formula>
    </cfRule>
  </conditionalFormatting>
  <conditionalFormatting sqref="J48">
    <cfRule type="expression" dxfId="128" priority="2">
      <formula>$D$48="简单平均"</formula>
    </cfRule>
  </conditionalFormatting>
  <conditionalFormatting sqref="F7:F46 H7:H46 J7:J46">
    <cfRule type="cellIs" dxfId="127"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90" zoomScaleNormal="60" zoomScaleSheetLayoutView="90" workbookViewId="0">
      <selection activeCell="D3" sqref="D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t="s">
        <v>2688</v>
      </c>
      <c r="D1" s="1608"/>
      <c r="E1" s="1611" t="s">
        <v>2686</v>
      </c>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f>IF(D2="——",IF(C2="元",ROUND(C50*D3,0),ROUND(C50*D3/10000,0)),IF(C2="元",ROUND(C50*D3,0),ROUND(C50*D3/10000,0))-E2)</f>
        <v>196</v>
      </c>
      <c r="C2" s="1621" t="str">
        <f>'数据-取费表'!B3</f>
        <v>万元</v>
      </c>
      <c r="D2" s="1622" t="s">
        <v>1183</v>
      </c>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f>ROUND(IF(D2="——",C50,IF(C2="万元",B2*10000/D3,B2/D3)),0)</f>
        <v>31139</v>
      </c>
      <c r="C3" s="1630" t="s">
        <v>2187</v>
      </c>
      <c r="D3" s="1630">
        <f>IF(C1="仅计算典型户型",'数据-取费表'!E5,'数据-取费表'!B5)</f>
        <v>63</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2188</v>
      </c>
      <c r="B4" s="1634"/>
      <c r="C4" s="3613" t="s">
        <v>2189</v>
      </c>
      <c r="D4" s="3614"/>
      <c r="E4" s="3615" t="s">
        <v>2190</v>
      </c>
      <c r="F4" s="3616"/>
      <c r="G4" s="3613" t="s">
        <v>2191</v>
      </c>
      <c r="H4" s="3614"/>
      <c r="I4" s="3613" t="s">
        <v>2192</v>
      </c>
      <c r="J4" s="3614"/>
      <c r="K4" s="1936" t="s">
        <v>2193</v>
      </c>
      <c r="L4" s="2967"/>
      <c r="M4" s="2968"/>
      <c r="N4" s="2968"/>
      <c r="O4" s="2968"/>
      <c r="P4" s="3617" t="s">
        <v>2194</v>
      </c>
      <c r="Q4" s="3618"/>
      <c r="R4" s="3602" t="s">
        <v>2190</v>
      </c>
      <c r="S4" s="3603"/>
      <c r="T4" s="3602" t="s">
        <v>2191</v>
      </c>
      <c r="U4" s="3603"/>
      <c r="V4" s="3623" t="s">
        <v>2192</v>
      </c>
      <c r="W4" s="3623"/>
      <c r="X4" s="2045"/>
      <c r="Y4" s="3602" t="s">
        <v>2194</v>
      </c>
      <c r="Z4" s="3603"/>
      <c r="AA4" s="3610" t="s">
        <v>2190</v>
      </c>
      <c r="AB4" s="3610" t="s">
        <v>2191</v>
      </c>
      <c r="AC4" s="3610" t="s">
        <v>2192</v>
      </c>
    </row>
    <row r="5" spans="1:29" ht="15">
      <c r="A5" s="1638"/>
      <c r="B5" s="1639"/>
      <c r="C5" s="3598" t="s">
        <v>2195</v>
      </c>
      <c r="D5" s="3599"/>
      <c r="E5" s="3629" t="s">
        <v>3034</v>
      </c>
      <c r="F5" s="3625"/>
      <c r="G5" s="3630" t="s">
        <v>3034</v>
      </c>
      <c r="H5" s="3599"/>
      <c r="I5" s="3630" t="s">
        <v>3034</v>
      </c>
      <c r="J5" s="3599"/>
      <c r="K5" s="1936"/>
      <c r="L5" s="2967"/>
      <c r="M5" s="2968"/>
      <c r="N5" s="2968"/>
      <c r="O5" s="2968"/>
      <c r="P5" s="3619"/>
      <c r="Q5" s="3620"/>
      <c r="R5" s="3604"/>
      <c r="S5" s="3605"/>
      <c r="T5" s="3604"/>
      <c r="U5" s="3605"/>
      <c r="V5" s="3623"/>
      <c r="W5" s="3623"/>
      <c r="X5" s="2045"/>
      <c r="Y5" s="3604"/>
      <c r="Z5" s="3605"/>
      <c r="AA5" s="3611"/>
      <c r="AB5" s="3611"/>
      <c r="AC5" s="3611"/>
    </row>
    <row r="6" spans="1:29" ht="15.75" thickBot="1">
      <c r="A6" s="1641"/>
      <c r="B6" s="1642"/>
      <c r="C6" s="3596" t="s">
        <v>2199</v>
      </c>
      <c r="D6" s="3597"/>
      <c r="E6" s="3626" t="s">
        <v>2199</v>
      </c>
      <c r="F6" s="3627"/>
      <c r="G6" s="3596" t="s">
        <v>2199</v>
      </c>
      <c r="H6" s="3597"/>
      <c r="I6" s="3596" t="s">
        <v>2199</v>
      </c>
      <c r="J6" s="3597"/>
      <c r="K6" s="1936" t="s">
        <v>2200</v>
      </c>
      <c r="L6" s="2967"/>
      <c r="M6" s="2968"/>
      <c r="N6" s="2968"/>
      <c r="O6" s="2968"/>
      <c r="P6" s="3621"/>
      <c r="Q6" s="3622"/>
      <c r="R6" s="3604"/>
      <c r="S6" s="3605"/>
      <c r="T6" s="3606"/>
      <c r="U6" s="3607"/>
      <c r="V6" s="3623"/>
      <c r="W6" s="3623"/>
      <c r="X6" s="2045"/>
      <c r="Y6" s="3606"/>
      <c r="Z6" s="3607"/>
      <c r="AA6" s="3612"/>
      <c r="AB6" s="3612"/>
      <c r="AC6" s="3612"/>
    </row>
    <row r="7" spans="1:29" s="1655" customFormat="1" ht="15.75" thickBot="1">
      <c r="A7" s="1643" t="s">
        <v>2201</v>
      </c>
      <c r="B7" s="1644"/>
      <c r="C7" s="1645">
        <f>'数据-取费表'!B2</f>
        <v>44610</v>
      </c>
      <c r="D7" s="1646">
        <v>100</v>
      </c>
      <c r="E7" s="1647">
        <f>C7</f>
        <v>44610</v>
      </c>
      <c r="F7" s="1648">
        <f>SUMIF(59:59,YEAR(E7)&amp;"-"&amp;MONTH(E7),60:60)</f>
        <v>100</v>
      </c>
      <c r="G7" s="1937">
        <f>C7</f>
        <v>44610</v>
      </c>
      <c r="H7" s="1646">
        <f>SUMIF(59:59,YEAR(G7)&amp;"-"&amp;MONTH(G7),60:60)</f>
        <v>100</v>
      </c>
      <c r="I7" s="1937">
        <f>C7</f>
        <v>44610</v>
      </c>
      <c r="J7" s="1646">
        <f>SUMIF(59:59,YEAR(I7)&amp;"-"&amp;MONTH(I7),60:60)</f>
        <v>100</v>
      </c>
      <c r="K7" s="1938"/>
      <c r="L7" s="2967"/>
      <c r="M7" s="2940"/>
      <c r="N7" s="2940"/>
      <c r="O7" s="2940"/>
      <c r="P7" s="3600" t="s">
        <v>2202</v>
      </c>
      <c r="Q7" s="3608"/>
      <c r="R7" s="1651" t="s">
        <v>25</v>
      </c>
      <c r="S7" s="1652">
        <f t="shared" ref="S7:S15" si="0">F7</f>
        <v>100</v>
      </c>
      <c r="T7" s="1651" t="s">
        <v>25</v>
      </c>
      <c r="U7" s="1652">
        <f t="shared" ref="U7:U15" si="1">H7</f>
        <v>100</v>
      </c>
      <c r="V7" s="1651" t="s">
        <v>25</v>
      </c>
      <c r="W7" s="1652">
        <f t="shared" ref="W7:W15" si="2">J7</f>
        <v>100</v>
      </c>
      <c r="X7" s="1653"/>
      <c r="Y7" s="3600" t="s">
        <v>2202</v>
      </c>
      <c r="Z7" s="3601"/>
      <c r="AA7" s="1654">
        <f>D7/F7</f>
        <v>1</v>
      </c>
      <c r="AB7" s="1654">
        <f>D7/H7</f>
        <v>1</v>
      </c>
      <c r="AC7" s="1654">
        <f>D7/J7</f>
        <v>1</v>
      </c>
    </row>
    <row r="8" spans="1:29" s="1655" customFormat="1" ht="15.75" thickBot="1">
      <c r="A8" s="1643" t="s">
        <v>2203</v>
      </c>
      <c r="B8" s="1644"/>
      <c r="C8" s="1656" t="s">
        <v>2204</v>
      </c>
      <c r="D8" s="1646">
        <v>100</v>
      </c>
      <c r="E8" s="1656" t="s">
        <v>2824</v>
      </c>
      <c r="F8" s="1648">
        <f>SUMIF(62:62,E8,63:63)-SUMIF(62:62,C8,63:63)+100</f>
        <v>100</v>
      </c>
      <c r="G8" s="1656" t="s">
        <v>2824</v>
      </c>
      <c r="H8" s="1646">
        <f>SUMIF(62:62,G8,63:63)-SUMIF(62:62,C8,63:63)+100</f>
        <v>100</v>
      </c>
      <c r="I8" s="1656" t="s">
        <v>2824</v>
      </c>
      <c r="J8" s="1646">
        <f>SUMIF(62:62,I8,63:63)-SUMIF(62:62,C8,63:63)+100</f>
        <v>100</v>
      </c>
      <c r="K8" s="1938"/>
      <c r="L8" s="2967"/>
      <c r="M8" s="2940"/>
      <c r="N8" s="2940"/>
      <c r="O8" s="2940"/>
      <c r="P8" s="3600" t="s">
        <v>2205</v>
      </c>
      <c r="Q8" s="3601"/>
      <c r="R8" s="1651" t="s">
        <v>25</v>
      </c>
      <c r="S8" s="1652">
        <f t="shared" si="0"/>
        <v>100</v>
      </c>
      <c r="T8" s="1651" t="s">
        <v>25</v>
      </c>
      <c r="U8" s="1652">
        <f t="shared" si="1"/>
        <v>100</v>
      </c>
      <c r="V8" s="1651" t="s">
        <v>25</v>
      </c>
      <c r="W8" s="1652">
        <f t="shared" si="2"/>
        <v>100</v>
      </c>
      <c r="X8" s="1653"/>
      <c r="Y8" s="3600" t="s">
        <v>2205</v>
      </c>
      <c r="Z8" s="3601"/>
      <c r="AA8" s="1654">
        <f t="shared" ref="AA8:AA47" si="3">D8/F8</f>
        <v>1</v>
      </c>
      <c r="AB8" s="1654">
        <f t="shared" ref="AB8:AB47" si="4">D8/H8</f>
        <v>1</v>
      </c>
      <c r="AC8" s="1654">
        <f t="shared" ref="AC8:AC47" si="5">D8/J8</f>
        <v>1</v>
      </c>
    </row>
    <row r="9" spans="1:29" s="1655" customFormat="1">
      <c r="A9" s="2037" t="s">
        <v>2206</v>
      </c>
      <c r="B9" s="1658" t="s">
        <v>2207</v>
      </c>
      <c r="C9" s="3320" t="s">
        <v>3033</v>
      </c>
      <c r="D9" s="1660">
        <v>100</v>
      </c>
      <c r="E9" s="1663" t="s">
        <v>3000</v>
      </c>
      <c r="F9" s="1660">
        <f>SUMIF(64:64,E9,65:65)-SUMIF(64:64,C9,65:65)+100</f>
        <v>100</v>
      </c>
      <c r="G9" s="1661" t="s">
        <v>3000</v>
      </c>
      <c r="H9" s="1660">
        <f>SUMIF(64:64,G9,65:65)-SUMIF(64:64,C9,65:65)+100</f>
        <v>100</v>
      </c>
      <c r="I9" s="1661" t="s">
        <v>3000</v>
      </c>
      <c r="J9" s="1660">
        <f>SUMIF(64:64,I9,65:65)-SUMIF(64:64,C9,65:65)+100</f>
        <v>100</v>
      </c>
      <c r="K9" s="1938"/>
      <c r="L9" s="2967"/>
      <c r="M9" s="2940"/>
      <c r="N9" s="2940"/>
      <c r="O9" s="2940"/>
      <c r="P9" s="3586" t="s">
        <v>2208</v>
      </c>
      <c r="Q9" s="2885" t="str">
        <f t="shared" ref="Q9:Q15" si="6">B9</f>
        <v>用途</v>
      </c>
      <c r="R9" s="1651" t="s">
        <v>25</v>
      </c>
      <c r="S9" s="1652">
        <f t="shared" si="0"/>
        <v>100</v>
      </c>
      <c r="T9" s="1651" t="s">
        <v>25</v>
      </c>
      <c r="U9" s="1652">
        <f t="shared" si="1"/>
        <v>100</v>
      </c>
      <c r="V9" s="1651" t="s">
        <v>25</v>
      </c>
      <c r="W9" s="1652">
        <f t="shared" si="2"/>
        <v>100</v>
      </c>
      <c r="X9" s="1653"/>
      <c r="Y9" s="3448" t="s">
        <v>2209</v>
      </c>
      <c r="Z9" s="1664" t="str">
        <f t="shared" ref="Z9:Z15" si="7">Q9</f>
        <v>用途</v>
      </c>
      <c r="AA9" s="1654">
        <f t="shared" si="3"/>
        <v>1</v>
      </c>
      <c r="AB9" s="1654">
        <f t="shared" si="4"/>
        <v>1</v>
      </c>
      <c r="AC9" s="1654">
        <f t="shared" si="5"/>
        <v>1</v>
      </c>
    </row>
    <row r="10" spans="1:29" s="1672" customFormat="1" ht="27">
      <c r="A10" s="1665"/>
      <c r="B10" s="1666" t="s">
        <v>2210</v>
      </c>
      <c r="C10" s="1667" t="s">
        <v>3009</v>
      </c>
      <c r="D10" s="1668">
        <v>100</v>
      </c>
      <c r="E10" s="1667" t="s">
        <v>3009</v>
      </c>
      <c r="F10" s="1668">
        <f>SUMIF(66:66,E10,67:67)-SUMIF(66:66,C10,67:67)+100</f>
        <v>100</v>
      </c>
      <c r="G10" s="1669" t="s">
        <v>3009</v>
      </c>
      <c r="H10" s="1668">
        <f>SUMIF(66:66,G10,67:67)-SUMIF(66:66,C10,67:67)+100</f>
        <v>100</v>
      </c>
      <c r="I10" s="1667" t="s">
        <v>3009</v>
      </c>
      <c r="J10" s="1668">
        <f>SUMIF(66:66,I10,67:67)-SUMIF(66:66,C10,67:67)+100</f>
        <v>100</v>
      </c>
      <c r="K10" s="1963">
        <v>2</v>
      </c>
      <c r="L10" s="2969"/>
      <c r="M10" s="2970"/>
      <c r="N10" s="2970"/>
      <c r="O10" s="2970"/>
      <c r="P10" s="3586"/>
      <c r="Q10" s="2885" t="str">
        <f t="shared" si="6"/>
        <v>土地使用年限（年）</v>
      </c>
      <c r="R10" s="1651" t="s">
        <v>25</v>
      </c>
      <c r="S10" s="1652">
        <f t="shared" si="0"/>
        <v>100</v>
      </c>
      <c r="T10" s="1651" t="s">
        <v>25</v>
      </c>
      <c r="U10" s="1652">
        <f t="shared" si="1"/>
        <v>100</v>
      </c>
      <c r="V10" s="1651" t="s">
        <v>25</v>
      </c>
      <c r="W10" s="1652">
        <f t="shared" si="2"/>
        <v>100</v>
      </c>
      <c r="X10" s="1653"/>
      <c r="Y10" s="3448"/>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f>LOOKUP(E11,69:69,70:70)-LOOKUP(C11,69:69,70:70)+100</f>
        <v>100</v>
      </c>
      <c r="G11" s="1675"/>
      <c r="H11" s="1668">
        <f>LOOKUP(G11,69:69,70:70)-LOOKUP(C11,69:69,70:70)+100</f>
        <v>100</v>
      </c>
      <c r="I11" s="1674"/>
      <c r="J11" s="1668">
        <f>LOOKUP(I11,69:69,70:70)-LOOKUP(C11,69:69,70:70)+100</f>
        <v>100</v>
      </c>
      <c r="K11" s="1963"/>
      <c r="L11" s="2971"/>
      <c r="M11" s="2968"/>
      <c r="N11" s="2968"/>
      <c r="O11" s="2968"/>
      <c r="P11" s="3586"/>
      <c r="Q11" s="2885" t="str">
        <f t="shared" si="6"/>
        <v>容积率</v>
      </c>
      <c r="R11" s="1651" t="s">
        <v>25</v>
      </c>
      <c r="S11" s="1652">
        <f t="shared" si="0"/>
        <v>100</v>
      </c>
      <c r="T11" s="1651" t="s">
        <v>25</v>
      </c>
      <c r="U11" s="1652">
        <f t="shared" si="1"/>
        <v>100</v>
      </c>
      <c r="V11" s="1651" t="s">
        <v>25</v>
      </c>
      <c r="W11" s="1652">
        <f t="shared" si="2"/>
        <v>100</v>
      </c>
      <c r="X11" s="1653"/>
      <c r="Y11" s="3448"/>
      <c r="Z11" s="1664" t="str">
        <f t="shared" si="7"/>
        <v>容积率</v>
      </c>
      <c r="AA11" s="1654">
        <f t="shared" si="3"/>
        <v>1</v>
      </c>
      <c r="AB11" s="1654">
        <f t="shared" si="4"/>
        <v>1</v>
      </c>
      <c r="AC11" s="1654">
        <f t="shared" si="5"/>
        <v>1</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86"/>
      <c r="Q12" s="2885">
        <f t="shared" si="6"/>
        <v>111</v>
      </c>
      <c r="R12" s="1651" t="s">
        <v>25</v>
      </c>
      <c r="S12" s="1652">
        <f t="shared" si="0"/>
        <v>100</v>
      </c>
      <c r="T12" s="1651" t="s">
        <v>25</v>
      </c>
      <c r="U12" s="1652">
        <f t="shared" si="1"/>
        <v>100</v>
      </c>
      <c r="V12" s="1651" t="s">
        <v>25</v>
      </c>
      <c r="W12" s="1652">
        <f t="shared" si="2"/>
        <v>100</v>
      </c>
      <c r="X12" s="1653"/>
      <c r="Y12" s="3448"/>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86"/>
      <c r="Q13" s="2885">
        <f t="shared" si="6"/>
        <v>111</v>
      </c>
      <c r="R13" s="1651" t="s">
        <v>25</v>
      </c>
      <c r="S13" s="1652">
        <f t="shared" si="0"/>
        <v>100</v>
      </c>
      <c r="T13" s="1651" t="s">
        <v>25</v>
      </c>
      <c r="U13" s="1652">
        <f t="shared" si="1"/>
        <v>100</v>
      </c>
      <c r="V13" s="1651" t="s">
        <v>25</v>
      </c>
      <c r="W13" s="1652">
        <f t="shared" si="2"/>
        <v>100</v>
      </c>
      <c r="X13" s="1653"/>
      <c r="Y13" s="3448"/>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86"/>
      <c r="Q14" s="2885">
        <f t="shared" si="6"/>
        <v>111</v>
      </c>
      <c r="R14" s="1651" t="s">
        <v>25</v>
      </c>
      <c r="S14" s="1652">
        <f t="shared" si="0"/>
        <v>100</v>
      </c>
      <c r="T14" s="1651" t="s">
        <v>25</v>
      </c>
      <c r="U14" s="1652">
        <f t="shared" si="1"/>
        <v>100</v>
      </c>
      <c r="V14" s="1651" t="s">
        <v>25</v>
      </c>
      <c r="W14" s="1652">
        <f t="shared" si="2"/>
        <v>100</v>
      </c>
      <c r="X14" s="1653"/>
      <c r="Y14" s="3448"/>
      <c r="Z14" s="1664">
        <f t="shared" si="7"/>
        <v>111</v>
      </c>
      <c r="AA14" s="1654">
        <f t="shared" si="3"/>
        <v>1</v>
      </c>
      <c r="AB14" s="1654">
        <f t="shared" si="4"/>
        <v>1</v>
      </c>
      <c r="AC14" s="1654">
        <f t="shared" si="5"/>
        <v>1</v>
      </c>
    </row>
    <row r="15" spans="1:29" ht="71.25">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589" t="s">
        <v>2213</v>
      </c>
      <c r="Q15" s="2886" t="str">
        <f t="shared" si="6"/>
        <v>办公集聚程度</v>
      </c>
      <c r="R15" s="1696" t="s">
        <v>25</v>
      </c>
      <c r="S15" s="1697">
        <f t="shared" si="0"/>
        <v>100</v>
      </c>
      <c r="T15" s="1696" t="s">
        <v>25</v>
      </c>
      <c r="U15" s="1697">
        <f t="shared" si="1"/>
        <v>100</v>
      </c>
      <c r="V15" s="1696" t="s">
        <v>25</v>
      </c>
      <c r="W15" s="1697">
        <f t="shared" si="2"/>
        <v>100</v>
      </c>
      <c r="X15" s="2045"/>
      <c r="Y15" s="3589"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590"/>
      <c r="Q16" s="2886"/>
      <c r="R16" s="1696"/>
      <c r="S16" s="1697"/>
      <c r="T16" s="1696"/>
      <c r="U16" s="1697"/>
      <c r="V16" s="1696"/>
      <c r="W16" s="1697"/>
      <c r="X16" s="2045"/>
      <c r="Y16" s="3590"/>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590"/>
      <c r="Q17" s="2886" t="str">
        <f>B17</f>
        <v>交通便捷度</v>
      </c>
      <c r="R17" s="1696" t="s">
        <v>25</v>
      </c>
      <c r="S17" s="1697">
        <f>F17</f>
        <v>100</v>
      </c>
      <c r="T17" s="1696" t="s">
        <v>25</v>
      </c>
      <c r="U17" s="1697">
        <f>H17</f>
        <v>100</v>
      </c>
      <c r="V17" s="1696" t="s">
        <v>25</v>
      </c>
      <c r="W17" s="1697">
        <f>J17</f>
        <v>100</v>
      </c>
      <c r="X17" s="2045"/>
      <c r="Y17" s="3590"/>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590"/>
      <c r="Q18" s="2886"/>
      <c r="R18" s="1696"/>
      <c r="S18" s="1697"/>
      <c r="T18" s="1696"/>
      <c r="U18" s="1697"/>
      <c r="V18" s="1696"/>
      <c r="W18" s="1697"/>
      <c r="X18" s="2045"/>
      <c r="Y18" s="3590"/>
      <c r="Z18" s="2049"/>
      <c r="AA18" s="2040">
        <v>1</v>
      </c>
      <c r="AB18" s="2040">
        <v>1</v>
      </c>
      <c r="AC18" s="2040">
        <v>1</v>
      </c>
    </row>
    <row r="19" spans="1:29" ht="42.75">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590"/>
      <c r="Q19" s="2886" t="str">
        <f>B19</f>
        <v>公共配套设施</v>
      </c>
      <c r="R19" s="1696" t="s">
        <v>25</v>
      </c>
      <c r="S19" s="1697">
        <f>F19</f>
        <v>100</v>
      </c>
      <c r="T19" s="1696" t="s">
        <v>25</v>
      </c>
      <c r="U19" s="1697">
        <f>H19</f>
        <v>100</v>
      </c>
      <c r="V19" s="1696" t="s">
        <v>25</v>
      </c>
      <c r="W19" s="1697">
        <f>J19</f>
        <v>100</v>
      </c>
      <c r="X19" s="2045"/>
      <c r="Y19" s="3590"/>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590"/>
      <c r="Q20" s="2886"/>
      <c r="R20" s="1696"/>
      <c r="S20" s="1697"/>
      <c r="T20" s="1696"/>
      <c r="U20" s="1697"/>
      <c r="V20" s="1696"/>
      <c r="W20" s="1697"/>
      <c r="X20" s="2045"/>
      <c r="Y20" s="3590"/>
      <c r="Z20" s="2049"/>
      <c r="AA20" s="2040">
        <v>1</v>
      </c>
      <c r="AB20" s="2040">
        <v>1</v>
      </c>
      <c r="AC20" s="2040">
        <v>1</v>
      </c>
    </row>
    <row r="21" spans="1:29" ht="28.5">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590"/>
      <c r="Q21" s="2886" t="str">
        <f>B21</f>
        <v>基础设施水平</v>
      </c>
      <c r="R21" s="1696" t="s">
        <v>25</v>
      </c>
      <c r="S21" s="1697">
        <f>F21</f>
        <v>100</v>
      </c>
      <c r="T21" s="1696" t="s">
        <v>25</v>
      </c>
      <c r="U21" s="1697">
        <f>H21</f>
        <v>100</v>
      </c>
      <c r="V21" s="1696" t="s">
        <v>25</v>
      </c>
      <c r="W21" s="1697">
        <f>J21</f>
        <v>100</v>
      </c>
      <c r="X21" s="2045"/>
      <c r="Y21" s="3590"/>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590"/>
      <c r="Q22" s="2886"/>
      <c r="R22" s="1696"/>
      <c r="S22" s="1697"/>
      <c r="T22" s="1696"/>
      <c r="U22" s="1697"/>
      <c r="V22" s="1696"/>
      <c r="W22" s="1697"/>
      <c r="X22" s="2045"/>
      <c r="Y22" s="3590"/>
      <c r="Z22" s="2049"/>
      <c r="AA22" s="2040">
        <v>1</v>
      </c>
      <c r="AB22" s="2040">
        <v>1</v>
      </c>
      <c r="AC22" s="2040">
        <v>1</v>
      </c>
    </row>
    <row r="23" spans="1:29" ht="57">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590"/>
      <c r="Q23" s="2886" t="str">
        <f>B23</f>
        <v>环境质量</v>
      </c>
      <c r="R23" s="1696" t="s">
        <v>25</v>
      </c>
      <c r="S23" s="1697">
        <f>F23</f>
        <v>100</v>
      </c>
      <c r="T23" s="1696" t="s">
        <v>25</v>
      </c>
      <c r="U23" s="1697">
        <f>H23</f>
        <v>100</v>
      </c>
      <c r="V23" s="1696" t="s">
        <v>25</v>
      </c>
      <c r="W23" s="1697">
        <f>J23</f>
        <v>100</v>
      </c>
      <c r="X23" s="2045"/>
      <c r="Y23" s="3590"/>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590"/>
      <c r="Q24" s="2886"/>
      <c r="R24" s="1696"/>
      <c r="S24" s="1697"/>
      <c r="T24" s="1696"/>
      <c r="U24" s="1697"/>
      <c r="V24" s="1696"/>
      <c r="W24" s="1697"/>
      <c r="X24" s="2045"/>
      <c r="Y24" s="3590"/>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590"/>
      <c r="Q25" s="2886" t="str">
        <f>B25</f>
        <v>毗邻道路的类型与等级</v>
      </c>
      <c r="R25" s="1696" t="s">
        <v>25</v>
      </c>
      <c r="S25" s="1697">
        <f>F25</f>
        <v>100</v>
      </c>
      <c r="T25" s="1696" t="s">
        <v>25</v>
      </c>
      <c r="U25" s="1697">
        <f>H25</f>
        <v>100</v>
      </c>
      <c r="V25" s="1696" t="s">
        <v>25</v>
      </c>
      <c r="W25" s="1697">
        <f>J25</f>
        <v>100</v>
      </c>
      <c r="X25" s="2045"/>
      <c r="Y25" s="3590"/>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590"/>
      <c r="Q26" s="2886"/>
      <c r="R26" s="1696"/>
      <c r="S26" s="1697"/>
      <c r="T26" s="1696"/>
      <c r="U26" s="1697"/>
      <c r="V26" s="1696"/>
      <c r="W26" s="1697"/>
      <c r="X26" s="2045"/>
      <c r="Y26" s="3590"/>
      <c r="Z26" s="2049"/>
      <c r="AA26" s="2040">
        <v>1</v>
      </c>
      <c r="AB26" s="2040">
        <v>1</v>
      </c>
      <c r="AC26" s="2040">
        <v>1</v>
      </c>
    </row>
    <row r="27" spans="1:29" ht="15">
      <c r="A27" s="1673"/>
      <c r="B27" s="2466" t="s">
        <v>2304</v>
      </c>
      <c r="C27" s="1954" t="s">
        <v>3030</v>
      </c>
      <c r="D27" s="1682">
        <v>100</v>
      </c>
      <c r="E27" s="1962" t="s">
        <v>3030</v>
      </c>
      <c r="F27" s="1682">
        <f>SUMIF(89:89,E27,90:90)-SUMIF(89:89,C27,90:90)+100</f>
        <v>100</v>
      </c>
      <c r="G27" s="1954" t="s">
        <v>3030</v>
      </c>
      <c r="H27" s="1682">
        <f>SUMIF(89:89,G27,90:90)-SUMIF(89:89,C27,90:90)+100</f>
        <v>100</v>
      </c>
      <c r="I27" s="1962" t="s">
        <v>3030</v>
      </c>
      <c r="J27" s="1682">
        <f>SUMIF(89:89,I27,90:90)-SUMIF(89:89,C27,90:90)+100</f>
        <v>100</v>
      </c>
      <c r="K27" s="1963">
        <v>3</v>
      </c>
      <c r="L27" s="2972"/>
      <c r="M27" s="2968"/>
      <c r="N27" s="2968"/>
      <c r="O27" s="2968"/>
      <c r="P27" s="3590"/>
      <c r="Q27" s="2886" t="str">
        <f t="shared" ref="Q27:Q47" si="11">B27</f>
        <v>楼层</v>
      </c>
      <c r="R27" s="1696" t="s">
        <v>25</v>
      </c>
      <c r="S27" s="1697">
        <f>F27</f>
        <v>100</v>
      </c>
      <c r="T27" s="1696" t="s">
        <v>25</v>
      </c>
      <c r="U27" s="1697">
        <f>H27</f>
        <v>100</v>
      </c>
      <c r="V27" s="1696" t="s">
        <v>25</v>
      </c>
      <c r="W27" s="1697">
        <f>J27</f>
        <v>100</v>
      </c>
      <c r="X27" s="2045"/>
      <c r="Y27" s="3590"/>
      <c r="Z27" s="2049" t="str">
        <f>Q27</f>
        <v>楼层</v>
      </c>
      <c r="AA27" s="2040">
        <f t="shared" si="3"/>
        <v>1</v>
      </c>
      <c r="AB27" s="2040">
        <f t="shared" si="4"/>
        <v>1</v>
      </c>
      <c r="AC27" s="2040">
        <f t="shared" si="5"/>
        <v>1</v>
      </c>
    </row>
    <row r="28" spans="1:29" s="1655" customFormat="1" ht="15">
      <c r="A28" s="1676"/>
      <c r="B28" s="2465" t="s">
        <v>2332</v>
      </c>
      <c r="C28" s="2469" t="s">
        <v>3047</v>
      </c>
      <c r="D28" s="1727">
        <v>100</v>
      </c>
      <c r="E28" s="2447" t="s">
        <v>3048</v>
      </c>
      <c r="F28" s="1727">
        <f>SUMIF(91:91,E28,92:92)-SUMIF(91:91,C28,92:92)+100</f>
        <v>99</v>
      </c>
      <c r="G28" s="2469" t="s">
        <v>3047</v>
      </c>
      <c r="H28" s="1727">
        <f>SUMIF(91:91,G28,92:92)-SUMIF(91:91,C28,92:92)+100</f>
        <v>100</v>
      </c>
      <c r="I28" s="2447" t="s">
        <v>3049</v>
      </c>
      <c r="J28" s="1727">
        <f>SUMIF(91:91,I28,92:92)-SUMIF(91:91,C28,92:92)+100</f>
        <v>96</v>
      </c>
      <c r="K28" s="1963">
        <v>1</v>
      </c>
      <c r="L28" s="2967"/>
      <c r="M28" s="2940"/>
      <c r="N28" s="2940"/>
      <c r="O28" s="2940"/>
      <c r="P28" s="3590"/>
      <c r="Q28" s="2885" t="str">
        <f t="shared" si="11"/>
        <v>朝向</v>
      </c>
      <c r="R28" s="1651" t="s">
        <v>25</v>
      </c>
      <c r="S28" s="1652">
        <f>F28</f>
        <v>99</v>
      </c>
      <c r="T28" s="1651" t="s">
        <v>25</v>
      </c>
      <c r="U28" s="1652">
        <f>H28</f>
        <v>100</v>
      </c>
      <c r="V28" s="1651" t="s">
        <v>25</v>
      </c>
      <c r="W28" s="1652">
        <f>J28</f>
        <v>96</v>
      </c>
      <c r="X28" s="1653"/>
      <c r="Y28" s="3590"/>
      <c r="Z28" s="1664" t="str">
        <f>Q28</f>
        <v>朝向</v>
      </c>
      <c r="AA28" s="2040">
        <f>D28/F28</f>
        <v>1.0101010101010102</v>
      </c>
      <c r="AB28" s="2040">
        <f>D28/H28</f>
        <v>1</v>
      </c>
      <c r="AC28" s="2040">
        <f>D28/J28</f>
        <v>1.0416666666666667</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590"/>
      <c r="Q29" s="2886">
        <f t="shared" si="11"/>
        <v>111</v>
      </c>
      <c r="R29" s="1696" t="s">
        <v>25</v>
      </c>
      <c r="S29" s="1697">
        <f t="shared" ref="S29:S47" si="12">F29</f>
        <v>100</v>
      </c>
      <c r="T29" s="1696" t="s">
        <v>25</v>
      </c>
      <c r="U29" s="1697">
        <f t="shared" ref="U29:U47" si="13">H29</f>
        <v>100</v>
      </c>
      <c r="V29" s="1696" t="s">
        <v>25</v>
      </c>
      <c r="W29" s="1697">
        <f t="shared" ref="W29:W47" si="14">J29</f>
        <v>100</v>
      </c>
      <c r="X29" s="2045"/>
      <c r="Y29" s="3590"/>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590"/>
      <c r="Q30" s="2886">
        <f t="shared" si="11"/>
        <v>111</v>
      </c>
      <c r="R30" s="1696" t="s">
        <v>25</v>
      </c>
      <c r="S30" s="1697">
        <f t="shared" si="12"/>
        <v>100</v>
      </c>
      <c r="T30" s="1696" t="s">
        <v>25</v>
      </c>
      <c r="U30" s="1697">
        <f t="shared" si="13"/>
        <v>100</v>
      </c>
      <c r="V30" s="1696" t="s">
        <v>25</v>
      </c>
      <c r="W30" s="1697">
        <f t="shared" si="14"/>
        <v>100</v>
      </c>
      <c r="X30" s="2045"/>
      <c r="Y30" s="3590"/>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590"/>
      <c r="Q31" s="2886">
        <f t="shared" si="11"/>
        <v>111</v>
      </c>
      <c r="R31" s="1696" t="s">
        <v>25</v>
      </c>
      <c r="S31" s="1697">
        <f t="shared" si="12"/>
        <v>100</v>
      </c>
      <c r="T31" s="1696" t="s">
        <v>25</v>
      </c>
      <c r="U31" s="1697">
        <f t="shared" si="13"/>
        <v>100</v>
      </c>
      <c r="V31" s="1696" t="s">
        <v>25</v>
      </c>
      <c r="W31" s="1697">
        <f t="shared" si="14"/>
        <v>100</v>
      </c>
      <c r="X31" s="2045"/>
      <c r="Y31" s="3590"/>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590"/>
      <c r="Q32" s="2886">
        <f t="shared" si="11"/>
        <v>111</v>
      </c>
      <c r="R32" s="1696" t="s">
        <v>25</v>
      </c>
      <c r="S32" s="1697">
        <f t="shared" si="12"/>
        <v>100</v>
      </c>
      <c r="T32" s="1696" t="s">
        <v>25</v>
      </c>
      <c r="U32" s="1697">
        <f t="shared" si="13"/>
        <v>100</v>
      </c>
      <c r="V32" s="1696" t="s">
        <v>25</v>
      </c>
      <c r="W32" s="1697">
        <f t="shared" si="14"/>
        <v>100</v>
      </c>
      <c r="X32" s="2045"/>
      <c r="Y32" s="3590"/>
      <c r="Z32" s="2049">
        <f t="shared" si="15"/>
        <v>111</v>
      </c>
      <c r="AA32" s="2040">
        <f t="shared" si="3"/>
        <v>1</v>
      </c>
      <c r="AB32" s="2040">
        <f t="shared" si="4"/>
        <v>1</v>
      </c>
      <c r="AC32" s="2040">
        <f t="shared" si="5"/>
        <v>1</v>
      </c>
    </row>
    <row r="33" spans="1:29" ht="15">
      <c r="A33" s="1688" t="s">
        <v>2217</v>
      </c>
      <c r="B33" s="1658" t="s">
        <v>2333</v>
      </c>
      <c r="C33" s="2473" t="s">
        <v>3016</v>
      </c>
      <c r="D33" s="1733">
        <v>100</v>
      </c>
      <c r="E33" s="2473" t="s">
        <v>3016</v>
      </c>
      <c r="F33" s="1725">
        <f>SUMIF(101:101,E33,102:102)-SUMIF(101:101,C33,102:102)+100</f>
        <v>100</v>
      </c>
      <c r="G33" s="2473" t="s">
        <v>3016</v>
      </c>
      <c r="H33" s="1682">
        <f>SUMIF(101:101,G33,102:102)-SUMIF(101:101,C33,102:102)+100</f>
        <v>100</v>
      </c>
      <c r="I33" s="2473" t="s">
        <v>3016</v>
      </c>
      <c r="J33" s="1733">
        <f>SUMIF(101:101,I33,102:102)-SUMIF(101:101,C33,102:102)+100</f>
        <v>100</v>
      </c>
      <c r="K33" s="1963">
        <v>2</v>
      </c>
      <c r="L33" s="2972"/>
      <c r="M33" s="2968"/>
      <c r="N33" s="2968"/>
      <c r="O33" s="2968"/>
      <c r="P33" s="3628" t="s">
        <v>2219</v>
      </c>
      <c r="Q33" s="2886" t="str">
        <f t="shared" si="11"/>
        <v>建筑类型</v>
      </c>
      <c r="R33" s="1696" t="s">
        <v>25</v>
      </c>
      <c r="S33" s="1697">
        <f t="shared" si="12"/>
        <v>100</v>
      </c>
      <c r="T33" s="1696" t="s">
        <v>25</v>
      </c>
      <c r="U33" s="1697">
        <f t="shared" si="13"/>
        <v>100</v>
      </c>
      <c r="V33" s="1696" t="s">
        <v>25</v>
      </c>
      <c r="W33" s="1697">
        <f t="shared" si="14"/>
        <v>100</v>
      </c>
      <c r="X33" s="2045"/>
      <c r="Y33" s="3594" t="s">
        <v>2219</v>
      </c>
      <c r="Z33" s="2049" t="str">
        <f t="shared" si="15"/>
        <v>建筑类型</v>
      </c>
      <c r="AA33" s="2040">
        <f t="shared" si="3"/>
        <v>1</v>
      </c>
      <c r="AB33" s="2040">
        <f t="shared" si="4"/>
        <v>1</v>
      </c>
      <c r="AC33" s="2040">
        <f t="shared" si="5"/>
        <v>1</v>
      </c>
    </row>
    <row r="34" spans="1:29" s="1742" customFormat="1" ht="15">
      <c r="A34" s="1735"/>
      <c r="B34" s="1666" t="s">
        <v>2220</v>
      </c>
      <c r="C34" s="1736">
        <f>项目基本情况!C12</f>
        <v>63</v>
      </c>
      <c r="D34" s="1668">
        <v>100</v>
      </c>
      <c r="E34" s="1675">
        <f>案例情况!B2</f>
        <v>61.25</v>
      </c>
      <c r="F34" s="1670">
        <f>LOOKUP(E34,104:104,105:105)-LOOKUP(C34,104:104,105:105)+100</f>
        <v>100</v>
      </c>
      <c r="G34" s="1674">
        <f>案例情况!B4</f>
        <v>63</v>
      </c>
      <c r="H34" s="1668">
        <f>LOOKUP(G34,104:104,105:105)-LOOKUP(C34,104:104,105:105)+100</f>
        <v>100</v>
      </c>
      <c r="I34" s="1674">
        <f>案例情况!B3</f>
        <v>63.04</v>
      </c>
      <c r="J34" s="1668">
        <f>LOOKUP(I34,104:104,105:105)-LOOKUP(C34,104:104,105:105)+100</f>
        <v>100</v>
      </c>
      <c r="K34" s="1960"/>
      <c r="L34" s="2971"/>
      <c r="M34" s="2030"/>
      <c r="N34" s="2030"/>
      <c r="O34" s="2030"/>
      <c r="P34" s="3594"/>
      <c r="Q34" s="1737" t="str">
        <f t="shared" si="11"/>
        <v>项目建筑规模</v>
      </c>
      <c r="R34" s="1738" t="s">
        <v>25</v>
      </c>
      <c r="S34" s="1739">
        <f t="shared" si="12"/>
        <v>100</v>
      </c>
      <c r="T34" s="1738" t="s">
        <v>25</v>
      </c>
      <c r="U34" s="1739">
        <f t="shared" si="13"/>
        <v>100</v>
      </c>
      <c r="V34" s="1738" t="s">
        <v>25</v>
      </c>
      <c r="W34" s="1739">
        <f t="shared" si="14"/>
        <v>100</v>
      </c>
      <c r="X34" s="1740"/>
      <c r="Y34" s="3594"/>
      <c r="Z34" s="1741" t="str">
        <f t="shared" si="15"/>
        <v>项目建筑规模</v>
      </c>
      <c r="AA34" s="2040">
        <f t="shared" si="3"/>
        <v>1</v>
      </c>
      <c r="AB34" s="2040">
        <f t="shared" si="4"/>
        <v>1</v>
      </c>
      <c r="AC34" s="2040">
        <f t="shared" si="5"/>
        <v>1</v>
      </c>
    </row>
    <row r="35" spans="1:29" ht="15">
      <c r="A35" s="1743"/>
      <c r="B35" s="1666" t="s">
        <v>2221</v>
      </c>
      <c r="C35" s="1723" t="s">
        <v>3003</v>
      </c>
      <c r="D35" s="1682">
        <v>100</v>
      </c>
      <c r="E35" s="1723" t="s">
        <v>3003</v>
      </c>
      <c r="F35" s="1725">
        <f>SUMIF(106:106,E35,107:107)-SUMIF(106:106,C35,107:107)+100</f>
        <v>100</v>
      </c>
      <c r="G35" s="1723" t="s">
        <v>3003</v>
      </c>
      <c r="H35" s="1682">
        <f>SUMIF(106:106,G35,107:107)-SUMIF(106:106,C35,107:107)+100</f>
        <v>100</v>
      </c>
      <c r="I35" s="1723" t="s">
        <v>3003</v>
      </c>
      <c r="J35" s="1682">
        <f>SUMIF(106:106,I35,107:107)-SUMIF(106:106,C35,107:107)+100</f>
        <v>100</v>
      </c>
      <c r="K35" s="1963">
        <v>3</v>
      </c>
      <c r="L35" s="2972"/>
      <c r="M35" s="2968"/>
      <c r="N35" s="2968"/>
      <c r="O35" s="2968"/>
      <c r="P35" s="3594"/>
      <c r="Q35" s="2886" t="str">
        <f t="shared" si="11"/>
        <v>建筑结构</v>
      </c>
      <c r="R35" s="1696" t="s">
        <v>25</v>
      </c>
      <c r="S35" s="1697">
        <f t="shared" si="12"/>
        <v>100</v>
      </c>
      <c r="T35" s="1696" t="s">
        <v>25</v>
      </c>
      <c r="U35" s="1697">
        <f t="shared" si="13"/>
        <v>100</v>
      </c>
      <c r="V35" s="1696" t="s">
        <v>25</v>
      </c>
      <c r="W35" s="1697">
        <f t="shared" si="14"/>
        <v>100</v>
      </c>
      <c r="X35" s="2045"/>
      <c r="Y35" s="3594"/>
      <c r="Z35" s="2049" t="str">
        <f t="shared" si="15"/>
        <v>建筑结构</v>
      </c>
      <c r="AA35" s="2040">
        <f t="shared" si="3"/>
        <v>1</v>
      </c>
      <c r="AB35" s="2040">
        <f t="shared" si="4"/>
        <v>1</v>
      </c>
      <c r="AC35" s="2040">
        <f t="shared" si="5"/>
        <v>1</v>
      </c>
    </row>
    <row r="36" spans="1:29" ht="15">
      <c r="A36" s="1743"/>
      <c r="B36" s="1666" t="s">
        <v>2306</v>
      </c>
      <c r="C36" s="1723" t="s">
        <v>3019</v>
      </c>
      <c r="D36" s="1682">
        <v>100</v>
      </c>
      <c r="E36" s="1723" t="s">
        <v>3019</v>
      </c>
      <c r="F36" s="1725">
        <f>SUMIF(108:108,E36,109:109)-SUMIF(108:108,C36,109:109)+100</f>
        <v>100</v>
      </c>
      <c r="G36" s="1723" t="s">
        <v>3019</v>
      </c>
      <c r="H36" s="1682">
        <f>SUMIF(108:108,G36,109:109)-SUMIF(108:108,C36,109:109)+100</f>
        <v>100</v>
      </c>
      <c r="I36" s="1723" t="s">
        <v>3019</v>
      </c>
      <c r="J36" s="1682">
        <f>SUMIF(108:108,I36,109:109)-SUMIF(108:108,C36,109:109)+100</f>
        <v>100</v>
      </c>
      <c r="K36" s="1963">
        <v>2</v>
      </c>
      <c r="L36" s="2972"/>
      <c r="M36" s="2968"/>
      <c r="N36" s="2968"/>
      <c r="O36" s="2968"/>
      <c r="P36" s="3594"/>
      <c r="Q36" s="2886" t="str">
        <f t="shared" si="11"/>
        <v>公共部分装修</v>
      </c>
      <c r="R36" s="1696" t="s">
        <v>25</v>
      </c>
      <c r="S36" s="1697">
        <f t="shared" si="12"/>
        <v>100</v>
      </c>
      <c r="T36" s="1696" t="s">
        <v>25</v>
      </c>
      <c r="U36" s="1697">
        <f t="shared" si="13"/>
        <v>100</v>
      </c>
      <c r="V36" s="1696" t="s">
        <v>25</v>
      </c>
      <c r="W36" s="1697">
        <f t="shared" si="14"/>
        <v>100</v>
      </c>
      <c r="X36" s="2045"/>
      <c r="Y36" s="3594"/>
      <c r="Z36" s="2049" t="str">
        <f t="shared" si="15"/>
        <v>公共部分装修</v>
      </c>
      <c r="AA36" s="2040">
        <f t="shared" si="3"/>
        <v>1</v>
      </c>
      <c r="AB36" s="2040">
        <f t="shared" si="4"/>
        <v>1</v>
      </c>
      <c r="AC36" s="2040">
        <f t="shared" si="5"/>
        <v>1</v>
      </c>
    </row>
    <row r="37" spans="1:29" ht="15">
      <c r="A37" s="1743"/>
      <c r="B37" s="1666" t="s">
        <v>2307</v>
      </c>
      <c r="C37" s="1747">
        <f>'数据-取费表'!E20</f>
        <v>0.82</v>
      </c>
      <c r="D37" s="1682">
        <v>100</v>
      </c>
      <c r="E37" s="1747">
        <f>C37</f>
        <v>0.82</v>
      </c>
      <c r="F37" s="1725">
        <f>LOOKUP(E37,111:111,112:112)-LOOKUP(C37,111:111,112:112)+100</f>
        <v>100</v>
      </c>
      <c r="G37" s="1747">
        <f>C37</f>
        <v>0.82</v>
      </c>
      <c r="H37" s="1725">
        <f>LOOKUP(G37,111:111,112:112)-LOOKUP(C37,111:111,112:112)+100</f>
        <v>100</v>
      </c>
      <c r="I37" s="1747">
        <f>C37</f>
        <v>0.82</v>
      </c>
      <c r="J37" s="1682">
        <f>LOOKUP(I37,111:111,112:112)-LOOKUP(C37,111:111,112:112)+100</f>
        <v>100</v>
      </c>
      <c r="K37" s="1963">
        <v>2</v>
      </c>
      <c r="L37" s="2972"/>
      <c r="M37" s="2968"/>
      <c r="N37" s="2968"/>
      <c r="O37" s="2968"/>
      <c r="P37" s="3594"/>
      <c r="Q37" s="2886" t="str">
        <f t="shared" si="11"/>
        <v>成新度</v>
      </c>
      <c r="R37" s="1696" t="s">
        <v>25</v>
      </c>
      <c r="S37" s="1697">
        <f t="shared" si="12"/>
        <v>100</v>
      </c>
      <c r="T37" s="1696" t="s">
        <v>25</v>
      </c>
      <c r="U37" s="1697">
        <f t="shared" si="13"/>
        <v>100</v>
      </c>
      <c r="V37" s="1696" t="s">
        <v>25</v>
      </c>
      <c r="W37" s="1697">
        <f t="shared" si="14"/>
        <v>100</v>
      </c>
      <c r="X37" s="2045"/>
      <c r="Y37" s="3594"/>
      <c r="Z37" s="2049" t="str">
        <f t="shared" si="15"/>
        <v>成新度</v>
      </c>
      <c r="AA37" s="2040">
        <f t="shared" si="3"/>
        <v>1</v>
      </c>
      <c r="AB37" s="2040">
        <f t="shared" si="4"/>
        <v>1</v>
      </c>
      <c r="AC37" s="2040">
        <f t="shared" si="5"/>
        <v>1</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v>2</v>
      </c>
      <c r="L38" s="2967"/>
      <c r="M38" s="2940"/>
      <c r="N38" s="2940"/>
      <c r="O38" s="2940"/>
      <c r="P38" s="3594"/>
      <c r="Q38" s="2885" t="str">
        <f t="shared" si="11"/>
        <v>写字楼等级</v>
      </c>
      <c r="R38" s="1651" t="s">
        <v>25</v>
      </c>
      <c r="S38" s="1652">
        <f t="shared" si="12"/>
        <v>100</v>
      </c>
      <c r="T38" s="1651" t="s">
        <v>25</v>
      </c>
      <c r="U38" s="1652">
        <f t="shared" si="13"/>
        <v>100</v>
      </c>
      <c r="V38" s="1651" t="s">
        <v>25</v>
      </c>
      <c r="W38" s="1652">
        <f t="shared" si="14"/>
        <v>100</v>
      </c>
      <c r="X38" s="1653"/>
      <c r="Y38" s="3594"/>
      <c r="Z38" s="1664" t="str">
        <f t="shared" si="15"/>
        <v>写字楼等级</v>
      </c>
      <c r="AA38" s="1654">
        <f t="shared" si="3"/>
        <v>1</v>
      </c>
      <c r="AB38" s="1654">
        <f t="shared" si="4"/>
        <v>1</v>
      </c>
      <c r="AC38" s="1654">
        <f t="shared" si="5"/>
        <v>1</v>
      </c>
    </row>
    <row r="39" spans="1:29" ht="15">
      <c r="A39" s="1743"/>
      <c r="B39" s="1666" t="s">
        <v>2335</v>
      </c>
      <c r="C39" s="1723" t="s">
        <v>3010</v>
      </c>
      <c r="D39" s="1682">
        <v>100</v>
      </c>
      <c r="E39" s="1723" t="s">
        <v>3010</v>
      </c>
      <c r="F39" s="1725">
        <f>SUMIF(115:115,E39,116:116)-SUMIF(115:115,C39,116:116)+100</f>
        <v>100</v>
      </c>
      <c r="G39" s="1723" t="s">
        <v>3010</v>
      </c>
      <c r="H39" s="1682">
        <f>SUMIF(115:115,G39,116:116)-SUMIF(115:115,C39,116:116)+100</f>
        <v>100</v>
      </c>
      <c r="I39" s="1723" t="s">
        <v>3010</v>
      </c>
      <c r="J39" s="1682">
        <f>SUMIF(115:115,I39,116:116)-SUMIF(115:115,C39,116:116)+100</f>
        <v>100</v>
      </c>
      <c r="K39" s="1963">
        <v>2</v>
      </c>
      <c r="L39" s="2972"/>
      <c r="M39" s="2968"/>
      <c r="N39" s="2968"/>
      <c r="O39" s="2968"/>
      <c r="P39" s="3594" t="s">
        <v>2219</v>
      </c>
      <c r="Q39" s="2886" t="str">
        <f t="shared" si="11"/>
        <v>物业管理</v>
      </c>
      <c r="R39" s="1696" t="s">
        <v>25</v>
      </c>
      <c r="S39" s="1697">
        <f t="shared" si="12"/>
        <v>100</v>
      </c>
      <c r="T39" s="1696" t="s">
        <v>25</v>
      </c>
      <c r="U39" s="1697">
        <f t="shared" si="13"/>
        <v>100</v>
      </c>
      <c r="V39" s="1696" t="s">
        <v>25</v>
      </c>
      <c r="W39" s="1697">
        <f t="shared" si="14"/>
        <v>100</v>
      </c>
      <c r="X39" s="2045"/>
      <c r="Y39" s="3594" t="s">
        <v>2219</v>
      </c>
      <c r="Z39" s="2049" t="str">
        <f t="shared" si="15"/>
        <v>物业管理</v>
      </c>
      <c r="AA39" s="2040">
        <f t="shared" si="3"/>
        <v>1</v>
      </c>
      <c r="AB39" s="2040">
        <f t="shared" si="4"/>
        <v>1</v>
      </c>
      <c r="AC39" s="2040">
        <f t="shared" si="5"/>
        <v>1</v>
      </c>
    </row>
    <row r="40" spans="1:29" ht="15">
      <c r="A40" s="1743"/>
      <c r="B40" s="1666" t="s">
        <v>2308</v>
      </c>
      <c r="C40" s="1723" t="s">
        <v>3014</v>
      </c>
      <c r="D40" s="1682">
        <v>100</v>
      </c>
      <c r="E40" s="1723" t="s">
        <v>3014</v>
      </c>
      <c r="F40" s="1725">
        <f>SUMIF(117:117,E40,118:118)-SUMIF(117:117,C40,118:118)+100</f>
        <v>100</v>
      </c>
      <c r="G40" s="1723" t="s">
        <v>3014</v>
      </c>
      <c r="H40" s="1682">
        <f>SUMIF(117:117,G40,118:118)-SUMIF(117:117,C40,118:118)+100</f>
        <v>100</v>
      </c>
      <c r="I40" s="1723" t="s">
        <v>3014</v>
      </c>
      <c r="J40" s="1682">
        <f>SUMIF(117:117,I40,118:118)-SUMIF(117:117,C40,118:118)+100</f>
        <v>100</v>
      </c>
      <c r="K40" s="1963">
        <v>2</v>
      </c>
      <c r="L40" s="2972"/>
      <c r="M40" s="2968"/>
      <c r="N40" s="2968"/>
      <c r="O40" s="2968"/>
      <c r="P40" s="3594"/>
      <c r="Q40" s="2886" t="str">
        <f t="shared" si="11"/>
        <v>市政基础设施</v>
      </c>
      <c r="R40" s="1696" t="s">
        <v>25</v>
      </c>
      <c r="S40" s="1697">
        <f t="shared" si="12"/>
        <v>100</v>
      </c>
      <c r="T40" s="1696" t="s">
        <v>25</v>
      </c>
      <c r="U40" s="1697">
        <f t="shared" si="13"/>
        <v>100</v>
      </c>
      <c r="V40" s="1696" t="s">
        <v>25</v>
      </c>
      <c r="W40" s="1697">
        <f t="shared" si="14"/>
        <v>100</v>
      </c>
      <c r="X40" s="2045"/>
      <c r="Y40" s="3594"/>
      <c r="Z40" s="2049" t="str">
        <f t="shared" si="15"/>
        <v>市政基础设施</v>
      </c>
      <c r="AA40" s="2040">
        <f t="shared" si="3"/>
        <v>1</v>
      </c>
      <c r="AB40" s="2040">
        <f t="shared" si="4"/>
        <v>1</v>
      </c>
      <c r="AC40" s="2040">
        <f t="shared" si="5"/>
        <v>1</v>
      </c>
    </row>
    <row r="41" spans="1:29" ht="15">
      <c r="A41" s="1743"/>
      <c r="B41" s="1666" t="s">
        <v>2310</v>
      </c>
      <c r="C41" s="1962" t="s">
        <v>3026</v>
      </c>
      <c r="D41" s="1682">
        <v>100</v>
      </c>
      <c r="E41" s="1962" t="s">
        <v>3026</v>
      </c>
      <c r="F41" s="1725">
        <f>SUMIF(119:119,E41,120:120)-SUMIF(119:119,C41,120:120)+100</f>
        <v>100</v>
      </c>
      <c r="G41" s="1962" t="s">
        <v>3026</v>
      </c>
      <c r="H41" s="1682">
        <f>SUMIF(119:119,G41,120:120)-SUMIF(119:119,C41,120:120)+100</f>
        <v>100</v>
      </c>
      <c r="I41" s="1962" t="s">
        <v>3026</v>
      </c>
      <c r="J41" s="1682">
        <f>SUMIF(119:119,I41,120:120)-SUMIF(119:119,C41,120:120)+100</f>
        <v>100</v>
      </c>
      <c r="K41" s="1963">
        <v>2</v>
      </c>
      <c r="L41" s="2972"/>
      <c r="M41" s="2968"/>
      <c r="N41" s="2968"/>
      <c r="O41" s="2968"/>
      <c r="P41" s="3594"/>
      <c r="Q41" s="2886" t="str">
        <f t="shared" si="11"/>
        <v>层高</v>
      </c>
      <c r="R41" s="1696" t="s">
        <v>25</v>
      </c>
      <c r="S41" s="1697">
        <f t="shared" si="12"/>
        <v>100</v>
      </c>
      <c r="T41" s="1696" t="s">
        <v>25</v>
      </c>
      <c r="U41" s="1697">
        <f t="shared" si="13"/>
        <v>100</v>
      </c>
      <c r="V41" s="1696" t="s">
        <v>25</v>
      </c>
      <c r="W41" s="1697">
        <f t="shared" si="14"/>
        <v>100</v>
      </c>
      <c r="X41" s="2045"/>
      <c r="Y41" s="3594"/>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94"/>
      <c r="Q42" s="1737" t="str">
        <f t="shared" si="11"/>
        <v>单套建筑面积</v>
      </c>
      <c r="R42" s="1738" t="s">
        <v>25</v>
      </c>
      <c r="S42" s="1739">
        <f t="shared" si="12"/>
        <v>100</v>
      </c>
      <c r="T42" s="1738" t="s">
        <v>25</v>
      </c>
      <c r="U42" s="1739">
        <f t="shared" si="13"/>
        <v>100</v>
      </c>
      <c r="V42" s="1738" t="s">
        <v>25</v>
      </c>
      <c r="W42" s="1739">
        <f t="shared" si="14"/>
        <v>100</v>
      </c>
      <c r="X42" s="1740"/>
      <c r="Y42" s="3594"/>
      <c r="Z42" s="1741" t="str">
        <f t="shared" si="15"/>
        <v>单套建筑面积</v>
      </c>
      <c r="AA42" s="2040">
        <f t="shared" si="3"/>
        <v>1</v>
      </c>
      <c r="AB42" s="2040">
        <f t="shared" si="4"/>
        <v>1</v>
      </c>
      <c r="AC42" s="2040">
        <f t="shared" si="5"/>
        <v>1</v>
      </c>
    </row>
    <row r="43" spans="1:29" ht="15">
      <c r="A43" s="1743"/>
      <c r="B43" s="1666" t="s">
        <v>2313</v>
      </c>
      <c r="C43" s="1723" t="s">
        <v>3021</v>
      </c>
      <c r="D43" s="1682">
        <v>100</v>
      </c>
      <c r="E43" s="1723" t="s">
        <v>3021</v>
      </c>
      <c r="F43" s="1725">
        <f>SUMIF(123:123,E43,124:124)-SUMIF(123:123,C43,124:124)+100</f>
        <v>100</v>
      </c>
      <c r="G43" s="1723" t="s">
        <v>3023</v>
      </c>
      <c r="H43" s="1682">
        <f>SUMIF(123:123,G43,124:124)-SUMIF(123:123,C43,124:124)+100</f>
        <v>98</v>
      </c>
      <c r="I43" s="1723" t="s">
        <v>3023</v>
      </c>
      <c r="J43" s="1682">
        <f>SUMIF(123:123,I43,124:124)-SUMIF(123:123,C43,124:124)+100</f>
        <v>98</v>
      </c>
      <c r="K43" s="1963">
        <v>2</v>
      </c>
      <c r="L43" s="2972"/>
      <c r="M43" s="2968"/>
      <c r="N43" s="2968"/>
      <c r="O43" s="2968"/>
      <c r="P43" s="3594"/>
      <c r="Q43" s="2886" t="str">
        <f t="shared" si="11"/>
        <v>内部装修</v>
      </c>
      <c r="R43" s="1696" t="s">
        <v>25</v>
      </c>
      <c r="S43" s="1697">
        <f t="shared" si="12"/>
        <v>100</v>
      </c>
      <c r="T43" s="1696" t="s">
        <v>25</v>
      </c>
      <c r="U43" s="1697">
        <f t="shared" si="13"/>
        <v>98</v>
      </c>
      <c r="V43" s="1696" t="s">
        <v>25</v>
      </c>
      <c r="W43" s="1697">
        <f t="shared" si="14"/>
        <v>98</v>
      </c>
      <c r="X43" s="2045"/>
      <c r="Y43" s="3594"/>
      <c r="Z43" s="2049" t="str">
        <f t="shared" si="15"/>
        <v>内部装修</v>
      </c>
      <c r="AA43" s="2040">
        <f t="shared" si="3"/>
        <v>1</v>
      </c>
      <c r="AB43" s="2040">
        <f t="shared" si="4"/>
        <v>1.0204081632653061</v>
      </c>
      <c r="AC43" s="2040">
        <f t="shared" si="5"/>
        <v>1.0204081632653061</v>
      </c>
    </row>
    <row r="44" spans="1:29" ht="15">
      <c r="A44" s="1743"/>
      <c r="B44" s="1666" t="s">
        <v>2230</v>
      </c>
      <c r="C44" s="1723" t="s">
        <v>30</v>
      </c>
      <c r="D44" s="1682">
        <v>100</v>
      </c>
      <c r="E44" s="1726" t="s">
        <v>30</v>
      </c>
      <c r="F44" s="1725">
        <f>SUMIF(125:125,E44,126:126)-SUMIF(125:125,C44,126:126)+100</f>
        <v>100</v>
      </c>
      <c r="G44" s="1726" t="s">
        <v>30</v>
      </c>
      <c r="H44" s="1682">
        <f>SUMIF(125:125,G44,126:126)-SUMIF(125:125,C44,126:126)+100</f>
        <v>100</v>
      </c>
      <c r="I44" s="1726" t="s">
        <v>30</v>
      </c>
      <c r="J44" s="1682">
        <f>SUMIF(125:125,I44,126:126)-SUMIF(125:125,C44,126:126)+100</f>
        <v>100</v>
      </c>
      <c r="K44" s="1963">
        <v>2</v>
      </c>
      <c r="L44" s="2972"/>
      <c r="M44" s="2968"/>
      <c r="N44" s="2968"/>
      <c r="O44" s="2968"/>
      <c r="P44" s="3594"/>
      <c r="Q44" s="2886" t="str">
        <f t="shared" si="11"/>
        <v>内部装修维护情况</v>
      </c>
      <c r="R44" s="1696" t="s">
        <v>25</v>
      </c>
      <c r="S44" s="1697">
        <f t="shared" si="12"/>
        <v>100</v>
      </c>
      <c r="T44" s="1696" t="s">
        <v>25</v>
      </c>
      <c r="U44" s="1697">
        <f t="shared" si="13"/>
        <v>100</v>
      </c>
      <c r="V44" s="1696" t="s">
        <v>25</v>
      </c>
      <c r="W44" s="1697">
        <f t="shared" si="14"/>
        <v>100</v>
      </c>
      <c r="X44" s="2045"/>
      <c r="Y44" s="3594"/>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94"/>
      <c r="Q45" s="2885">
        <f t="shared" si="11"/>
        <v>111</v>
      </c>
      <c r="R45" s="1651" t="s">
        <v>25</v>
      </c>
      <c r="S45" s="1652">
        <f t="shared" si="12"/>
        <v>100</v>
      </c>
      <c r="T45" s="1651" t="s">
        <v>25</v>
      </c>
      <c r="U45" s="1652">
        <f t="shared" si="13"/>
        <v>100</v>
      </c>
      <c r="V45" s="1651" t="s">
        <v>25</v>
      </c>
      <c r="W45" s="1652">
        <f t="shared" si="14"/>
        <v>100</v>
      </c>
      <c r="X45" s="1653"/>
      <c r="Y45" s="3594"/>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94"/>
      <c r="Q46" s="2886">
        <f t="shared" si="11"/>
        <v>111</v>
      </c>
      <c r="R46" s="1696" t="s">
        <v>25</v>
      </c>
      <c r="S46" s="1697">
        <f t="shared" si="12"/>
        <v>100</v>
      </c>
      <c r="T46" s="1696" t="s">
        <v>25</v>
      </c>
      <c r="U46" s="1697">
        <f t="shared" si="13"/>
        <v>100</v>
      </c>
      <c r="V46" s="1696" t="s">
        <v>25</v>
      </c>
      <c r="W46" s="1697">
        <f t="shared" si="14"/>
        <v>100</v>
      </c>
      <c r="X46" s="2045"/>
      <c r="Y46" s="3594"/>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95"/>
      <c r="Q47" s="2886">
        <f t="shared" si="11"/>
        <v>111</v>
      </c>
      <c r="R47" s="1696" t="s">
        <v>25</v>
      </c>
      <c r="S47" s="1697">
        <f t="shared" si="12"/>
        <v>100</v>
      </c>
      <c r="T47" s="1696" t="s">
        <v>25</v>
      </c>
      <c r="U47" s="1697">
        <f t="shared" si="13"/>
        <v>100</v>
      </c>
      <c r="V47" s="1696" t="s">
        <v>25</v>
      </c>
      <c r="W47" s="1697">
        <f t="shared" si="14"/>
        <v>100</v>
      </c>
      <c r="X47" s="2045"/>
      <c r="Y47" s="3595"/>
      <c r="Z47" s="2049">
        <f t="shared" si="15"/>
        <v>111</v>
      </c>
      <c r="AA47" s="2040">
        <f t="shared" si="3"/>
        <v>1</v>
      </c>
      <c r="AB47" s="2040">
        <f t="shared" si="4"/>
        <v>1</v>
      </c>
      <c r="AC47" s="2040">
        <f t="shared" si="5"/>
        <v>1</v>
      </c>
    </row>
    <row r="48" spans="1:29" ht="15">
      <c r="A48" s="1752" t="s">
        <v>2231</v>
      </c>
      <c r="B48" s="1753"/>
      <c r="C48" s="1754" t="s">
        <v>1</v>
      </c>
      <c r="D48" s="1755"/>
      <c r="E48" s="1756">
        <f>案例情况!D2</f>
        <v>30367</v>
      </c>
      <c r="F48" s="1757"/>
      <c r="G48" s="1758">
        <f>案例情况!D4</f>
        <v>31746</v>
      </c>
      <c r="H48" s="1759"/>
      <c r="I48" s="1756">
        <f>案例情况!D3</f>
        <v>28553</v>
      </c>
      <c r="J48" s="1759"/>
      <c r="K48" s="1984"/>
      <c r="L48" s="2973"/>
      <c r="M48" s="2968"/>
      <c r="N48" s="2968"/>
      <c r="O48" s="2968"/>
      <c r="P48" s="3586" t="str">
        <f>A48</f>
        <v>成交单价（元/平方米）</v>
      </c>
      <c r="Q48" s="3586"/>
      <c r="R48" s="3582">
        <f>E48</f>
        <v>30367</v>
      </c>
      <c r="S48" s="3582"/>
      <c r="T48" s="3582">
        <f>G48</f>
        <v>31746</v>
      </c>
      <c r="U48" s="3582"/>
      <c r="V48" s="3582">
        <f>I48</f>
        <v>28553</v>
      </c>
      <c r="W48" s="3582"/>
      <c r="X48" s="1762"/>
      <c r="Y48" s="2044"/>
      <c r="Z48" s="1762"/>
      <c r="AA48" s="1762"/>
      <c r="AB48" s="1762"/>
      <c r="AC48" s="1762"/>
    </row>
    <row r="49" spans="1:29" ht="15.75" thickBot="1">
      <c r="A49" s="1764" t="s">
        <v>2314</v>
      </c>
      <c r="B49" s="1765"/>
      <c r="C49" s="1766">
        <f>R50</f>
        <v>31139</v>
      </c>
      <c r="D49" s="1767" t="s">
        <v>2685</v>
      </c>
      <c r="E49" s="1768">
        <f>R49</f>
        <v>30674</v>
      </c>
      <c r="F49" s="1769"/>
      <c r="G49" s="1766">
        <f>T49</f>
        <v>32394</v>
      </c>
      <c r="H49" s="1769"/>
      <c r="I49" s="1768">
        <f>V49</f>
        <v>30350</v>
      </c>
      <c r="J49" s="1769"/>
      <c r="K49" s="2481">
        <f>F49+H49+J49</f>
        <v>0</v>
      </c>
      <c r="L49" s="2973"/>
      <c r="M49" s="2968"/>
      <c r="N49" s="2968"/>
      <c r="O49" s="2968"/>
      <c r="P49" s="3586" t="str">
        <f>A49</f>
        <v>比较价值（元/平方米）</v>
      </c>
      <c r="Q49" s="3586"/>
      <c r="R49" s="3582">
        <f>IF(E1="售价",ROUND(PRODUCT(R48,AA7:AA47),0),ROUND(PRODUCT(R48,AA7:AA47),1))</f>
        <v>30674</v>
      </c>
      <c r="S49" s="3582"/>
      <c r="T49" s="3582">
        <f>IF(E1="售价",ROUND(PRODUCT(T48,AB7:AB47),0),ROUND(PRODUCT(T48,AB7:AB47),1))</f>
        <v>32394</v>
      </c>
      <c r="U49" s="3582"/>
      <c r="V49" s="3582">
        <f>IF(E1="售价",ROUND(PRODUCT(V48,AC7:AC47),0),ROUND(PRODUCT(V48,AC7:AC47),1))</f>
        <v>30350</v>
      </c>
      <c r="W49" s="3582"/>
      <c r="X49" s="1762"/>
      <c r="Y49" s="1762"/>
      <c r="Z49" s="1762"/>
      <c r="AA49" s="1762"/>
      <c r="AB49" s="1762"/>
      <c r="AC49" s="1762"/>
    </row>
    <row r="50" spans="1:29" ht="15.75" thickBot="1">
      <c r="A50" s="1770" t="s">
        <v>2337</v>
      </c>
      <c r="B50" s="1771"/>
      <c r="C50" s="1773">
        <f>R50</f>
        <v>31139</v>
      </c>
      <c r="D50" s="1773"/>
      <c r="E50" s="1773"/>
      <c r="F50" s="1773"/>
      <c r="G50" s="1773"/>
      <c r="H50" s="1773"/>
      <c r="I50" s="1773"/>
      <c r="J50" s="1773"/>
      <c r="K50" s="1989"/>
      <c r="L50" s="2973"/>
      <c r="M50" s="2968"/>
      <c r="N50" s="2968"/>
      <c r="O50" s="2968"/>
      <c r="P50" s="3583" t="str">
        <f>A50</f>
        <v>估价对象XX用房的比较价值（楼面单价，元/平方米）</v>
      </c>
      <c r="Q50" s="3584"/>
      <c r="R50" s="3585">
        <f>IF(E1="售价",ROUND(IF(D49="简单平均",AVERAGE(R49:V49),R49*F49+T49*H49+V49*J49),0),ROUND(IF(D49="简单平均",AVERAGE(R49:V49),R49*F49+T49*H49+V49*J49),1))</f>
        <v>31139</v>
      </c>
      <c r="S50" s="3585"/>
      <c r="T50" s="3585"/>
      <c r="U50" s="3585"/>
      <c r="V50" s="3585"/>
      <c r="W50" s="3585"/>
      <c r="X50" s="1762"/>
      <c r="Y50" s="1762"/>
      <c r="Z50" s="1762"/>
      <c r="AA50" s="1762"/>
      <c r="AB50" s="1762"/>
      <c r="AC50" s="1762"/>
    </row>
    <row r="51" spans="1:29">
      <c r="G51" s="2977"/>
    </row>
    <row r="53" spans="1:29" ht="13.5" customHeight="1">
      <c r="C53" s="383" t="s">
        <v>2316</v>
      </c>
      <c r="D53" s="1778"/>
      <c r="E53" s="1779">
        <f>IF(E48&lt;E49,E49/E48-1,E48/E49-1)</f>
        <v>1.0109658510883524E-2</v>
      </c>
      <c r="F53" s="1780" t="str">
        <f>IF(OR(E53&gt;=0.3,E53&lt;=-0.3),"超过30%","")</f>
        <v/>
      </c>
      <c r="G53" s="1779">
        <f>IF(G48&lt;G49,G49/G48-1,G48/G49-1)</f>
        <v>2.0412020412020393E-2</v>
      </c>
      <c r="H53" s="1780" t="str">
        <f>IF(OR(G53&gt;=0.3,G53&lt;=-0.3),"超过30%","")</f>
        <v/>
      </c>
      <c r="I53" s="1779">
        <f>IF(I48&lt;I49,I49/I48-1,I48/I49-1)</f>
        <v>6.2935593457780215E-2</v>
      </c>
      <c r="J53" s="1780" t="str">
        <f>IF(OR(I53&gt;=0.3,I53&lt;=-0.3),"超过30%","")</f>
        <v/>
      </c>
    </row>
    <row r="54" spans="1:29" ht="13.5" customHeight="1">
      <c r="C54" s="383" t="s">
        <v>2317</v>
      </c>
      <c r="D54" s="1781"/>
      <c r="E54" s="1779">
        <f>IF(E49&lt;G49,G49/E49-1,E49/G49-1)</f>
        <v>5.6073547629914566E-2</v>
      </c>
      <c r="F54" s="1780" t="str">
        <f>IF(OR(E54&gt;=0.2,E54&lt;=-0.2),"超过20%","")</f>
        <v/>
      </c>
      <c r="G54" s="1779">
        <f>IF(G49&lt;I49,I49/G49-1,G49/I49-1)</f>
        <v>6.7347611202635882E-2</v>
      </c>
      <c r="H54" s="1780" t="str">
        <f>IF(OR(G54&gt;=0.2,G54&lt;=-0.2),"超过20%","")</f>
        <v/>
      </c>
      <c r="I54" s="1779">
        <f>IF(I49&lt;E49,E49/I49-1,I49/E49-1)</f>
        <v>1.0675453047775951E-2</v>
      </c>
      <c r="J54" s="1780" t="str">
        <f>IF(OR(I54&gt;=0.2,I54&lt;=-0.2),"超过20%","")</f>
        <v/>
      </c>
    </row>
    <row r="55" spans="1:29" s="1784" customFormat="1" ht="13.5" customHeight="1">
      <c r="C55" s="383" t="s">
        <v>2318</v>
      </c>
      <c r="D55" s="1781"/>
      <c r="E55" s="1779">
        <f>IF(E48&lt;G48,G48/E48-1,E48/G48-1)</f>
        <v>4.5411137089603759E-2</v>
      </c>
      <c r="F55" s="1780" t="str">
        <f>IF(OR(E55&gt;=0.3,E55&lt;=-0.3),"超过30%","")</f>
        <v/>
      </c>
      <c r="G55" s="1779">
        <f>IF(G48&lt;I48,I48/G48-1,G48/I48-1)</f>
        <v>0.11182712849788112</v>
      </c>
      <c r="H55" s="1780" t="str">
        <f>IF(OR(G55&gt;=0.3,G55&lt;=-0.3),"超过30%","")</f>
        <v/>
      </c>
      <c r="I55" s="1779">
        <f>IF(I48&lt;E48,E48/I48-1,I48/E48-1)</f>
        <v>6.3530977480474871E-2</v>
      </c>
      <c r="J55" s="1780" t="str">
        <f>IF(OR(I55&gt;=0.3,I55&lt;=-0.3),"超过30%","")</f>
        <v/>
      </c>
      <c r="K55" s="2980"/>
      <c r="L55" s="2974"/>
    </row>
    <row r="56" spans="1:29" s="1784" customFormat="1">
      <c r="B56" s="2978"/>
      <c r="C56" s="2979"/>
      <c r="K56" s="2980"/>
      <c r="L56" s="2974"/>
    </row>
    <row r="57" spans="1:29">
      <c r="B57" s="2978"/>
      <c r="C57" s="2979"/>
    </row>
    <row r="58" spans="1:29" ht="21.75"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5">
      <c r="A59" s="1793" t="s">
        <v>2201</v>
      </c>
      <c r="B59" s="1794"/>
      <c r="C59" s="1795" t="str">
        <f>YEAR(C7)&amp;"-"&amp;MONTH(C7)</f>
        <v>2022-2</v>
      </c>
      <c r="D59" s="1796">
        <f>EDATE(C59,-1)</f>
        <v>44562</v>
      </c>
      <c r="E59" s="1796">
        <f t="shared" ref="E59:O59" si="16">EDATE(D59,-1)</f>
        <v>44531</v>
      </c>
      <c r="F59" s="1796">
        <f t="shared" si="16"/>
        <v>44501</v>
      </c>
      <c r="G59" s="1796">
        <f t="shared" si="16"/>
        <v>44470</v>
      </c>
      <c r="H59" s="1796">
        <f t="shared" si="16"/>
        <v>44440</v>
      </c>
      <c r="I59" s="1796">
        <f t="shared" si="16"/>
        <v>44409</v>
      </c>
      <c r="J59" s="1796">
        <f t="shared" si="16"/>
        <v>44378</v>
      </c>
      <c r="K59" s="1796">
        <f t="shared" si="16"/>
        <v>44348</v>
      </c>
      <c r="L59" s="1796">
        <f t="shared" si="16"/>
        <v>44317</v>
      </c>
      <c r="M59" s="1796">
        <f t="shared" si="16"/>
        <v>44287</v>
      </c>
      <c r="N59" s="1796">
        <f t="shared" si="16"/>
        <v>44256</v>
      </c>
      <c r="O59" s="1796">
        <f t="shared" si="16"/>
        <v>44228</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2242</v>
      </c>
      <c r="B64" s="1818" t="s">
        <v>2207</v>
      </c>
      <c r="C64" s="1819" t="str">
        <f>C9</f>
        <v>办公</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5.75" thickBot="1">
      <c r="A67" s="1824"/>
      <c r="B67" s="1832"/>
      <c r="C67" s="1833" t="s">
        <v>36</v>
      </c>
      <c r="D67" s="1833" t="s">
        <v>37</v>
      </c>
      <c r="E67" s="1833">
        <v>100</v>
      </c>
      <c r="F67" s="1833">
        <f>E67-$K10</f>
        <v>98</v>
      </c>
      <c r="G67" s="1833">
        <f>F67-$K10</f>
        <v>96</v>
      </c>
      <c r="H67" s="1833">
        <f>G67-$K10</f>
        <v>94</v>
      </c>
      <c r="I67" s="1833">
        <f>H67-$K10</f>
        <v>92</v>
      </c>
      <c r="J67" s="1833"/>
      <c r="K67" s="1833"/>
      <c r="L67" s="1833"/>
      <c r="M67" s="1834"/>
      <c r="N67" s="2987"/>
      <c r="O67" s="2987"/>
      <c r="P67" s="2028"/>
      <c r="Q67" s="1792"/>
    </row>
    <row r="68" spans="1:17" ht="15.75" thickTop="1">
      <c r="A68" s="1824"/>
      <c r="B68" s="1835" t="s">
        <v>2211</v>
      </c>
      <c r="C68" s="1836" t="str">
        <f>C69&amp;"（含）"&amp;"-"&amp;D69</f>
        <v>0（含）-1</v>
      </c>
      <c r="D68" s="1836" t="str">
        <f t="shared" ref="D68:L68" si="17">D69&amp;"（含）"&amp;"-"&amp;E69</f>
        <v>1（含）-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v>0</v>
      </c>
      <c r="D69" s="1838">
        <v>1</v>
      </c>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2340</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3317" t="s">
        <v>3029</v>
      </c>
      <c r="D89" s="3317" t="s">
        <v>3031</v>
      </c>
      <c r="E89" s="3317" t="s">
        <v>3032</v>
      </c>
      <c r="F89" s="1863"/>
      <c r="G89" s="468"/>
      <c r="H89" s="468"/>
      <c r="I89" s="468"/>
      <c r="J89" s="468"/>
      <c r="K89" s="468"/>
      <c r="L89" s="468"/>
      <c r="M89" s="1861"/>
      <c r="N89" s="2985"/>
      <c r="O89" s="2985"/>
      <c r="P89" s="2028"/>
      <c r="Q89" s="1792"/>
    </row>
    <row r="90" spans="1:17" s="1655" customFormat="1" ht="15.75" thickBot="1">
      <c r="A90" s="1860"/>
      <c r="B90" s="1832"/>
      <c r="C90" s="1862">
        <v>100</v>
      </c>
      <c r="D90" s="1833">
        <f>C90-$K27</f>
        <v>97</v>
      </c>
      <c r="E90" s="1833">
        <f t="shared" ref="E90:M90" si="20">D90-$K27</f>
        <v>94</v>
      </c>
      <c r="F90" s="1833">
        <f t="shared" si="20"/>
        <v>91</v>
      </c>
      <c r="G90" s="1833">
        <f t="shared" si="20"/>
        <v>88</v>
      </c>
      <c r="H90" s="1833">
        <f t="shared" si="20"/>
        <v>85</v>
      </c>
      <c r="I90" s="1833">
        <f t="shared" si="20"/>
        <v>82</v>
      </c>
      <c r="J90" s="1833">
        <f t="shared" si="20"/>
        <v>79</v>
      </c>
      <c r="K90" s="1833">
        <f t="shared" si="20"/>
        <v>76</v>
      </c>
      <c r="L90" s="1833">
        <f t="shared" si="20"/>
        <v>73</v>
      </c>
      <c r="M90" s="1833">
        <f t="shared" si="20"/>
        <v>70</v>
      </c>
      <c r="N90" s="2987"/>
      <c r="O90" s="2987"/>
      <c r="P90" s="2028"/>
      <c r="Q90" s="1792"/>
    </row>
    <row r="91" spans="1:17" s="1742" customFormat="1" ht="15.75" thickTop="1">
      <c r="A91" s="1840"/>
      <c r="B91" s="1829" t="str">
        <f>B28</f>
        <v>朝向</v>
      </c>
      <c r="C91" s="3321" t="s">
        <v>3041</v>
      </c>
      <c r="D91" s="3321" t="s">
        <v>3042</v>
      </c>
      <c r="E91" s="3321" t="s">
        <v>3043</v>
      </c>
      <c r="F91" s="3321" t="s">
        <v>3007</v>
      </c>
      <c r="G91" s="3321" t="s">
        <v>3005</v>
      </c>
      <c r="H91" s="3322" t="s">
        <v>3044</v>
      </c>
      <c r="I91" s="3322" t="s">
        <v>3045</v>
      </c>
      <c r="J91" s="3322" t="s">
        <v>2995</v>
      </c>
      <c r="K91" s="3322" t="s">
        <v>3046</v>
      </c>
      <c r="L91" s="443"/>
      <c r="M91" s="1841"/>
      <c r="N91" s="2988"/>
      <c r="O91" s="2988"/>
      <c r="P91" s="2029"/>
      <c r="Q91" s="1844"/>
    </row>
    <row r="92" spans="1:17" s="1742" customFormat="1" ht="15.75" thickBot="1">
      <c r="A92" s="1840"/>
      <c r="B92" s="1832"/>
      <c r="C92" s="1862">
        <v>100</v>
      </c>
      <c r="D92" s="1833">
        <f t="shared" ref="D92:M92" si="21">C92-$K28</f>
        <v>99</v>
      </c>
      <c r="E92" s="1833">
        <f t="shared" si="21"/>
        <v>98</v>
      </c>
      <c r="F92" s="1833">
        <f t="shared" si="21"/>
        <v>97</v>
      </c>
      <c r="G92" s="1833">
        <f t="shared" si="21"/>
        <v>96</v>
      </c>
      <c r="H92" s="1833">
        <f t="shared" si="21"/>
        <v>95</v>
      </c>
      <c r="I92" s="1833">
        <f t="shared" si="21"/>
        <v>94</v>
      </c>
      <c r="J92" s="1833">
        <f t="shared" si="21"/>
        <v>93</v>
      </c>
      <c r="K92" s="1833">
        <f t="shared" si="21"/>
        <v>92</v>
      </c>
      <c r="L92" s="1833">
        <f t="shared" si="21"/>
        <v>91</v>
      </c>
      <c r="M92" s="1833">
        <f t="shared" si="21"/>
        <v>90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2217</v>
      </c>
      <c r="B101" s="1818" t="s">
        <v>2266</v>
      </c>
      <c r="C101" s="3319" t="s">
        <v>3017</v>
      </c>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98</v>
      </c>
      <c r="E102" s="1833">
        <f t="shared" si="22"/>
        <v>96</v>
      </c>
      <c r="F102" s="1833">
        <f t="shared" si="22"/>
        <v>94</v>
      </c>
      <c r="G102" s="1833">
        <f t="shared" si="22"/>
        <v>92</v>
      </c>
      <c r="H102" s="1833">
        <f t="shared" si="22"/>
        <v>90</v>
      </c>
      <c r="I102" s="1833">
        <f t="shared" si="22"/>
        <v>88</v>
      </c>
      <c r="J102" s="1833">
        <f t="shared" si="22"/>
        <v>86</v>
      </c>
      <c r="K102" s="1833">
        <f t="shared" si="22"/>
        <v>84</v>
      </c>
      <c r="L102" s="1833">
        <f t="shared" si="22"/>
        <v>82</v>
      </c>
      <c r="M102" s="1834">
        <f t="shared" si="22"/>
        <v>80</v>
      </c>
      <c r="N102" s="2987"/>
      <c r="O102" s="2987"/>
      <c r="P102" s="2028"/>
      <c r="Q102" s="1792"/>
    </row>
    <row r="103" spans="1:17" ht="15.75" thickTop="1">
      <c r="A103" s="1824"/>
      <c r="B103" s="1829" t="s">
        <v>2267</v>
      </c>
      <c r="C103" s="579" t="str">
        <f>C104&amp;"(含)"&amp;"-"&amp;D104</f>
        <v>0(含)-50</v>
      </c>
      <c r="D103" s="579" t="str">
        <f t="shared" ref="D103:L103" si="23">D104&amp;"(含)"&amp;"-"&amp;E104</f>
        <v>50(含)-100</v>
      </c>
      <c r="E103" s="579" t="str">
        <f t="shared" si="23"/>
        <v>100(含)-150</v>
      </c>
      <c r="F103" s="579" t="str">
        <f t="shared" si="23"/>
        <v>150(含)-200</v>
      </c>
      <c r="G103" s="579" t="str">
        <f t="shared" si="23"/>
        <v>200(含)-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v>0</v>
      </c>
      <c r="D104" s="1872">
        <v>50</v>
      </c>
      <c r="E104" s="1872">
        <v>100</v>
      </c>
      <c r="F104" s="1872">
        <v>150</v>
      </c>
      <c r="G104" s="1872">
        <v>200</v>
      </c>
      <c r="H104" s="1872"/>
      <c r="I104" s="1872"/>
      <c r="J104" s="485"/>
      <c r="K104" s="485"/>
      <c r="L104" s="485"/>
      <c r="M104" s="1873"/>
      <c r="N104" s="2988"/>
      <c r="O104" s="2988"/>
      <c r="P104" s="2029"/>
      <c r="Q104" s="1844"/>
    </row>
    <row r="105" spans="1:17" s="1742" customFormat="1" ht="15.75" thickBot="1">
      <c r="A105" s="1840"/>
      <c r="B105" s="1832"/>
      <c r="C105" s="1845">
        <v>98</v>
      </c>
      <c r="D105" s="1826">
        <v>100</v>
      </c>
      <c r="E105" s="1826">
        <v>98</v>
      </c>
      <c r="F105" s="1826">
        <v>96</v>
      </c>
      <c r="G105" s="1826">
        <v>94</v>
      </c>
      <c r="H105" s="1826"/>
      <c r="I105" s="1826"/>
      <c r="J105" s="1826"/>
      <c r="K105" s="1826"/>
      <c r="L105" s="1826"/>
      <c r="M105" s="1827"/>
      <c r="N105" s="2987"/>
      <c r="O105" s="2987"/>
      <c r="P105" s="2029"/>
      <c r="Q105" s="1844"/>
    </row>
    <row r="106" spans="1:17" ht="15" thickTop="1">
      <c r="A106" s="1874"/>
      <c r="B106" s="1829" t="s">
        <v>2268</v>
      </c>
      <c r="C106" s="3317" t="s">
        <v>3018</v>
      </c>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97</v>
      </c>
      <c r="E107" s="1833">
        <f t="shared" si="24"/>
        <v>94</v>
      </c>
      <c r="F107" s="1833">
        <f t="shared" si="24"/>
        <v>91</v>
      </c>
      <c r="G107" s="1833">
        <f t="shared" si="24"/>
        <v>88</v>
      </c>
      <c r="H107" s="1833">
        <f t="shared" si="24"/>
        <v>85</v>
      </c>
      <c r="I107" s="1833">
        <f t="shared" si="24"/>
        <v>82</v>
      </c>
      <c r="J107" s="1833">
        <f t="shared" si="24"/>
        <v>79</v>
      </c>
      <c r="K107" s="1833">
        <f t="shared" si="24"/>
        <v>76</v>
      </c>
      <c r="L107" s="1833">
        <f t="shared" si="24"/>
        <v>73</v>
      </c>
      <c r="M107" s="1834">
        <f t="shared" si="24"/>
        <v>70</v>
      </c>
      <c r="N107" s="2987"/>
      <c r="O107" s="2987"/>
      <c r="P107" s="2028"/>
      <c r="Q107" s="1792"/>
    </row>
    <row r="108" spans="1:17" ht="15" thickTop="1">
      <c r="A108" s="1874"/>
      <c r="B108" s="1829" t="s">
        <v>2270</v>
      </c>
      <c r="C108" s="3317" t="s">
        <v>3020</v>
      </c>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98</v>
      </c>
      <c r="E109" s="1833">
        <f t="shared" si="25"/>
        <v>96</v>
      </c>
      <c r="F109" s="1833">
        <f t="shared" si="25"/>
        <v>94</v>
      </c>
      <c r="G109" s="1833">
        <f t="shared" si="25"/>
        <v>92</v>
      </c>
      <c r="H109" s="1833">
        <f t="shared" si="25"/>
        <v>90</v>
      </c>
      <c r="I109" s="1833">
        <f t="shared" si="25"/>
        <v>88</v>
      </c>
      <c r="J109" s="1833">
        <f t="shared" si="25"/>
        <v>86</v>
      </c>
      <c r="K109" s="1833">
        <f t="shared" si="25"/>
        <v>84</v>
      </c>
      <c r="L109" s="1833">
        <f t="shared" si="25"/>
        <v>82</v>
      </c>
      <c r="M109" s="1834">
        <f t="shared" si="25"/>
        <v>80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102</v>
      </c>
      <c r="E112" s="1833">
        <f t="shared" ref="E112:M112" si="26">D112+$K37</f>
        <v>104</v>
      </c>
      <c r="F112" s="1833">
        <f t="shared" si="26"/>
        <v>106</v>
      </c>
      <c r="G112" s="1833">
        <f t="shared" si="26"/>
        <v>108</v>
      </c>
      <c r="H112" s="1833">
        <f t="shared" si="26"/>
        <v>110</v>
      </c>
      <c r="I112" s="1833">
        <f t="shared" si="26"/>
        <v>112</v>
      </c>
      <c r="J112" s="1833">
        <f t="shared" si="26"/>
        <v>114</v>
      </c>
      <c r="K112" s="1833">
        <f t="shared" si="26"/>
        <v>116</v>
      </c>
      <c r="L112" s="1833">
        <f t="shared" si="26"/>
        <v>118</v>
      </c>
      <c r="M112" s="1833">
        <f t="shared" si="26"/>
        <v>120</v>
      </c>
      <c r="N112" s="2987"/>
      <c r="O112" s="2987"/>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98</v>
      </c>
      <c r="E114" s="1833">
        <f t="shared" ref="E114:M114" si="27">D114-$K38</f>
        <v>96</v>
      </c>
      <c r="F114" s="1833">
        <f t="shared" si="27"/>
        <v>94</v>
      </c>
      <c r="G114" s="1833">
        <f t="shared" si="27"/>
        <v>92</v>
      </c>
      <c r="H114" s="1833">
        <f t="shared" si="27"/>
        <v>90</v>
      </c>
      <c r="I114" s="1833">
        <f t="shared" si="27"/>
        <v>88</v>
      </c>
      <c r="J114" s="1833">
        <f t="shared" si="27"/>
        <v>86</v>
      </c>
      <c r="K114" s="1833">
        <f t="shared" si="27"/>
        <v>84</v>
      </c>
      <c r="L114" s="1833">
        <f t="shared" si="27"/>
        <v>82</v>
      </c>
      <c r="M114" s="1833">
        <f t="shared" si="27"/>
        <v>80</v>
      </c>
      <c r="N114" s="2988"/>
      <c r="O114" s="2988"/>
      <c r="P114" s="2029"/>
      <c r="Q114" s="1844"/>
    </row>
    <row r="115" spans="1:17" ht="15" thickTop="1">
      <c r="A115" s="1874"/>
      <c r="B115" s="1829" t="s">
        <v>2272</v>
      </c>
      <c r="C115" s="3317" t="s">
        <v>3011</v>
      </c>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98</v>
      </c>
      <c r="E116" s="1833">
        <f t="shared" si="28"/>
        <v>96</v>
      </c>
      <c r="F116" s="1833">
        <f t="shared" si="28"/>
        <v>94</v>
      </c>
      <c r="G116" s="1833">
        <f t="shared" si="28"/>
        <v>92</v>
      </c>
      <c r="H116" s="1833">
        <f t="shared" si="28"/>
        <v>90</v>
      </c>
      <c r="I116" s="1833">
        <f t="shared" si="28"/>
        <v>88</v>
      </c>
      <c r="J116" s="1833">
        <f t="shared" si="28"/>
        <v>86</v>
      </c>
      <c r="K116" s="1833">
        <f t="shared" si="28"/>
        <v>84</v>
      </c>
      <c r="L116" s="1833">
        <f t="shared" si="28"/>
        <v>82</v>
      </c>
      <c r="M116" s="1834">
        <f t="shared" si="28"/>
        <v>80</v>
      </c>
      <c r="N116" s="2987"/>
      <c r="O116" s="2987"/>
      <c r="P116" s="2028"/>
      <c r="Q116" s="1792"/>
    </row>
    <row r="117" spans="1:17" ht="15" thickTop="1">
      <c r="A117" s="1874"/>
      <c r="B117" s="1829" t="s">
        <v>2273</v>
      </c>
      <c r="C117" s="3317" t="s">
        <v>3012</v>
      </c>
      <c r="D117" s="3317" t="s">
        <v>3013</v>
      </c>
      <c r="E117" s="3317" t="s">
        <v>3015</v>
      </c>
      <c r="F117" s="468"/>
      <c r="G117" s="468"/>
      <c r="H117" s="1548"/>
      <c r="I117" s="1548"/>
      <c r="J117" s="1548"/>
      <c r="K117" s="473"/>
      <c r="L117" s="473"/>
      <c r="M117" s="1864"/>
      <c r="N117" s="2986"/>
      <c r="O117" s="2986"/>
      <c r="P117" s="2028"/>
      <c r="Q117" s="1792"/>
    </row>
    <row r="118" spans="1:17" ht="15.75" thickBot="1">
      <c r="A118" s="1824"/>
      <c r="B118" s="1832"/>
      <c r="C118" s="1833">
        <v>100</v>
      </c>
      <c r="D118" s="1833">
        <f>C118-$K40</f>
        <v>98</v>
      </c>
      <c r="E118" s="1833">
        <f>D118-$K40</f>
        <v>96</v>
      </c>
      <c r="F118" s="1833">
        <f>E118-$K40</f>
        <v>94</v>
      </c>
      <c r="G118" s="1833">
        <f>F118-$K40</f>
        <v>92</v>
      </c>
      <c r="H118" s="1833"/>
      <c r="I118" s="1833"/>
      <c r="J118" s="1833"/>
      <c r="K118" s="1833"/>
      <c r="L118" s="1833"/>
      <c r="M118" s="1834"/>
      <c r="N118" s="2987"/>
      <c r="O118" s="2987"/>
      <c r="P118" s="2028"/>
      <c r="Q118" s="1792"/>
    </row>
    <row r="119" spans="1:17" ht="15" thickTop="1">
      <c r="A119" s="1874"/>
      <c r="B119" s="2476" t="s">
        <v>2342</v>
      </c>
      <c r="C119" s="3318" t="s">
        <v>3027</v>
      </c>
      <c r="D119" s="3318" t="s">
        <v>3028</v>
      </c>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98</v>
      </c>
      <c r="E120" s="1833">
        <f t="shared" ref="E120:M120" si="29">D120-$K41</f>
        <v>96</v>
      </c>
      <c r="F120" s="1833">
        <f t="shared" si="29"/>
        <v>94</v>
      </c>
      <c r="G120" s="1833">
        <f t="shared" si="29"/>
        <v>92</v>
      </c>
      <c r="H120" s="1833">
        <f t="shared" si="29"/>
        <v>90</v>
      </c>
      <c r="I120" s="1833">
        <f t="shared" si="29"/>
        <v>88</v>
      </c>
      <c r="J120" s="1833">
        <f t="shared" si="29"/>
        <v>86</v>
      </c>
      <c r="K120" s="1833">
        <f t="shared" si="29"/>
        <v>84</v>
      </c>
      <c r="L120" s="1833">
        <f t="shared" si="29"/>
        <v>82</v>
      </c>
      <c r="M120" s="1833">
        <f t="shared" si="29"/>
        <v>80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3317" t="s">
        <v>3020</v>
      </c>
      <c r="D123" s="3317" t="s">
        <v>3022</v>
      </c>
      <c r="E123" s="3317" t="s">
        <v>3024</v>
      </c>
      <c r="F123" s="3318" t="s">
        <v>3025</v>
      </c>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98</v>
      </c>
      <c r="E124" s="1833">
        <f t="shared" si="30"/>
        <v>96</v>
      </c>
      <c r="F124" s="1833">
        <f t="shared" si="30"/>
        <v>94</v>
      </c>
      <c r="G124" s="1833">
        <f t="shared" si="30"/>
        <v>92</v>
      </c>
      <c r="H124" s="1833">
        <f t="shared" si="30"/>
        <v>90</v>
      </c>
      <c r="I124" s="1833">
        <f t="shared" si="30"/>
        <v>88</v>
      </c>
      <c r="J124" s="1833">
        <f t="shared" si="30"/>
        <v>86</v>
      </c>
      <c r="K124" s="1833">
        <f t="shared" si="30"/>
        <v>84</v>
      </c>
      <c r="L124" s="1833">
        <f t="shared" si="30"/>
        <v>82</v>
      </c>
      <c r="M124" s="1834">
        <f t="shared" si="30"/>
        <v>80</v>
      </c>
      <c r="N124" s="2987"/>
      <c r="O124" s="2987"/>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5.75" thickBot="1">
      <c r="A126" s="1824"/>
      <c r="B126" s="1832"/>
      <c r="C126" s="1833">
        <v>100</v>
      </c>
      <c r="D126" s="1833">
        <f>C126-$K44</f>
        <v>98</v>
      </c>
      <c r="E126" s="1833">
        <f>D126-$K44</f>
        <v>96</v>
      </c>
      <c r="F126" s="1833">
        <f>E126-$K44</f>
        <v>94</v>
      </c>
      <c r="G126" s="1833">
        <f>F126-$K44</f>
        <v>92</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26" priority="20" stopIfTrue="1" operator="containsText" text="超过">
      <formula>NOT(ISERROR(SEARCH("超过",F53)))</formula>
    </cfRule>
  </conditionalFormatting>
  <conditionalFormatting sqref="H55">
    <cfRule type="containsText" dxfId="125" priority="19" stopIfTrue="1" operator="containsText" text="超过">
      <formula>NOT(ISERROR(SEARCH("超过",H55)))</formula>
    </cfRule>
  </conditionalFormatting>
  <conditionalFormatting sqref="F55">
    <cfRule type="containsText" dxfId="124" priority="18" stopIfTrue="1" operator="containsText" text="超过">
      <formula>NOT(ISERROR(SEARCH("超过",F55)))</formula>
    </cfRule>
  </conditionalFormatting>
  <conditionalFormatting sqref="F54 H54">
    <cfRule type="containsText" dxfId="123" priority="17" stopIfTrue="1" operator="containsText" text="超过">
      <formula>NOT(ISERROR(SEARCH("超过",F54)))</formula>
    </cfRule>
  </conditionalFormatting>
  <conditionalFormatting sqref="E53">
    <cfRule type="expression" dxfId="122" priority="16" stopIfTrue="1">
      <formula>$F$53="超过30%"</formula>
    </cfRule>
  </conditionalFormatting>
  <conditionalFormatting sqref="E54">
    <cfRule type="expression" dxfId="121" priority="15" stopIfTrue="1">
      <formula>$F$54="超过20%"</formula>
    </cfRule>
  </conditionalFormatting>
  <conditionalFormatting sqref="E55">
    <cfRule type="expression" dxfId="120" priority="14" stopIfTrue="1">
      <formula>$F$55="超过30%"</formula>
    </cfRule>
  </conditionalFormatting>
  <conditionalFormatting sqref="G55">
    <cfRule type="expression" dxfId="119" priority="13" stopIfTrue="1">
      <formula>$H$55="超过30%"</formula>
    </cfRule>
  </conditionalFormatting>
  <conditionalFormatting sqref="G53">
    <cfRule type="expression" dxfId="118" priority="12" stopIfTrue="1">
      <formula>$H$53="超过30%"</formula>
    </cfRule>
  </conditionalFormatting>
  <conditionalFormatting sqref="G54">
    <cfRule type="expression" dxfId="117" priority="11" stopIfTrue="1">
      <formula>$H$54="超过20%"</formula>
    </cfRule>
  </conditionalFormatting>
  <conditionalFormatting sqref="J53">
    <cfRule type="containsText" dxfId="116" priority="10" stopIfTrue="1" operator="containsText" text="超过">
      <formula>NOT(ISERROR(SEARCH("超过",J53)))</formula>
    </cfRule>
  </conditionalFormatting>
  <conditionalFormatting sqref="J55">
    <cfRule type="containsText" dxfId="115" priority="9" stopIfTrue="1" operator="containsText" text="超过">
      <formula>NOT(ISERROR(SEARCH("超过",J55)))</formula>
    </cfRule>
  </conditionalFormatting>
  <conditionalFormatting sqref="J54">
    <cfRule type="containsText" dxfId="114" priority="8" stopIfTrue="1" operator="containsText" text="超过">
      <formula>NOT(ISERROR(SEARCH("超过",J54)))</formula>
    </cfRule>
  </conditionalFormatting>
  <conditionalFormatting sqref="I53">
    <cfRule type="expression" dxfId="113" priority="7" stopIfTrue="1">
      <formula>$J$53="超过30%"</formula>
    </cfRule>
  </conditionalFormatting>
  <conditionalFormatting sqref="I54">
    <cfRule type="expression" dxfId="112" priority="6" stopIfTrue="1">
      <formula>$J$53+$J$54="超过20%"</formula>
    </cfRule>
  </conditionalFormatting>
  <conditionalFormatting sqref="I55">
    <cfRule type="expression" dxfId="111" priority="5" stopIfTrue="1">
      <formula>$J$55="超过30%"</formula>
    </cfRule>
  </conditionalFormatting>
  <conditionalFormatting sqref="F49">
    <cfRule type="expression" dxfId="110" priority="4">
      <formula>$D$49="简单平均"</formula>
    </cfRule>
  </conditionalFormatting>
  <conditionalFormatting sqref="H49">
    <cfRule type="expression" dxfId="109" priority="3">
      <formula>$D$49="简单平均"</formula>
    </cfRule>
  </conditionalFormatting>
  <conditionalFormatting sqref="J49">
    <cfRule type="expression" dxfId="108" priority="2">
      <formula>$D$49="简单平均"</formula>
    </cfRule>
  </conditionalFormatting>
  <conditionalFormatting sqref="F7:F47 H7:H47 J7:J47">
    <cfRule type="cellIs" dxfId="107"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B5" sqref="B5"/>
    </sheetView>
  </sheetViews>
  <sheetFormatPr defaultRowHeight="13.5"/>
  <sheetData>
    <row r="1" spans="1:7">
      <c r="A1" s="1311" t="s">
        <v>2990</v>
      </c>
      <c r="B1" s="1311" t="s">
        <v>2991</v>
      </c>
      <c r="C1" s="1311" t="s">
        <v>2992</v>
      </c>
      <c r="D1" s="1311" t="s">
        <v>2993</v>
      </c>
    </row>
    <row r="2" spans="1:7">
      <c r="A2">
        <v>1</v>
      </c>
      <c r="B2">
        <v>61.25</v>
      </c>
      <c r="C2">
        <v>186</v>
      </c>
      <c r="D2">
        <f>ROUND(C2/B2*10000,0)</f>
        <v>30367</v>
      </c>
      <c r="E2" s="1311" t="s">
        <v>3005</v>
      </c>
      <c r="F2" s="1311" t="s">
        <v>2994</v>
      </c>
      <c r="G2" s="1311" t="s">
        <v>3038</v>
      </c>
    </row>
    <row r="3" spans="1:7">
      <c r="A3">
        <v>2</v>
      </c>
      <c r="B3">
        <v>63.04</v>
      </c>
      <c r="C3">
        <v>180</v>
      </c>
      <c r="D3">
        <f t="shared" ref="D3:D4" si="0">ROUND(C3/B3*10000,0)</f>
        <v>28553</v>
      </c>
      <c r="E3" s="1311" t="s">
        <v>2995</v>
      </c>
      <c r="F3" s="1311" t="s">
        <v>2994</v>
      </c>
      <c r="G3" s="1311" t="s">
        <v>3006</v>
      </c>
    </row>
    <row r="4" spans="1:7">
      <c r="A4">
        <v>3</v>
      </c>
      <c r="B4">
        <v>63</v>
      </c>
      <c r="C4">
        <v>200</v>
      </c>
      <c r="D4">
        <f t="shared" si="0"/>
        <v>31746</v>
      </c>
      <c r="E4" s="1311" t="s">
        <v>3007</v>
      </c>
      <c r="F4" s="1311" t="s">
        <v>2994</v>
      </c>
      <c r="G4" s="1311" t="s">
        <v>3006</v>
      </c>
    </row>
    <row r="5" spans="1:7">
      <c r="A5">
        <v>4</v>
      </c>
      <c r="B5">
        <v>67.260000000000005</v>
      </c>
      <c r="C5">
        <v>208</v>
      </c>
      <c r="D5">
        <f>ROUND(C5/B5*10000,0)</f>
        <v>30925</v>
      </c>
      <c r="E5" s="1311" t="s">
        <v>3005</v>
      </c>
      <c r="F5" s="1311" t="s">
        <v>3008</v>
      </c>
      <c r="G5" s="1311" t="s">
        <v>3006</v>
      </c>
    </row>
    <row r="6" spans="1:7">
      <c r="D6">
        <f>ROUND(SUM(D2:D5)/4,0)</f>
        <v>30398</v>
      </c>
    </row>
    <row r="7" spans="1:7">
      <c r="A7" s="1311" t="s">
        <v>2996</v>
      </c>
      <c r="B7" s="1311" t="s">
        <v>2997</v>
      </c>
    </row>
  </sheetData>
  <phoneticPr fontId="146"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abSelected="1" view="pageBreakPreview" zoomScale="80" zoomScaleNormal="60" zoomScaleSheetLayoutView="80" workbookViewId="0">
      <selection activeCell="D13" sqref="D1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2688</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145</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22941</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72525</v>
      </c>
      <c r="D5" s="1603" t="s">
        <v>2666</v>
      </c>
      <c r="E5" s="927"/>
      <c r="F5" s="1056"/>
      <c r="G5" s="951"/>
      <c r="H5" s="232">
        <v>1</v>
      </c>
      <c r="I5" s="233" t="s">
        <v>1954</v>
      </c>
      <c r="J5" s="234">
        <f ca="1">J6+J10+J12</f>
        <v>0</v>
      </c>
      <c r="K5" s="1490" t="s">
        <v>1955</v>
      </c>
      <c r="L5" s="927"/>
      <c r="M5" s="1056"/>
    </row>
    <row r="6" spans="1:37" ht="18" customHeight="1">
      <c r="A6" s="1057" t="s">
        <v>1956</v>
      </c>
      <c r="B6" s="1412" t="s">
        <v>1957</v>
      </c>
      <c r="C6" s="234">
        <f>ROUND(F6*F8*F7*(1-F9),0)</f>
        <v>72434</v>
      </c>
      <c r="D6" s="36" t="s">
        <v>2644</v>
      </c>
      <c r="E6" s="235" t="s">
        <v>1958</v>
      </c>
      <c r="F6" s="236">
        <f>'数据-取费表'!B30</f>
        <v>3.5</v>
      </c>
      <c r="G6" s="951"/>
      <c r="H6" s="1057" t="s">
        <v>1956</v>
      </c>
      <c r="I6" s="1412"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63</v>
      </c>
      <c r="G7" s="951"/>
      <c r="H7" s="237"/>
      <c r="I7" s="238"/>
      <c r="J7" s="239"/>
      <c r="K7" s="240"/>
      <c r="L7" s="235" t="s">
        <v>1959</v>
      </c>
      <c r="M7" s="236">
        <f>IF('数据-取费表'!B42="",IF(D1="仅计算典型户型",'数据-取费表'!E5,'数据-取费表'!B5),'数据-取费表'!B42)</f>
        <v>63</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91</v>
      </c>
      <c r="D10" s="1492" t="s">
        <v>2650</v>
      </c>
      <c r="E10" s="246" t="s">
        <v>1965</v>
      </c>
      <c r="F10" s="1493" t="s">
        <v>1966</v>
      </c>
      <c r="G10" s="951"/>
      <c r="H10" s="1057" t="s">
        <v>1963</v>
      </c>
      <c r="I10" s="1491" t="s">
        <v>1964</v>
      </c>
      <c r="J10" s="1058">
        <f ca="1">ROUND(IF(M10="押一",J6/12*M11,IF(M10="押二",J6/12*2*M11,IF(M10="押三",J6/12*3*M11,J11*M11))),0)</f>
        <v>0</v>
      </c>
      <c r="K10" s="36" t="s">
        <v>2650</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262531</v>
      </c>
      <c r="D13" s="1065" t="s">
        <v>1973</v>
      </c>
      <c r="E13" s="1065" t="s">
        <v>1974</v>
      </c>
      <c r="F13" s="1066">
        <f>'数据-取费表'!E20</f>
        <v>0.82</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220500</v>
      </c>
      <c r="D14" s="1298" t="s">
        <v>1977</v>
      </c>
      <c r="E14" s="1299"/>
      <c r="F14" s="799"/>
      <c r="G14" s="952"/>
      <c r="H14" s="253" t="s">
        <v>1956</v>
      </c>
      <c r="I14" s="235" t="s">
        <v>1978</v>
      </c>
      <c r="J14" s="13">
        <f ca="1">C29</f>
        <v>320160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6615</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4802</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12600</v>
      </c>
      <c r="D17" s="235" t="s">
        <v>1991</v>
      </c>
      <c r="E17" s="235" t="s">
        <v>1992</v>
      </c>
      <c r="F17" s="15">
        <f>'数据-取费表'!E23</f>
        <v>200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3308</v>
      </c>
      <c r="D18" s="235" t="s">
        <v>1981</v>
      </c>
      <c r="E18" s="235" t="s">
        <v>1982</v>
      </c>
      <c r="F18" s="258">
        <f>'数据-取费表'!E24</f>
        <v>1.4999999999999999E-2</v>
      </c>
      <c r="G18" s="951"/>
      <c r="H18" s="253" t="s">
        <v>1999</v>
      </c>
      <c r="I18" s="235" t="s">
        <v>2000</v>
      </c>
      <c r="J18" s="13" t="str">
        <f>IF(项目基本情况!B7="自然人","——",ROUND(J6*M18/(1+'数据-取费表'!F30),0))</f>
        <v>——</v>
      </c>
      <c r="K18" s="1301" t="s">
        <v>2668</v>
      </c>
      <c r="L18" s="235" t="s">
        <v>1982</v>
      </c>
      <c r="M18" s="258">
        <f>'数据-取费表'!E29</f>
        <v>5.6000000000000001E-2</v>
      </c>
    </row>
    <row r="19" spans="1:37" s="257" customFormat="1" ht="18" customHeight="1">
      <c r="A19" s="253" t="s">
        <v>1993</v>
      </c>
      <c r="B19" s="235" t="s">
        <v>2001</v>
      </c>
      <c r="C19" s="13">
        <f>SUM(C14:C18)</f>
        <v>243023</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4860</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4802</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10411</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-4802</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37182</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320160</v>
      </c>
      <c r="D29" s="1076"/>
      <c r="E29" s="1074"/>
      <c r="F29" s="1077"/>
      <c r="G29" s="652"/>
      <c r="H29" s="271" t="s">
        <v>24</v>
      </c>
      <c r="I29" s="272" t="s">
        <v>2051</v>
      </c>
      <c r="J29" s="273">
        <f ca="1">ROUND(J26/(1+F40)^F41,0)</f>
        <v>0</v>
      </c>
      <c r="K29" s="274" t="s">
        <v>2052</v>
      </c>
      <c r="L29" s="275"/>
      <c r="M29" s="276">
        <f>IF(D1="仅计算典型户型",'数据-取费表'!E5,'数据-取费表'!B5)</f>
        <v>63</v>
      </c>
    </row>
    <row r="30" spans="1:37" ht="18" customHeight="1" thickTop="1">
      <c r="A30" s="1063" t="s">
        <v>14</v>
      </c>
      <c r="B30" s="1064" t="s">
        <v>2053</v>
      </c>
      <c r="C30" s="243">
        <f ca="1">ROUND(C31+C36+C37+C38,0)</f>
        <v>11476</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4829</v>
      </c>
      <c r="D31" s="1298" t="s">
        <v>2055</v>
      </c>
      <c r="E31" s="1301" t="s">
        <v>2056</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2667</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2829</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0</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2756</v>
      </c>
      <c r="H35" s="931"/>
      <c r="I35" s="282" t="s">
        <v>2061</v>
      </c>
      <c r="J35" s="283">
        <f>'数据-取费表'!B18</f>
        <v>0</v>
      </c>
      <c r="K35" s="944"/>
      <c r="L35" s="943"/>
      <c r="M35" s="943"/>
    </row>
    <row r="36" spans="1:18" ht="18" customHeight="1">
      <c r="A36" s="1060" t="s">
        <v>1963</v>
      </c>
      <c r="B36" s="235" t="s">
        <v>2062</v>
      </c>
      <c r="C36" s="13">
        <f ca="1">ROUND(C29*F36,0)</f>
        <v>4802</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394</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1451</v>
      </c>
      <c r="D38" s="1076" t="s">
        <v>2028</v>
      </c>
      <c r="E38" s="1074" t="s">
        <v>2024</v>
      </c>
      <c r="F38" s="1069">
        <f>'数据-取费表'!B47</f>
        <v>0.02</v>
      </c>
      <c r="G38" s="652"/>
      <c r="H38" s="943"/>
      <c r="I38" s="280" t="s">
        <v>2066</v>
      </c>
      <c r="J38" s="136">
        <f ca="1">ROUND(J34/C39,3)</f>
        <v>0</v>
      </c>
      <c r="K38" s="948"/>
      <c r="L38" s="943"/>
      <c r="M38" s="943"/>
    </row>
    <row r="39" spans="1:18" ht="18" customHeight="1" thickTop="1">
      <c r="A39" s="1063" t="s">
        <v>22</v>
      </c>
      <c r="B39" s="1078" t="s">
        <v>2067</v>
      </c>
      <c r="C39" s="243">
        <f ca="1">C5-C30</f>
        <v>61049</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1436477</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2653</v>
      </c>
      <c r="F41" s="270">
        <f>IF('数据-取费表'!B29="租赁期内按合同租金",'数据-取费表'!B35,IF(E41="收益年期(n)",'数据-取费表'!B34,'数据-取费表'!B13))</f>
        <v>37</v>
      </c>
      <c r="H41" s="950"/>
      <c r="I41" s="135" t="s">
        <v>1944</v>
      </c>
      <c r="J41" s="136">
        <f ca="1">ROUND(C13/C40,3)</f>
        <v>0.183</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0.81699999999999995</v>
      </c>
      <c r="K42" s="947"/>
      <c r="L42" s="950"/>
      <c r="M42" s="950"/>
      <c r="Q42" s="656"/>
    </row>
    <row r="43" spans="1:18" s="652" customFormat="1" ht="18" customHeight="1" thickBot="1">
      <c r="A43" s="271" t="s">
        <v>24</v>
      </c>
      <c r="B43" s="272" t="s">
        <v>2073</v>
      </c>
      <c r="C43" s="273">
        <f ca="1">ROUND(C40/F43,0)</f>
        <v>22801</v>
      </c>
      <c r="D43" s="274" t="s">
        <v>2074</v>
      </c>
      <c r="E43" s="275" t="s">
        <v>2075</v>
      </c>
      <c r="F43" s="276">
        <f>IF(D1="仅计算典型户型",'数据-取费表'!E5,'数据-取费表'!B5)</f>
        <v>63</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1436477</v>
      </c>
      <c r="R45" s="1050" t="s">
        <v>2082</v>
      </c>
    </row>
    <row r="46" spans="1:18" s="652" customFormat="1" ht="18" customHeight="1" thickBot="1">
      <c r="A46" s="649"/>
      <c r="D46" s="649"/>
      <c r="E46" s="649"/>
      <c r="F46" s="649"/>
      <c r="K46" s="653">
        <f>320160*40%/(1+7.5%)^37</f>
        <v>8816.8587916756151</v>
      </c>
      <c r="O46" s="1047" t="s">
        <v>950</v>
      </c>
      <c r="P46" s="1048" t="s">
        <v>2083</v>
      </c>
      <c r="Q46" s="1049">
        <f ca="1">J61</f>
        <v>8817</v>
      </c>
      <c r="R46" s="1050" t="s">
        <v>2084</v>
      </c>
    </row>
    <row r="47" spans="1:18" s="652" customFormat="1" ht="21.75" thickBot="1">
      <c r="A47" s="1497" t="s">
        <v>2085</v>
      </c>
      <c r="C47" s="992">
        <f ca="1">IF(C2="元",C69-C40,ROUND((C69-C40)/10000,0))</f>
        <v>-152</v>
      </c>
      <c r="D47" s="1498" t="str">
        <f>C2</f>
        <v>万元</v>
      </c>
      <c r="E47" s="649"/>
      <c r="F47" s="649"/>
      <c r="I47" s="1499" t="s">
        <v>2086</v>
      </c>
      <c r="J47" s="1023"/>
      <c r="K47" s="1024"/>
      <c r="L47" s="1037">
        <f ca="1">IF(M48="住宅",0,IF(L49&gt;J52,L61,J61))</f>
        <v>8817</v>
      </c>
      <c r="O47" s="1051" t="s">
        <v>951</v>
      </c>
      <c r="P47" s="1048" t="s">
        <v>2087</v>
      </c>
      <c r="Q47" s="1049">
        <f ca="1">C29</f>
        <v>320160</v>
      </c>
      <c r="R47" s="1050" t="s">
        <v>2082</v>
      </c>
    </row>
    <row r="48" spans="1:18" s="652" customFormat="1" ht="15.75" thickBot="1">
      <c r="A48" s="228" t="s">
        <v>2088</v>
      </c>
      <c r="B48" s="229" t="s">
        <v>2089</v>
      </c>
      <c r="C48" s="229" t="s">
        <v>2090</v>
      </c>
      <c r="D48" s="229" t="s">
        <v>2091</v>
      </c>
      <c r="E48" s="986" t="s">
        <v>2092</v>
      </c>
      <c r="F48" s="987"/>
      <c r="I48" s="1500" t="s">
        <v>2093</v>
      </c>
      <c r="J48" s="1501" t="s">
        <v>3003</v>
      </c>
      <c r="K48" s="1502" t="s">
        <v>2094</v>
      </c>
      <c r="L48" s="1025">
        <f>'数据-取费表'!B11</f>
        <v>50</v>
      </c>
      <c r="M48" s="1038" t="str">
        <f>IF('数据-取费表'!B10="住宅","住宅","非住宅")</f>
        <v>非住宅</v>
      </c>
      <c r="O48" s="1051" t="s">
        <v>952</v>
      </c>
      <c r="P48" s="1048" t="s">
        <v>2095</v>
      </c>
      <c r="Q48" s="1052">
        <f>J59</f>
        <v>0.4</v>
      </c>
      <c r="R48" s="1050"/>
    </row>
    <row r="49" spans="1:18" s="652" customFormat="1" ht="15.75" thickBot="1">
      <c r="A49" s="1098" t="s">
        <v>963</v>
      </c>
      <c r="B49" s="233" t="s">
        <v>2096</v>
      </c>
      <c r="C49" s="1099">
        <f ca="1">C50+C54+C56</f>
        <v>0</v>
      </c>
      <c r="D49" s="1100"/>
      <c r="E49" s="44"/>
      <c r="F49" s="15"/>
      <c r="I49" s="1503" t="s">
        <v>2097</v>
      </c>
      <c r="J49" s="1504" t="s">
        <v>3004</v>
      </c>
      <c r="K49" s="1505" t="s">
        <v>2098</v>
      </c>
      <c r="L49" s="863">
        <f>'数据-取费表'!B13</f>
        <v>37</v>
      </c>
      <c r="O49" s="1051" t="s">
        <v>953</v>
      </c>
      <c r="P49" s="1048" t="s">
        <v>2099</v>
      </c>
      <c r="Q49" s="1052">
        <f>J53</f>
        <v>7.4999999999999997E-2</v>
      </c>
      <c r="R49" s="1050"/>
    </row>
    <row r="50" spans="1:18" s="652" customFormat="1" ht="15.75" thickBot="1">
      <c r="A50" s="260" t="s">
        <v>1956</v>
      </c>
      <c r="B50" s="1412" t="s">
        <v>2100</v>
      </c>
      <c r="C50" s="234">
        <f>ROUND(F50*F52*F51*(1-F53),0)</f>
        <v>0</v>
      </c>
      <c r="D50" s="42" t="s">
        <v>2645</v>
      </c>
      <c r="E50" s="1506" t="s">
        <v>2101</v>
      </c>
      <c r="F50" s="988"/>
      <c r="I50" s="1503" t="s">
        <v>2102</v>
      </c>
      <c r="J50" s="863">
        <f>'数据-取费表'!B27</f>
        <v>2011</v>
      </c>
      <c r="K50" s="1507" t="s">
        <v>2103</v>
      </c>
      <c r="L50" s="1026"/>
      <c r="O50" s="1051" t="s">
        <v>954</v>
      </c>
      <c r="P50" s="1048" t="s">
        <v>2104</v>
      </c>
      <c r="Q50" s="1049">
        <f>J54</f>
        <v>37</v>
      </c>
      <c r="R50" s="1050" t="s">
        <v>2105</v>
      </c>
    </row>
    <row r="51" spans="1:18" s="652" customFormat="1" ht="15.75" thickBot="1">
      <c r="A51" s="237"/>
      <c r="B51" s="238"/>
      <c r="C51" s="239"/>
      <c r="D51" s="240"/>
      <c r="E51" s="255" t="s">
        <v>1959</v>
      </c>
      <c r="F51" s="985">
        <f>F7</f>
        <v>63</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145</v>
      </c>
      <c r="R51" s="1050" t="s">
        <v>956</v>
      </c>
    </row>
    <row r="52" spans="1:18" s="652" customFormat="1" ht="16.5" thickBot="1">
      <c r="A52" s="237"/>
      <c r="B52" s="238"/>
      <c r="C52" s="239"/>
      <c r="D52" s="240"/>
      <c r="E52" s="235" t="s">
        <v>1961</v>
      </c>
      <c r="F52" s="236">
        <f>F8</f>
        <v>365</v>
      </c>
      <c r="I52" s="1508" t="s">
        <v>2108</v>
      </c>
      <c r="J52" s="1028">
        <f>IF(J50="",J51,J50+J51-YEAR('数据-取费表'!B2))</f>
        <v>49</v>
      </c>
      <c r="K52" s="1509" t="s">
        <v>2109</v>
      </c>
      <c r="L52" s="1029">
        <f ca="1">ROUND(-PV('数据-取费表'!B15,J52,(C40-C13*J35)),0)</f>
        <v>26098951</v>
      </c>
      <c r="O52" s="1041" t="s">
        <v>2110</v>
      </c>
      <c r="P52" s="1042"/>
      <c r="Q52" s="1038"/>
      <c r="R52" s="1042"/>
    </row>
    <row r="53" spans="1:18" s="652" customFormat="1" ht="15.75" thickBot="1">
      <c r="A53" s="241"/>
      <c r="B53" s="242"/>
      <c r="C53" s="243"/>
      <c r="D53" s="244"/>
      <c r="E53" s="235" t="s">
        <v>1962</v>
      </c>
      <c r="F53" s="1036"/>
      <c r="I53" s="1510" t="s">
        <v>2111</v>
      </c>
      <c r="J53" s="1030">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2651</v>
      </c>
      <c r="E54" s="246" t="s">
        <v>1965</v>
      </c>
      <c r="F54" s="1493"/>
      <c r="I54" s="1599" t="s">
        <v>2654</v>
      </c>
      <c r="J54" s="1031">
        <f>IF(M48="住宅",IF(E1="——",MAX(J52,L49),MAX(J52,L49-'数据-取费表'!B26)),IF(E1="——",MIN(J52,L49),MIN(J52,L49-'数据-取费表'!B26)))</f>
        <v>37</v>
      </c>
      <c r="K54" s="3631" t="s">
        <v>2643</v>
      </c>
      <c r="L54" s="3632"/>
      <c r="O54" s="1047" t="s">
        <v>949</v>
      </c>
      <c r="P54" s="1048" t="s">
        <v>2081</v>
      </c>
      <c r="Q54" s="1049">
        <f ca="1">C40+J29</f>
        <v>1436477</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f>ROUND(IF(J48="钢混",J58/J51,1-(1-2%)*(J51-J58)/J51),3)</f>
        <v>0.2</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262531</v>
      </c>
      <c r="D57" s="983"/>
      <c r="E57" s="984"/>
      <c r="F57" s="991"/>
      <c r="I57" s="1517" t="s">
        <v>2118</v>
      </c>
      <c r="J57" s="1035" t="s">
        <v>2999</v>
      </c>
      <c r="K57" s="1503" t="s">
        <v>2119</v>
      </c>
      <c r="L57" s="863" t="str">
        <f>IF(L49&lt;J52,"——",L49-J52)</f>
        <v>——</v>
      </c>
      <c r="O57" s="1051" t="s">
        <v>952</v>
      </c>
      <c r="P57" s="1048" t="s">
        <v>2120</v>
      </c>
      <c r="Q57" s="1052">
        <f>L53</f>
        <v>0</v>
      </c>
      <c r="R57" s="1050"/>
    </row>
    <row r="58" spans="1:18" s="652" customFormat="1" ht="29.25" thickBot="1">
      <c r="A58" s="990"/>
      <c r="B58" s="235" t="s">
        <v>2050</v>
      </c>
      <c r="C58" s="104">
        <f ca="1">C29</f>
        <v>320160</v>
      </c>
      <c r="D58" s="983"/>
      <c r="E58" s="984"/>
      <c r="F58" s="991"/>
      <c r="I58" s="1518" t="s">
        <v>2121</v>
      </c>
      <c r="J58" s="1034">
        <f>IF(OR(M48="住宅",J52&lt;L49,J57="是"),"——",J52-L49)</f>
        <v>12</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5196</v>
      </c>
      <c r="D59" s="12" t="s">
        <v>2054</v>
      </c>
      <c r="E59" s="1303"/>
      <c r="F59" s="15"/>
      <c r="I59" s="1518" t="s">
        <v>2125</v>
      </c>
      <c r="J59" s="1289">
        <f>IF(J56&lt;0.4,0.4,J56)</f>
        <v>0.4</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7.0000000000000007E-2</v>
      </c>
      <c r="I60" s="1518" t="s">
        <v>2128</v>
      </c>
      <c r="J60" s="1034">
        <f ca="1">IF(OR(M48="住宅",J52&lt;L49,J57="是"),"——",ROUND(C29*J59,0))</f>
        <v>128064</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144</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f ca="1">IF(OR(M48="住宅",J52&lt;L49,J57="是"),"0",ROUND(J60/(1+J53)^J54,0))</f>
        <v>8817</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1436477</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4802</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26098951</v>
      </c>
      <c r="R65" s="1054" t="s">
        <v>2144</v>
      </c>
    </row>
    <row r="66" spans="1:18" s="652" customFormat="1" ht="20.25" thickBot="1">
      <c r="A66" s="253" t="s">
        <v>20</v>
      </c>
      <c r="B66" s="235" t="s">
        <v>2022</v>
      </c>
      <c r="C66" s="13">
        <f ca="1">ROUND(C57*F66,0)</f>
        <v>394</v>
      </c>
      <c r="D66" s="1301" t="s">
        <v>2023</v>
      </c>
      <c r="E66" s="235" t="s">
        <v>2024</v>
      </c>
      <c r="F66" s="266">
        <f t="shared" si="0"/>
        <v>1.5E-3</v>
      </c>
      <c r="I66" s="1521" t="s">
        <v>2145</v>
      </c>
      <c r="J66" s="1293">
        <v>40</v>
      </c>
      <c r="K66" s="1293">
        <v>30</v>
      </c>
      <c r="L66" s="1293">
        <v>50</v>
      </c>
      <c r="M66" s="1291">
        <v>0.02</v>
      </c>
      <c r="O66" s="1051" t="s">
        <v>952</v>
      </c>
      <c r="P66" s="1055" t="s">
        <v>2146</v>
      </c>
      <c r="Q66" s="1049">
        <f ca="1">ROUND(Q67-Q68*Q69,0)</f>
        <v>61049</v>
      </c>
      <c r="R66" s="1050"/>
    </row>
    <row r="67" spans="1:18" s="652" customFormat="1" ht="15.75" thickBot="1">
      <c r="A67" s="253" t="s">
        <v>21</v>
      </c>
      <c r="B67" s="235" t="s">
        <v>2005</v>
      </c>
      <c r="C67" s="13">
        <f ca="1">ROUND(C49*F67,0)</f>
        <v>0</v>
      </c>
      <c r="D67" s="1301" t="s">
        <v>2028</v>
      </c>
      <c r="E67" s="235" t="s">
        <v>2024</v>
      </c>
      <c r="F67" s="245">
        <f t="shared" si="0"/>
        <v>0.02</v>
      </c>
      <c r="O67" s="1051" t="s">
        <v>957</v>
      </c>
      <c r="P67" s="1055" t="s">
        <v>2147</v>
      </c>
      <c r="Q67" s="1049">
        <f ca="1">C39</f>
        <v>61049</v>
      </c>
      <c r="R67" s="1050" t="s">
        <v>2082</v>
      </c>
    </row>
    <row r="68" spans="1:18" ht="15.75" thickBot="1">
      <c r="A68" s="248" t="s">
        <v>22</v>
      </c>
      <c r="B68" s="41" t="s">
        <v>2032</v>
      </c>
      <c r="C68" s="250">
        <f ca="1">C49-C59</f>
        <v>-5196</v>
      </c>
      <c r="D68" s="1298" t="s">
        <v>2033</v>
      </c>
      <c r="E68" s="1300"/>
      <c r="F68" s="268"/>
      <c r="H68" s="652"/>
      <c r="I68" s="652"/>
      <c r="J68" s="652"/>
      <c r="K68" s="652"/>
      <c r="L68" s="652"/>
      <c r="M68" s="652"/>
      <c r="O68" s="1051" t="s">
        <v>958</v>
      </c>
      <c r="P68" s="1055" t="s">
        <v>2148</v>
      </c>
      <c r="Q68" s="1049">
        <f ca="1">C13</f>
        <v>262531</v>
      </c>
      <c r="R68" s="1050" t="s">
        <v>2082</v>
      </c>
    </row>
    <row r="69" spans="1:18" ht="15.75" thickBot="1">
      <c r="A69" s="232" t="s">
        <v>23</v>
      </c>
      <c r="B69" s="233" t="s">
        <v>2070</v>
      </c>
      <c r="C69" s="234">
        <f ca="1">ROUND(C68*(1-((1+F71)/(1+F69))^F70)/(F69-F71),0)</f>
        <v>-81442</v>
      </c>
      <c r="D69" s="261" t="s">
        <v>2038</v>
      </c>
      <c r="E69" s="235" t="s">
        <v>2039</v>
      </c>
      <c r="F69" s="245">
        <f>F40</f>
        <v>5.5E-2</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37</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-1293</v>
      </c>
      <c r="D72" s="274" t="s">
        <v>2074</v>
      </c>
      <c r="E72" s="275" t="s">
        <v>2075</v>
      </c>
      <c r="F72" s="276">
        <f>F43</f>
        <v>63</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144</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06" priority="6">
      <formula>$L$49&gt;$J$52</formula>
    </cfRule>
  </conditionalFormatting>
  <conditionalFormatting sqref="I56">
    <cfRule type="expression" dxfId="105" priority="7">
      <formula>$J$52&gt;$L$49</formula>
    </cfRule>
  </conditionalFormatting>
  <conditionalFormatting sqref="I61">
    <cfRule type="expression" dxfId="104" priority="5">
      <formula>$J$52&gt;$L$49</formula>
    </cfRule>
  </conditionalFormatting>
  <conditionalFormatting sqref="K61">
    <cfRule type="expression" dxfId="103" priority="4">
      <formula>$L$49&gt;$J$52</formula>
    </cfRule>
  </conditionalFormatting>
  <conditionalFormatting sqref="C11">
    <cfRule type="expression" dxfId="102" priority="3">
      <formula>$F$10="自定义"</formula>
    </cfRule>
  </conditionalFormatting>
  <conditionalFormatting sqref="J11">
    <cfRule type="expression" dxfId="101" priority="2">
      <formula>$M$10="自定义"</formula>
    </cfRule>
  </conditionalFormatting>
  <conditionalFormatting sqref="C55">
    <cfRule type="expression" dxfId="10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63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56" t="s">
        <v>2189</v>
      </c>
      <c r="D4" s="3657"/>
      <c r="E4" s="3658" t="s">
        <v>2190</v>
      </c>
      <c r="F4" s="3659"/>
      <c r="G4" s="3656" t="s">
        <v>2191</v>
      </c>
      <c r="H4" s="3657"/>
      <c r="I4" s="3656" t="s">
        <v>2192</v>
      </c>
      <c r="J4" s="3657"/>
      <c r="K4" s="496" t="s">
        <v>2193</v>
      </c>
      <c r="L4" s="2995"/>
      <c r="M4" s="2996"/>
      <c r="N4" s="2996"/>
      <c r="O4" s="2996"/>
      <c r="P4" s="3660" t="s">
        <v>2194</v>
      </c>
      <c r="Q4" s="3661"/>
      <c r="R4" s="3643" t="s">
        <v>2190</v>
      </c>
      <c r="S4" s="3644"/>
      <c r="T4" s="3643" t="s">
        <v>2191</v>
      </c>
      <c r="U4" s="3644"/>
      <c r="V4" s="3666" t="s">
        <v>2192</v>
      </c>
      <c r="W4" s="3666"/>
      <c r="X4" s="1305"/>
      <c r="Y4" s="3643" t="s">
        <v>2194</v>
      </c>
      <c r="Z4" s="3644"/>
      <c r="AA4" s="3653" t="s">
        <v>2190</v>
      </c>
      <c r="AB4" s="3654" t="s">
        <v>2191</v>
      </c>
      <c r="AC4" s="3653" t="s">
        <v>2192</v>
      </c>
    </row>
    <row r="5" spans="1:29" ht="15">
      <c r="A5" s="297"/>
      <c r="B5" s="298"/>
      <c r="C5" s="3669" t="s">
        <v>2195</v>
      </c>
      <c r="D5" s="3670"/>
      <c r="E5" s="3667" t="s">
        <v>2196</v>
      </c>
      <c r="F5" s="3668"/>
      <c r="G5" s="3669" t="s">
        <v>2197</v>
      </c>
      <c r="H5" s="3670"/>
      <c r="I5" s="3669" t="s">
        <v>2198</v>
      </c>
      <c r="J5" s="3670"/>
      <c r="K5" s="496"/>
      <c r="L5" s="2995"/>
      <c r="M5" s="2996"/>
      <c r="N5" s="2996"/>
      <c r="O5" s="2996"/>
      <c r="P5" s="3662"/>
      <c r="Q5" s="3663"/>
      <c r="R5" s="3645"/>
      <c r="S5" s="3646"/>
      <c r="T5" s="3645"/>
      <c r="U5" s="3646"/>
      <c r="V5" s="3666"/>
      <c r="W5" s="3666"/>
      <c r="X5" s="1305"/>
      <c r="Y5" s="3645"/>
      <c r="Z5" s="3646"/>
      <c r="AA5" s="3654"/>
      <c r="AB5" s="3654"/>
      <c r="AC5" s="3654"/>
    </row>
    <row r="6" spans="1:29" ht="15.75" thickBot="1">
      <c r="A6" s="299"/>
      <c r="B6" s="300"/>
      <c r="C6" s="3671" t="s">
        <v>2199</v>
      </c>
      <c r="D6" s="3672"/>
      <c r="E6" s="3673" t="s">
        <v>2199</v>
      </c>
      <c r="F6" s="3674"/>
      <c r="G6" s="3671" t="s">
        <v>2199</v>
      </c>
      <c r="H6" s="3672"/>
      <c r="I6" s="3671" t="s">
        <v>2199</v>
      </c>
      <c r="J6" s="3672"/>
      <c r="K6" s="496" t="s">
        <v>2200</v>
      </c>
      <c r="L6" s="2995"/>
      <c r="M6" s="2996"/>
      <c r="N6" s="2996"/>
      <c r="O6" s="2996"/>
      <c r="P6" s="3664"/>
      <c r="Q6" s="3665"/>
      <c r="R6" s="3645"/>
      <c r="S6" s="3646"/>
      <c r="T6" s="3647"/>
      <c r="U6" s="3648"/>
      <c r="V6" s="3666"/>
      <c r="W6" s="3666"/>
      <c r="X6" s="1305"/>
      <c r="Y6" s="3647"/>
      <c r="Z6" s="3648"/>
      <c r="AA6" s="3655"/>
      <c r="AB6" s="3655"/>
      <c r="AC6" s="3655"/>
    </row>
    <row r="7" spans="1:29" s="25" customFormat="1" ht="15.75" thickBot="1">
      <c r="A7" s="301" t="s">
        <v>2201</v>
      </c>
      <c r="B7" s="302"/>
      <c r="C7" s="303">
        <f>'数据-取费表'!B2</f>
        <v>44610</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41" t="s">
        <v>2202</v>
      </c>
      <c r="Q7" s="3649"/>
      <c r="R7" s="627" t="s">
        <v>25</v>
      </c>
      <c r="S7" s="628">
        <f t="shared" ref="S7:S15" si="0">F7</f>
        <v>0</v>
      </c>
      <c r="T7" s="627" t="s">
        <v>25</v>
      </c>
      <c r="U7" s="628">
        <f t="shared" ref="U7:U15" si="1">H7</f>
        <v>0</v>
      </c>
      <c r="V7" s="627" t="s">
        <v>25</v>
      </c>
      <c r="W7" s="628">
        <f t="shared" ref="W7:W15" si="2">J7</f>
        <v>0</v>
      </c>
      <c r="X7" s="629"/>
      <c r="Y7" s="3641" t="s">
        <v>2202</v>
      </c>
      <c r="Z7" s="3642"/>
      <c r="AA7" s="630" t="e">
        <f>D7/F7</f>
        <v>#DIV/0!</v>
      </c>
      <c r="AB7" s="630" t="e">
        <f>D7/H7</f>
        <v>#DIV/0!</v>
      </c>
      <c r="AC7" s="630" t="e">
        <f>D7/J7</f>
        <v>#DIV/0!</v>
      </c>
    </row>
    <row r="8" spans="1:29" s="25" customFormat="1" ht="15.75" thickBot="1">
      <c r="A8" s="301" t="s">
        <v>2203</v>
      </c>
      <c r="B8" s="302"/>
      <c r="C8" s="307" t="s">
        <v>2824</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41" t="s">
        <v>2205</v>
      </c>
      <c r="Q8" s="3642"/>
      <c r="R8" s="627" t="s">
        <v>25</v>
      </c>
      <c r="S8" s="628">
        <f t="shared" si="0"/>
        <v>0</v>
      </c>
      <c r="T8" s="627" t="s">
        <v>25</v>
      </c>
      <c r="U8" s="628">
        <f t="shared" si="1"/>
        <v>0</v>
      </c>
      <c r="V8" s="627" t="s">
        <v>25</v>
      </c>
      <c r="W8" s="628">
        <f t="shared" si="2"/>
        <v>0</v>
      </c>
      <c r="X8" s="629"/>
      <c r="Y8" s="3641" t="s">
        <v>2205</v>
      </c>
      <c r="Z8" s="3642"/>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33" t="s">
        <v>2208</v>
      </c>
      <c r="Q9" s="1297" t="str">
        <f t="shared" ref="Q9:Q15" si="6">B9</f>
        <v>用途</v>
      </c>
      <c r="R9" s="627" t="s">
        <v>25</v>
      </c>
      <c r="S9" s="628">
        <f t="shared" si="0"/>
        <v>100</v>
      </c>
      <c r="T9" s="627" t="s">
        <v>25</v>
      </c>
      <c r="U9" s="628">
        <f t="shared" si="1"/>
        <v>100</v>
      </c>
      <c r="V9" s="627" t="s">
        <v>25</v>
      </c>
      <c r="W9" s="628">
        <f t="shared" si="2"/>
        <v>100</v>
      </c>
      <c r="X9" s="629"/>
      <c r="Y9" s="3652"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33"/>
      <c r="Q10" s="1297"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33"/>
      <c r="Q11" s="1297"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33"/>
      <c r="Q12" s="1297">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33"/>
      <c r="Q13" s="1297">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33"/>
      <c r="Q14" s="1297">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50" t="s">
        <v>2213</v>
      </c>
      <c r="Q15" s="1304" t="str">
        <f t="shared" si="6"/>
        <v>产业集聚程度</v>
      </c>
      <c r="R15" s="631" t="s">
        <v>25</v>
      </c>
      <c r="S15" s="632">
        <f t="shared" si="0"/>
        <v>100</v>
      </c>
      <c r="T15" s="631" t="s">
        <v>25</v>
      </c>
      <c r="U15" s="632">
        <f t="shared" si="1"/>
        <v>100</v>
      </c>
      <c r="V15" s="631" t="s">
        <v>25</v>
      </c>
      <c r="W15" s="632">
        <f t="shared" si="2"/>
        <v>100</v>
      </c>
      <c r="X15" s="1305"/>
      <c r="Y15" s="3650"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51"/>
      <c r="Q16" s="1304"/>
      <c r="R16" s="631"/>
      <c r="S16" s="632"/>
      <c r="T16" s="631"/>
      <c r="U16" s="632"/>
      <c r="V16" s="631"/>
      <c r="W16" s="632"/>
      <c r="X16" s="1305"/>
      <c r="Y16" s="3651"/>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51"/>
      <c r="Q17" s="1304" t="str">
        <f>B17</f>
        <v>交通便捷度</v>
      </c>
      <c r="R17" s="631" t="s">
        <v>25</v>
      </c>
      <c r="S17" s="632">
        <f>F17</f>
        <v>100</v>
      </c>
      <c r="T17" s="631" t="s">
        <v>25</v>
      </c>
      <c r="U17" s="632">
        <f>H17</f>
        <v>100</v>
      </c>
      <c r="V17" s="631" t="s">
        <v>25</v>
      </c>
      <c r="W17" s="632">
        <f>J17</f>
        <v>100</v>
      </c>
      <c r="X17" s="1305"/>
      <c r="Y17" s="3651"/>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51"/>
      <c r="Q18" s="1304"/>
      <c r="R18" s="631"/>
      <c r="S18" s="632"/>
      <c r="T18" s="631"/>
      <c r="U18" s="632"/>
      <c r="V18" s="631"/>
      <c r="W18" s="632"/>
      <c r="X18" s="1305"/>
      <c r="Y18" s="3651"/>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51"/>
      <c r="Q19" s="1304" t="str">
        <f>B19</f>
        <v>公共配套设施</v>
      </c>
      <c r="R19" s="631" t="s">
        <v>25</v>
      </c>
      <c r="S19" s="632">
        <f>F19</f>
        <v>100</v>
      </c>
      <c r="T19" s="631" t="s">
        <v>25</v>
      </c>
      <c r="U19" s="632">
        <f>H19</f>
        <v>100</v>
      </c>
      <c r="V19" s="631" t="s">
        <v>25</v>
      </c>
      <c r="W19" s="632">
        <f>J19</f>
        <v>100</v>
      </c>
      <c r="X19" s="1305"/>
      <c r="Y19" s="3651"/>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51"/>
      <c r="Q20" s="1304"/>
      <c r="R20" s="631"/>
      <c r="S20" s="632"/>
      <c r="T20" s="631"/>
      <c r="U20" s="632"/>
      <c r="V20" s="631"/>
      <c r="W20" s="632"/>
      <c r="X20" s="1305"/>
      <c r="Y20" s="3651"/>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51"/>
      <c r="Q21" s="1304" t="str">
        <f>B21</f>
        <v>基础设施水平</v>
      </c>
      <c r="R21" s="631" t="s">
        <v>25</v>
      </c>
      <c r="S21" s="632">
        <f>F21</f>
        <v>100</v>
      </c>
      <c r="T21" s="631" t="s">
        <v>25</v>
      </c>
      <c r="U21" s="632">
        <f>H21</f>
        <v>100</v>
      </c>
      <c r="V21" s="631" t="s">
        <v>25</v>
      </c>
      <c r="W21" s="632">
        <f>J21</f>
        <v>100</v>
      </c>
      <c r="X21" s="1305"/>
      <c r="Y21" s="3651"/>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51"/>
      <c r="Q22" s="1304"/>
      <c r="R22" s="631"/>
      <c r="S22" s="632"/>
      <c r="T22" s="631"/>
      <c r="U22" s="632"/>
      <c r="V22" s="631"/>
      <c r="W22" s="632"/>
      <c r="X22" s="1305"/>
      <c r="Y22" s="3651"/>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51"/>
      <c r="Q23" s="1304" t="str">
        <f>B23</f>
        <v>环境质量</v>
      </c>
      <c r="R23" s="631" t="s">
        <v>25</v>
      </c>
      <c r="S23" s="632">
        <f>F23</f>
        <v>100</v>
      </c>
      <c r="T23" s="631" t="s">
        <v>25</v>
      </c>
      <c r="U23" s="632">
        <f>H23</f>
        <v>100</v>
      </c>
      <c r="V23" s="631" t="s">
        <v>25</v>
      </c>
      <c r="W23" s="632">
        <f>J23</f>
        <v>100</v>
      </c>
      <c r="X23" s="1305"/>
      <c r="Y23" s="3651"/>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51"/>
      <c r="Q24" s="1304"/>
      <c r="R24" s="631"/>
      <c r="S24" s="632"/>
      <c r="T24" s="631"/>
      <c r="U24" s="632"/>
      <c r="V24" s="631"/>
      <c r="W24" s="632"/>
      <c r="X24" s="1305"/>
      <c r="Y24" s="3651"/>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51"/>
      <c r="Q25" s="1304">
        <f>B25</f>
        <v>111</v>
      </c>
      <c r="R25" s="631" t="s">
        <v>25</v>
      </c>
      <c r="S25" s="632">
        <f>F25</f>
        <v>100</v>
      </c>
      <c r="T25" s="631" t="s">
        <v>25</v>
      </c>
      <c r="U25" s="632">
        <f>H25</f>
        <v>100</v>
      </c>
      <c r="V25" s="631" t="s">
        <v>25</v>
      </c>
      <c r="W25" s="632">
        <f>J25</f>
        <v>100</v>
      </c>
      <c r="X25" s="1305"/>
      <c r="Y25" s="3651"/>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51"/>
      <c r="Q26" s="1304">
        <f t="shared" ref="Q26:Q40" si="11">B26</f>
        <v>111</v>
      </c>
      <c r="R26" s="631" t="s">
        <v>25</v>
      </c>
      <c r="S26" s="632">
        <f>F26</f>
        <v>100</v>
      </c>
      <c r="T26" s="631" t="s">
        <v>25</v>
      </c>
      <c r="U26" s="632">
        <f>H26</f>
        <v>100</v>
      </c>
      <c r="V26" s="631" t="s">
        <v>25</v>
      </c>
      <c r="W26" s="632">
        <f>J26</f>
        <v>100</v>
      </c>
      <c r="X26" s="1305"/>
      <c r="Y26" s="3651"/>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51"/>
      <c r="Q27" s="1297">
        <f t="shared" si="11"/>
        <v>111</v>
      </c>
      <c r="R27" s="627" t="s">
        <v>25</v>
      </c>
      <c r="S27" s="628">
        <f>F27</f>
        <v>100</v>
      </c>
      <c r="T27" s="627" t="s">
        <v>25</v>
      </c>
      <c r="U27" s="628">
        <f>H27</f>
        <v>100</v>
      </c>
      <c r="V27" s="627" t="s">
        <v>25</v>
      </c>
      <c r="W27" s="628">
        <f>J27</f>
        <v>100</v>
      </c>
      <c r="X27" s="629"/>
      <c r="Y27" s="3651"/>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51"/>
      <c r="Q28" s="1304">
        <f t="shared" si="11"/>
        <v>111</v>
      </c>
      <c r="R28" s="631" t="s">
        <v>25</v>
      </c>
      <c r="S28" s="632">
        <f t="shared" ref="S28:S40" si="12">F28</f>
        <v>100</v>
      </c>
      <c r="T28" s="631" t="s">
        <v>25</v>
      </c>
      <c r="U28" s="632">
        <f t="shared" ref="U28:U40" si="13">H28</f>
        <v>100</v>
      </c>
      <c r="V28" s="631" t="s">
        <v>25</v>
      </c>
      <c r="W28" s="632">
        <f t="shared" ref="W28:W40" si="14">J28</f>
        <v>100</v>
      </c>
      <c r="X28" s="1305"/>
      <c r="Y28" s="3651"/>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38" t="s">
        <v>2219</v>
      </c>
      <c r="Q29" s="1304" t="str">
        <f t="shared" si="11"/>
        <v>建筑类型</v>
      </c>
      <c r="R29" s="631" t="s">
        <v>25</v>
      </c>
      <c r="S29" s="632">
        <f t="shared" si="12"/>
        <v>100</v>
      </c>
      <c r="T29" s="631" t="s">
        <v>25</v>
      </c>
      <c r="U29" s="632">
        <f t="shared" si="13"/>
        <v>100</v>
      </c>
      <c r="V29" s="631" t="s">
        <v>25</v>
      </c>
      <c r="W29" s="632">
        <f t="shared" si="14"/>
        <v>100</v>
      </c>
      <c r="X29" s="1305"/>
      <c r="Y29" s="3639"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39"/>
      <c r="Q30" s="633" t="str">
        <f t="shared" si="11"/>
        <v>项目建筑规模</v>
      </c>
      <c r="R30" s="634" t="s">
        <v>25</v>
      </c>
      <c r="S30" s="635" t="e">
        <f t="shared" si="12"/>
        <v>#N/A</v>
      </c>
      <c r="T30" s="634" t="s">
        <v>25</v>
      </c>
      <c r="U30" s="635" t="e">
        <f t="shared" si="13"/>
        <v>#N/A</v>
      </c>
      <c r="V30" s="634" t="s">
        <v>25</v>
      </c>
      <c r="W30" s="635" t="e">
        <f t="shared" si="14"/>
        <v>#N/A</v>
      </c>
      <c r="X30" s="636"/>
      <c r="Y30" s="3639"/>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39"/>
      <c r="Q31" s="1304" t="str">
        <f t="shared" si="11"/>
        <v>建筑结构</v>
      </c>
      <c r="R31" s="631" t="s">
        <v>25</v>
      </c>
      <c r="S31" s="632">
        <f t="shared" si="12"/>
        <v>100</v>
      </c>
      <c r="T31" s="631" t="s">
        <v>25</v>
      </c>
      <c r="U31" s="632">
        <f t="shared" si="13"/>
        <v>100</v>
      </c>
      <c r="V31" s="631" t="s">
        <v>25</v>
      </c>
      <c r="W31" s="632">
        <f t="shared" si="14"/>
        <v>100</v>
      </c>
      <c r="X31" s="1305"/>
      <c r="Y31" s="3639"/>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39"/>
      <c r="Q32" s="1304" t="str">
        <f t="shared" si="11"/>
        <v>公共部分装修</v>
      </c>
      <c r="R32" s="631" t="s">
        <v>25</v>
      </c>
      <c r="S32" s="632">
        <f t="shared" si="12"/>
        <v>100</v>
      </c>
      <c r="T32" s="631" t="s">
        <v>25</v>
      </c>
      <c r="U32" s="632">
        <f t="shared" si="13"/>
        <v>100</v>
      </c>
      <c r="V32" s="631" t="s">
        <v>25</v>
      </c>
      <c r="W32" s="632">
        <f t="shared" si="14"/>
        <v>100</v>
      </c>
      <c r="X32" s="1305"/>
      <c r="Y32" s="3639"/>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39"/>
      <c r="Q33" s="1304" t="str">
        <f t="shared" si="11"/>
        <v>成新度</v>
      </c>
      <c r="R33" s="631" t="s">
        <v>25</v>
      </c>
      <c r="S33" s="632" t="e">
        <f t="shared" si="12"/>
        <v>#N/A</v>
      </c>
      <c r="T33" s="631" t="s">
        <v>25</v>
      </c>
      <c r="U33" s="632" t="e">
        <f t="shared" si="13"/>
        <v>#N/A</v>
      </c>
      <c r="V33" s="631" t="s">
        <v>25</v>
      </c>
      <c r="W33" s="632" t="e">
        <f t="shared" si="14"/>
        <v>#N/A</v>
      </c>
      <c r="X33" s="1305"/>
      <c r="Y33" s="3639"/>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39"/>
      <c r="Q34" s="1297" t="str">
        <f t="shared" si="11"/>
        <v>物业管理</v>
      </c>
      <c r="R34" s="627" t="s">
        <v>25</v>
      </c>
      <c r="S34" s="628">
        <f t="shared" si="12"/>
        <v>100</v>
      </c>
      <c r="T34" s="627" t="s">
        <v>25</v>
      </c>
      <c r="U34" s="628">
        <f t="shared" si="13"/>
        <v>100</v>
      </c>
      <c r="V34" s="627" t="s">
        <v>25</v>
      </c>
      <c r="W34" s="628">
        <f t="shared" si="14"/>
        <v>100</v>
      </c>
      <c r="X34" s="629"/>
      <c r="Y34" s="3639"/>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39" t="s">
        <v>2219</v>
      </c>
      <c r="Q35" s="1304" t="str">
        <f t="shared" si="11"/>
        <v>市政基础设施</v>
      </c>
      <c r="R35" s="631" t="s">
        <v>25</v>
      </c>
      <c r="S35" s="632">
        <f t="shared" si="12"/>
        <v>100</v>
      </c>
      <c r="T35" s="631" t="s">
        <v>25</v>
      </c>
      <c r="U35" s="632">
        <f t="shared" si="13"/>
        <v>100</v>
      </c>
      <c r="V35" s="631" t="s">
        <v>25</v>
      </c>
      <c r="W35" s="632">
        <f t="shared" si="14"/>
        <v>100</v>
      </c>
      <c r="X35" s="1305"/>
      <c r="Y35" s="3639"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39"/>
      <c r="Q36" s="1304" t="str">
        <f t="shared" si="11"/>
        <v>内部装修</v>
      </c>
      <c r="R36" s="631" t="s">
        <v>25</v>
      </c>
      <c r="S36" s="632">
        <f t="shared" si="12"/>
        <v>100</v>
      </c>
      <c r="T36" s="631" t="s">
        <v>25</v>
      </c>
      <c r="U36" s="632">
        <f t="shared" si="13"/>
        <v>100</v>
      </c>
      <c r="V36" s="631" t="s">
        <v>25</v>
      </c>
      <c r="W36" s="632">
        <f t="shared" si="14"/>
        <v>100</v>
      </c>
      <c r="X36" s="1305"/>
      <c r="Y36" s="3639"/>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39"/>
      <c r="Q37" s="1304" t="str">
        <f t="shared" si="11"/>
        <v>内部装修状况</v>
      </c>
      <c r="R37" s="631" t="s">
        <v>25</v>
      </c>
      <c r="S37" s="632">
        <f t="shared" si="12"/>
        <v>100</v>
      </c>
      <c r="T37" s="631" t="s">
        <v>25</v>
      </c>
      <c r="U37" s="632">
        <f t="shared" si="13"/>
        <v>100</v>
      </c>
      <c r="V37" s="631" t="s">
        <v>25</v>
      </c>
      <c r="W37" s="632">
        <f t="shared" si="14"/>
        <v>100</v>
      </c>
      <c r="X37" s="1305"/>
      <c r="Y37" s="3639"/>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39"/>
      <c r="Q38" s="633">
        <f t="shared" si="11"/>
        <v>111</v>
      </c>
      <c r="R38" s="634" t="s">
        <v>25</v>
      </c>
      <c r="S38" s="635">
        <f t="shared" si="12"/>
        <v>100</v>
      </c>
      <c r="T38" s="634" t="s">
        <v>25</v>
      </c>
      <c r="U38" s="635">
        <f t="shared" si="13"/>
        <v>100</v>
      </c>
      <c r="V38" s="634" t="s">
        <v>25</v>
      </c>
      <c r="W38" s="635">
        <f t="shared" si="14"/>
        <v>100</v>
      </c>
      <c r="X38" s="636"/>
      <c r="Y38" s="3639"/>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39"/>
      <c r="Q39" s="1304">
        <f t="shared" si="11"/>
        <v>111</v>
      </c>
      <c r="R39" s="631" t="s">
        <v>25</v>
      </c>
      <c r="S39" s="632">
        <f t="shared" si="12"/>
        <v>100</v>
      </c>
      <c r="T39" s="631" t="s">
        <v>25</v>
      </c>
      <c r="U39" s="632">
        <f t="shared" si="13"/>
        <v>100</v>
      </c>
      <c r="V39" s="631" t="s">
        <v>25</v>
      </c>
      <c r="W39" s="632">
        <f t="shared" si="14"/>
        <v>100</v>
      </c>
      <c r="X39" s="1305"/>
      <c r="Y39" s="3639"/>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40"/>
      <c r="Q40" s="1304">
        <f t="shared" si="11"/>
        <v>111</v>
      </c>
      <c r="R40" s="631" t="s">
        <v>25</v>
      </c>
      <c r="S40" s="632">
        <f t="shared" si="12"/>
        <v>100</v>
      </c>
      <c r="T40" s="631" t="s">
        <v>25</v>
      </c>
      <c r="U40" s="632">
        <f t="shared" si="13"/>
        <v>100</v>
      </c>
      <c r="V40" s="631" t="s">
        <v>25</v>
      </c>
      <c r="W40" s="632">
        <f t="shared" si="14"/>
        <v>100</v>
      </c>
      <c r="X40" s="1305"/>
      <c r="Y40" s="3640"/>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7"/>
      <c r="N41" s="2996"/>
      <c r="P41" s="3633" t="str">
        <f>A41</f>
        <v>成交单价（元/平方米）</v>
      </c>
      <c r="Q41" s="3633"/>
      <c r="R41" s="3634">
        <f>E41</f>
        <v>0</v>
      </c>
      <c r="S41" s="3634"/>
      <c r="T41" s="3634">
        <f>G41</f>
        <v>0</v>
      </c>
      <c r="U41" s="3634"/>
      <c r="V41" s="3634">
        <f>I41</f>
        <v>0</v>
      </c>
      <c r="W41" s="3634"/>
      <c r="X41" s="618"/>
      <c r="Y41" s="638"/>
      <c r="Z41" s="618"/>
      <c r="AA41" s="618"/>
      <c r="AB41" s="618"/>
      <c r="AC41" s="618"/>
    </row>
    <row r="42" spans="1:29" ht="15.75" thickBot="1">
      <c r="A42" s="374" t="s">
        <v>2314</v>
      </c>
      <c r="B42" s="375"/>
      <c r="C42" s="1130" t="e">
        <f>R43</f>
        <v>#DIV/0!</v>
      </c>
      <c r="D42" s="1767" t="s">
        <v>2685</v>
      </c>
      <c r="E42" s="1131" t="e">
        <f>R42</f>
        <v>#DIV/0!</v>
      </c>
      <c r="F42" s="1769"/>
      <c r="G42" s="1130" t="e">
        <f>T42</f>
        <v>#DIV/0!</v>
      </c>
      <c r="H42" s="1769"/>
      <c r="I42" s="1131" t="e">
        <f>V42</f>
        <v>#DIV/0!</v>
      </c>
      <c r="J42" s="1769"/>
      <c r="K42" s="2481">
        <f>F42+H42+J42</f>
        <v>0</v>
      </c>
      <c r="L42" s="3007"/>
      <c r="N42" s="2996"/>
      <c r="P42" s="3633" t="str">
        <f>A42</f>
        <v>比较价值（元/平方米）</v>
      </c>
      <c r="Q42" s="3633"/>
      <c r="R42" s="3634" t="e">
        <f>IF(E1="售价",ROUND(PRODUCT(R41,AA7:AA40),0),ROUND(PRODUCT(R41,AA7:AA40),1))</f>
        <v>#DIV/0!</v>
      </c>
      <c r="S42" s="3634"/>
      <c r="T42" s="3634" t="e">
        <f>IF(E1="售价",ROUND(PRODUCT(T41,AB7:AB40),0),ROUND(PRODUCT(T41,AB7:AB40),1))</f>
        <v>#DIV/0!</v>
      </c>
      <c r="U42" s="3634"/>
      <c r="V42" s="3634" t="e">
        <f>IF(E1="售价",ROUND(PRODUCT(V41,AC7:AC40),0),ROUND(PRODUCT(V41,AC7:AC40),1))</f>
        <v>#DIV/0!</v>
      </c>
      <c r="W42" s="3634"/>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7"/>
      <c r="P43" s="3635" t="str">
        <f>A43</f>
        <v>估价对象XX用房的比较价值（楼面单价，元/平方米）</v>
      </c>
      <c r="Q43" s="3636"/>
      <c r="R43" s="3637" t="e">
        <f>IF(E1="售价",ROUND(IF(D42="简单平均",AVERAGE(R42:V42),R42*F42+T42*H42+V42*J42),0),ROUND(IF(D42="简单平均",AVERAGE(R42:V42),R42*F42+T42*H42+V42*J42),1))</f>
        <v>#DIV/0!</v>
      </c>
      <c r="S43" s="3637"/>
      <c r="T43" s="3637"/>
      <c r="U43" s="3637"/>
      <c r="V43" s="3637"/>
      <c r="W43" s="3637"/>
      <c r="X43" s="618"/>
      <c r="Y43" s="618"/>
      <c r="Z43" s="618"/>
      <c r="AA43" s="618"/>
      <c r="AB43" s="618"/>
      <c r="AC43" s="618"/>
    </row>
    <row r="44" spans="1:29">
      <c r="G44" s="3010"/>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2319</v>
      </c>
      <c r="B51" s="618"/>
      <c r="C51" s="621"/>
      <c r="D51" s="621"/>
      <c r="E51" s="621"/>
      <c r="F51" s="622"/>
      <c r="G51" s="622"/>
      <c r="H51" s="621"/>
      <c r="I51" s="621"/>
      <c r="J51" s="621"/>
      <c r="K51" s="623"/>
      <c r="L51" s="624"/>
      <c r="M51" s="621"/>
      <c r="N51" s="3013"/>
      <c r="O51" s="3013"/>
      <c r="P51" s="389"/>
      <c r="Q51" s="390"/>
    </row>
    <row r="52" spans="1:17" s="394" customFormat="1" ht="15">
      <c r="A52" s="391" t="s">
        <v>2201</v>
      </c>
      <c r="B52" s="392"/>
      <c r="C52" s="1158" t="str">
        <f>YEAR(C7)&amp;"-"&amp;MONTH(C7)</f>
        <v>2022-2</v>
      </c>
      <c r="D52" s="1159">
        <f>EDATE(C52,-1)</f>
        <v>44562</v>
      </c>
      <c r="E52" s="1160">
        <f t="shared" ref="E52:O52" si="16">EDATE(D52,-1)</f>
        <v>44531</v>
      </c>
      <c r="F52" s="1160">
        <f t="shared" si="16"/>
        <v>44501</v>
      </c>
      <c r="G52" s="1160">
        <f t="shared" si="16"/>
        <v>44470</v>
      </c>
      <c r="H52" s="1160">
        <f t="shared" si="16"/>
        <v>44440</v>
      </c>
      <c r="I52" s="1160">
        <f t="shared" si="16"/>
        <v>44409</v>
      </c>
      <c r="J52" s="1160">
        <f t="shared" si="16"/>
        <v>44378</v>
      </c>
      <c r="K52" s="1160">
        <f t="shared" si="16"/>
        <v>44348</v>
      </c>
      <c r="L52" s="1160">
        <f t="shared" si="16"/>
        <v>44317</v>
      </c>
      <c r="M52" s="1160">
        <f t="shared" si="16"/>
        <v>44287</v>
      </c>
      <c r="N52" s="1160">
        <f t="shared" si="16"/>
        <v>44256</v>
      </c>
      <c r="O52" s="1160">
        <f t="shared" si="16"/>
        <v>44228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63</v>
      </c>
      <c r="E3" s="839" t="s">
        <v>2349</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56" t="s">
        <v>2189</v>
      </c>
      <c r="D4" s="3657"/>
      <c r="E4" s="3658" t="s">
        <v>2190</v>
      </c>
      <c r="F4" s="3659"/>
      <c r="G4" s="3656" t="s">
        <v>2191</v>
      </c>
      <c r="H4" s="3657"/>
      <c r="I4" s="3656" t="s">
        <v>2192</v>
      </c>
      <c r="J4" s="3657"/>
      <c r="K4" s="496" t="s">
        <v>2193</v>
      </c>
      <c r="L4" s="2995"/>
      <c r="M4" s="2996"/>
      <c r="N4" s="2996"/>
      <c r="O4" s="2996"/>
      <c r="P4" s="3660" t="s">
        <v>2194</v>
      </c>
      <c r="Q4" s="3661"/>
      <c r="R4" s="3643" t="s">
        <v>2190</v>
      </c>
      <c r="S4" s="3644"/>
      <c r="T4" s="3643" t="s">
        <v>2191</v>
      </c>
      <c r="U4" s="3644"/>
      <c r="V4" s="3666" t="s">
        <v>2192</v>
      </c>
      <c r="W4" s="3666"/>
      <c r="X4" s="1305"/>
      <c r="Y4" s="3643" t="s">
        <v>2194</v>
      </c>
      <c r="Z4" s="3644"/>
      <c r="AA4" s="3653" t="s">
        <v>2190</v>
      </c>
      <c r="AB4" s="3654" t="s">
        <v>2191</v>
      </c>
      <c r="AC4" s="3653" t="s">
        <v>2192</v>
      </c>
    </row>
    <row r="5" spans="1:29" ht="15">
      <c r="A5" s="297"/>
      <c r="B5" s="298"/>
      <c r="C5" s="3669" t="s">
        <v>2195</v>
      </c>
      <c r="D5" s="3670"/>
      <c r="E5" s="3667" t="s">
        <v>2196</v>
      </c>
      <c r="F5" s="3668"/>
      <c r="G5" s="3669" t="s">
        <v>2197</v>
      </c>
      <c r="H5" s="3670"/>
      <c r="I5" s="3669" t="s">
        <v>2198</v>
      </c>
      <c r="J5" s="3670"/>
      <c r="K5" s="496"/>
      <c r="L5" s="2995"/>
      <c r="M5" s="2996"/>
      <c r="N5" s="2996"/>
      <c r="O5" s="2996"/>
      <c r="P5" s="3662"/>
      <c r="Q5" s="3663"/>
      <c r="R5" s="3645"/>
      <c r="S5" s="3646"/>
      <c r="T5" s="3645"/>
      <c r="U5" s="3646"/>
      <c r="V5" s="3666"/>
      <c r="W5" s="3666"/>
      <c r="X5" s="1305"/>
      <c r="Y5" s="3645"/>
      <c r="Z5" s="3646"/>
      <c r="AA5" s="3654"/>
      <c r="AB5" s="3654"/>
      <c r="AC5" s="3654"/>
    </row>
    <row r="6" spans="1:29" ht="15.75" thickBot="1">
      <c r="A6" s="299"/>
      <c r="B6" s="300"/>
      <c r="C6" s="3671" t="s">
        <v>2199</v>
      </c>
      <c r="D6" s="3672"/>
      <c r="E6" s="3673" t="s">
        <v>2199</v>
      </c>
      <c r="F6" s="3674"/>
      <c r="G6" s="3671" t="s">
        <v>2199</v>
      </c>
      <c r="H6" s="3672"/>
      <c r="I6" s="3671" t="s">
        <v>2199</v>
      </c>
      <c r="J6" s="3672"/>
      <c r="K6" s="496" t="s">
        <v>2200</v>
      </c>
      <c r="L6" s="2995"/>
      <c r="M6" s="2996"/>
      <c r="N6" s="2996"/>
      <c r="O6" s="2996"/>
      <c r="P6" s="3664"/>
      <c r="Q6" s="3665"/>
      <c r="R6" s="3645"/>
      <c r="S6" s="3646"/>
      <c r="T6" s="3647"/>
      <c r="U6" s="3648"/>
      <c r="V6" s="3666"/>
      <c r="W6" s="3666"/>
      <c r="X6" s="1305"/>
      <c r="Y6" s="3647"/>
      <c r="Z6" s="3648"/>
      <c r="AA6" s="3655"/>
      <c r="AB6" s="3655"/>
      <c r="AC6" s="3655"/>
    </row>
    <row r="7" spans="1:29" s="25" customFormat="1" ht="15.75" thickBot="1">
      <c r="A7" s="301" t="s">
        <v>2201</v>
      </c>
      <c r="B7" s="302"/>
      <c r="C7" s="303">
        <f>'数据-取费表'!B2</f>
        <v>44610</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41" t="s">
        <v>2202</v>
      </c>
      <c r="Q7" s="3649"/>
      <c r="R7" s="627" t="s">
        <v>25</v>
      </c>
      <c r="S7" s="628">
        <f t="shared" ref="S7:S14" si="0">F7</f>
        <v>0</v>
      </c>
      <c r="T7" s="627" t="s">
        <v>25</v>
      </c>
      <c r="U7" s="628">
        <f t="shared" ref="U7:U14" si="1">H7</f>
        <v>0</v>
      </c>
      <c r="V7" s="627" t="s">
        <v>25</v>
      </c>
      <c r="W7" s="628">
        <f t="shared" ref="W7:W14" si="2">J7</f>
        <v>0</v>
      </c>
      <c r="X7" s="629"/>
      <c r="Y7" s="3641" t="s">
        <v>2202</v>
      </c>
      <c r="Z7" s="3642"/>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41" t="s">
        <v>2205</v>
      </c>
      <c r="Q8" s="3642"/>
      <c r="R8" s="627" t="s">
        <v>25</v>
      </c>
      <c r="S8" s="628">
        <f t="shared" si="0"/>
        <v>0</v>
      </c>
      <c r="T8" s="627" t="s">
        <v>25</v>
      </c>
      <c r="U8" s="628">
        <f t="shared" si="1"/>
        <v>0</v>
      </c>
      <c r="V8" s="627" t="s">
        <v>25</v>
      </c>
      <c r="W8" s="628">
        <f t="shared" si="2"/>
        <v>0</v>
      </c>
      <c r="X8" s="629"/>
      <c r="Y8" s="3641" t="s">
        <v>2205</v>
      </c>
      <c r="Z8" s="3642"/>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33" t="s">
        <v>2208</v>
      </c>
      <c r="Q9" s="1297" t="str">
        <f t="shared" ref="Q9:Q14" si="6">B9</f>
        <v>用途</v>
      </c>
      <c r="R9" s="627" t="s">
        <v>25</v>
      </c>
      <c r="S9" s="628">
        <f t="shared" si="0"/>
        <v>100</v>
      </c>
      <c r="T9" s="627" t="s">
        <v>25</v>
      </c>
      <c r="U9" s="628">
        <f t="shared" si="1"/>
        <v>100</v>
      </c>
      <c r="V9" s="627" t="s">
        <v>25</v>
      </c>
      <c r="W9" s="628">
        <f t="shared" si="2"/>
        <v>100</v>
      </c>
      <c r="X9" s="629"/>
      <c r="Y9" s="3652"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33"/>
      <c r="Q10" s="1297"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33"/>
      <c r="Q11" s="1297">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33"/>
      <c r="Q12" s="1297">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33"/>
      <c r="Q13" s="1297">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50" t="s">
        <v>2213</v>
      </c>
      <c r="Q14" s="1304" t="str">
        <f t="shared" si="6"/>
        <v>交通便捷度</v>
      </c>
      <c r="R14" s="631" t="s">
        <v>25</v>
      </c>
      <c r="S14" s="632">
        <f t="shared" si="0"/>
        <v>100</v>
      </c>
      <c r="T14" s="631" t="s">
        <v>25</v>
      </c>
      <c r="U14" s="632">
        <f t="shared" si="1"/>
        <v>100</v>
      </c>
      <c r="V14" s="631" t="s">
        <v>25</v>
      </c>
      <c r="W14" s="632">
        <f t="shared" si="2"/>
        <v>100</v>
      </c>
      <c r="X14" s="1305"/>
      <c r="Y14" s="3650"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51"/>
      <c r="Q15" s="1304"/>
      <c r="R15" s="631"/>
      <c r="S15" s="632"/>
      <c r="T15" s="631"/>
      <c r="U15" s="632"/>
      <c r="V15" s="631"/>
      <c r="W15" s="632"/>
      <c r="X15" s="1305"/>
      <c r="Y15" s="3651"/>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51"/>
      <c r="Q16" s="1304" t="str">
        <f>B16</f>
        <v>公共配套设施</v>
      </c>
      <c r="R16" s="631" t="s">
        <v>25</v>
      </c>
      <c r="S16" s="632">
        <f>F16</f>
        <v>100</v>
      </c>
      <c r="T16" s="631" t="s">
        <v>25</v>
      </c>
      <c r="U16" s="632">
        <f>H16</f>
        <v>100</v>
      </c>
      <c r="V16" s="631" t="s">
        <v>25</v>
      </c>
      <c r="W16" s="632">
        <f>J16</f>
        <v>100</v>
      </c>
      <c r="X16" s="1305"/>
      <c r="Y16" s="3651"/>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51"/>
      <c r="Q17" s="1304"/>
      <c r="R17" s="631"/>
      <c r="S17" s="632"/>
      <c r="T17" s="631"/>
      <c r="U17" s="632"/>
      <c r="V17" s="631"/>
      <c r="W17" s="632"/>
      <c r="X17" s="1305"/>
      <c r="Y17" s="3651"/>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51"/>
      <c r="Q18" s="1304" t="str">
        <f>B18</f>
        <v>基础设施水平</v>
      </c>
      <c r="R18" s="631" t="s">
        <v>25</v>
      </c>
      <c r="S18" s="632">
        <f>F18</f>
        <v>100</v>
      </c>
      <c r="T18" s="631" t="s">
        <v>25</v>
      </c>
      <c r="U18" s="632">
        <f>H18</f>
        <v>100</v>
      </c>
      <c r="V18" s="631" t="s">
        <v>25</v>
      </c>
      <c r="W18" s="632">
        <f>J18</f>
        <v>100</v>
      </c>
      <c r="X18" s="1305"/>
      <c r="Y18" s="3651"/>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51"/>
      <c r="Q19" s="1304"/>
      <c r="R19" s="631"/>
      <c r="S19" s="632"/>
      <c r="T19" s="631"/>
      <c r="U19" s="632"/>
      <c r="V19" s="631"/>
      <c r="W19" s="632"/>
      <c r="X19" s="1305"/>
      <c r="Y19" s="3651"/>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51"/>
      <c r="Q20" s="1304" t="str">
        <f>B20</f>
        <v>自然及人文环境</v>
      </c>
      <c r="R20" s="631" t="s">
        <v>25</v>
      </c>
      <c r="S20" s="632">
        <f>F20</f>
        <v>100</v>
      </c>
      <c r="T20" s="631" t="s">
        <v>25</v>
      </c>
      <c r="U20" s="632">
        <f>H20</f>
        <v>100</v>
      </c>
      <c r="V20" s="631" t="s">
        <v>25</v>
      </c>
      <c r="W20" s="632">
        <f>J20</f>
        <v>100</v>
      </c>
      <c r="X20" s="1305"/>
      <c r="Y20" s="3651"/>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51"/>
      <c r="Q21" s="1304"/>
      <c r="R21" s="631"/>
      <c r="S21" s="632"/>
      <c r="T21" s="631"/>
      <c r="U21" s="632"/>
      <c r="V21" s="631"/>
      <c r="W21" s="632"/>
      <c r="X21" s="1305"/>
      <c r="Y21" s="3651"/>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51"/>
      <c r="Q22" s="1304" t="str">
        <f>B22</f>
        <v>楼层</v>
      </c>
      <c r="R22" s="631" t="s">
        <v>25</v>
      </c>
      <c r="S22" s="632">
        <f>F22</f>
        <v>100</v>
      </c>
      <c r="T22" s="631" t="s">
        <v>25</v>
      </c>
      <c r="U22" s="632">
        <f>H22</f>
        <v>100</v>
      </c>
      <c r="V22" s="631" t="s">
        <v>25</v>
      </c>
      <c r="W22" s="632">
        <f>J22</f>
        <v>100</v>
      </c>
      <c r="X22" s="1305"/>
      <c r="Y22" s="3651"/>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51"/>
      <c r="Q23" s="1304">
        <f>B23</f>
        <v>111</v>
      </c>
      <c r="R23" s="631" t="s">
        <v>25</v>
      </c>
      <c r="S23" s="632">
        <f>F23</f>
        <v>100</v>
      </c>
      <c r="T23" s="631" t="s">
        <v>25</v>
      </c>
      <c r="U23" s="632">
        <f>H23</f>
        <v>100</v>
      </c>
      <c r="V23" s="631" t="s">
        <v>25</v>
      </c>
      <c r="W23" s="632">
        <f>J23</f>
        <v>100</v>
      </c>
      <c r="X23" s="1305"/>
      <c r="Y23" s="3651"/>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51"/>
      <c r="Q24" s="1304">
        <f t="shared" ref="Q24:Q36" si="11">B24</f>
        <v>111</v>
      </c>
      <c r="R24" s="631" t="s">
        <v>25</v>
      </c>
      <c r="S24" s="632">
        <f>F24</f>
        <v>100</v>
      </c>
      <c r="T24" s="631" t="s">
        <v>25</v>
      </c>
      <c r="U24" s="632">
        <f>H24</f>
        <v>100</v>
      </c>
      <c r="V24" s="631" t="s">
        <v>25</v>
      </c>
      <c r="W24" s="632">
        <f>J24</f>
        <v>100</v>
      </c>
      <c r="X24" s="1305"/>
      <c r="Y24" s="3651"/>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51"/>
      <c r="Q25" s="1297">
        <f t="shared" si="11"/>
        <v>111</v>
      </c>
      <c r="R25" s="627" t="s">
        <v>25</v>
      </c>
      <c r="S25" s="628">
        <f>F25</f>
        <v>100</v>
      </c>
      <c r="T25" s="627" t="s">
        <v>25</v>
      </c>
      <c r="U25" s="628">
        <f>H25</f>
        <v>100</v>
      </c>
      <c r="V25" s="627" t="s">
        <v>25</v>
      </c>
      <c r="W25" s="628">
        <f>J25</f>
        <v>100</v>
      </c>
      <c r="X25" s="629"/>
      <c r="Y25" s="3651"/>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38"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39"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39"/>
      <c r="Q27" s="633" t="str">
        <f t="shared" si="11"/>
        <v>项目停车位配比</v>
      </c>
      <c r="R27" s="634" t="s">
        <v>25</v>
      </c>
      <c r="S27" s="635">
        <f t="shared" si="12"/>
        <v>100</v>
      </c>
      <c r="T27" s="634" t="s">
        <v>25</v>
      </c>
      <c r="U27" s="635">
        <f t="shared" si="13"/>
        <v>100</v>
      </c>
      <c r="V27" s="634" t="s">
        <v>25</v>
      </c>
      <c r="W27" s="635">
        <f t="shared" si="14"/>
        <v>100</v>
      </c>
      <c r="X27" s="636"/>
      <c r="Y27" s="3639"/>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39"/>
      <c r="Q28" s="1304" t="str">
        <f t="shared" si="11"/>
        <v>公共部分装修</v>
      </c>
      <c r="R28" s="631" t="s">
        <v>25</v>
      </c>
      <c r="S28" s="632">
        <f t="shared" si="12"/>
        <v>100</v>
      </c>
      <c r="T28" s="631" t="s">
        <v>25</v>
      </c>
      <c r="U28" s="632">
        <f t="shared" si="13"/>
        <v>100</v>
      </c>
      <c r="V28" s="631" t="s">
        <v>25</v>
      </c>
      <c r="W28" s="632">
        <f t="shared" si="14"/>
        <v>100</v>
      </c>
      <c r="X28" s="1305"/>
      <c r="Y28" s="3639"/>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39"/>
      <c r="Q29" s="1304" t="str">
        <f t="shared" si="11"/>
        <v>成新率</v>
      </c>
      <c r="R29" s="631" t="s">
        <v>25</v>
      </c>
      <c r="S29" s="632" t="e">
        <f t="shared" si="12"/>
        <v>#N/A</v>
      </c>
      <c r="T29" s="631" t="s">
        <v>25</v>
      </c>
      <c r="U29" s="632" t="e">
        <f t="shared" si="13"/>
        <v>#N/A</v>
      </c>
      <c r="V29" s="631" t="s">
        <v>25</v>
      </c>
      <c r="W29" s="632" t="e">
        <f t="shared" si="14"/>
        <v>#N/A</v>
      </c>
      <c r="X29" s="1305"/>
      <c r="Y29" s="3639"/>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39"/>
      <c r="Q30" s="1304" t="str">
        <f t="shared" si="11"/>
        <v>物业等级</v>
      </c>
      <c r="R30" s="631" t="s">
        <v>25</v>
      </c>
      <c r="S30" s="632">
        <f t="shared" si="12"/>
        <v>100</v>
      </c>
      <c r="T30" s="631" t="s">
        <v>25</v>
      </c>
      <c r="U30" s="632">
        <f t="shared" si="13"/>
        <v>100</v>
      </c>
      <c r="V30" s="631" t="s">
        <v>25</v>
      </c>
      <c r="W30" s="632">
        <f t="shared" si="14"/>
        <v>100</v>
      </c>
      <c r="X30" s="1305"/>
      <c r="Y30" s="3639"/>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39"/>
      <c r="Q31" s="1297" t="str">
        <f t="shared" si="11"/>
        <v>停车位面积</v>
      </c>
      <c r="R31" s="627" t="s">
        <v>25</v>
      </c>
      <c r="S31" s="628" t="e">
        <f t="shared" si="12"/>
        <v>#N/A</v>
      </c>
      <c r="T31" s="627" t="s">
        <v>25</v>
      </c>
      <c r="U31" s="628" t="e">
        <f t="shared" si="13"/>
        <v>#N/A</v>
      </c>
      <c r="V31" s="627" t="s">
        <v>25</v>
      </c>
      <c r="W31" s="628" t="e">
        <f t="shared" si="14"/>
        <v>#N/A</v>
      </c>
      <c r="X31" s="629"/>
      <c r="Y31" s="3639"/>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39" t="s">
        <v>2219</v>
      </c>
      <c r="Q32" s="1304" t="str">
        <f t="shared" si="11"/>
        <v>车位类型</v>
      </c>
      <c r="R32" s="631" t="s">
        <v>25</v>
      </c>
      <c r="S32" s="632">
        <f t="shared" si="12"/>
        <v>100</v>
      </c>
      <c r="T32" s="631" t="s">
        <v>25</v>
      </c>
      <c r="U32" s="632">
        <f t="shared" si="13"/>
        <v>100</v>
      </c>
      <c r="V32" s="631" t="s">
        <v>25</v>
      </c>
      <c r="W32" s="632">
        <f t="shared" si="14"/>
        <v>100</v>
      </c>
      <c r="X32" s="1305"/>
      <c r="Y32" s="3639"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39"/>
      <c r="Q33" s="1304" t="str">
        <f t="shared" si="11"/>
        <v>是否直接入户</v>
      </c>
      <c r="R33" s="631" t="s">
        <v>25</v>
      </c>
      <c r="S33" s="632">
        <f t="shared" si="12"/>
        <v>100</v>
      </c>
      <c r="T33" s="631" t="s">
        <v>25</v>
      </c>
      <c r="U33" s="632">
        <f t="shared" si="13"/>
        <v>100</v>
      </c>
      <c r="V33" s="631" t="s">
        <v>25</v>
      </c>
      <c r="W33" s="632">
        <f t="shared" si="14"/>
        <v>100</v>
      </c>
      <c r="X33" s="1305"/>
      <c r="Y33" s="3639"/>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39"/>
      <c r="Q34" s="1304">
        <f t="shared" si="11"/>
        <v>111</v>
      </c>
      <c r="R34" s="631" t="s">
        <v>25</v>
      </c>
      <c r="S34" s="632">
        <f t="shared" si="12"/>
        <v>100</v>
      </c>
      <c r="T34" s="631" t="s">
        <v>25</v>
      </c>
      <c r="U34" s="632">
        <f t="shared" si="13"/>
        <v>100</v>
      </c>
      <c r="V34" s="631" t="s">
        <v>25</v>
      </c>
      <c r="W34" s="632">
        <f t="shared" si="14"/>
        <v>100</v>
      </c>
      <c r="X34" s="1305"/>
      <c r="Y34" s="3639"/>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39"/>
      <c r="Q35" s="633">
        <f t="shared" si="11"/>
        <v>111</v>
      </c>
      <c r="R35" s="634" t="s">
        <v>25</v>
      </c>
      <c r="S35" s="635">
        <f t="shared" si="12"/>
        <v>100</v>
      </c>
      <c r="T35" s="634" t="s">
        <v>25</v>
      </c>
      <c r="U35" s="635">
        <f t="shared" si="13"/>
        <v>100</v>
      </c>
      <c r="V35" s="634" t="s">
        <v>25</v>
      </c>
      <c r="W35" s="635">
        <f t="shared" si="14"/>
        <v>100</v>
      </c>
      <c r="X35" s="636"/>
      <c r="Y35" s="3639"/>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39"/>
      <c r="Q36" s="1304">
        <f t="shared" si="11"/>
        <v>111</v>
      </c>
      <c r="R36" s="631" t="s">
        <v>25</v>
      </c>
      <c r="S36" s="632">
        <f t="shared" si="12"/>
        <v>100</v>
      </c>
      <c r="T36" s="631" t="s">
        <v>25</v>
      </c>
      <c r="U36" s="632">
        <f t="shared" si="13"/>
        <v>100</v>
      </c>
      <c r="V36" s="631" t="s">
        <v>25</v>
      </c>
      <c r="W36" s="632">
        <f t="shared" si="14"/>
        <v>100</v>
      </c>
      <c r="X36" s="1305"/>
      <c r="Y36" s="3639"/>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7"/>
      <c r="N37" s="2996"/>
      <c r="P37" s="3633" t="str">
        <f>A37</f>
        <v>成交单价</v>
      </c>
      <c r="Q37" s="3633"/>
      <c r="R37" s="3634">
        <f>E37</f>
        <v>0</v>
      </c>
      <c r="S37" s="3634"/>
      <c r="T37" s="3634">
        <f>G37</f>
        <v>0</v>
      </c>
      <c r="U37" s="3634"/>
      <c r="V37" s="3634">
        <f>I37</f>
        <v>0</v>
      </c>
      <c r="W37" s="3634"/>
      <c r="X37" s="618"/>
      <c r="Y37" s="638"/>
      <c r="Z37" s="618"/>
      <c r="AA37" s="618"/>
      <c r="AB37" s="618"/>
      <c r="AC37" s="618"/>
    </row>
    <row r="38" spans="1:29" ht="15.75" thickBot="1">
      <c r="A38" s="374" t="s">
        <v>2363</v>
      </c>
      <c r="B38" s="375" t="str">
        <f>B37</f>
        <v>元/平方米</v>
      </c>
      <c r="C38" s="1130" t="e">
        <f>R39</f>
        <v>#DIV/0!</v>
      </c>
      <c r="D38" s="1767" t="s">
        <v>2685</v>
      </c>
      <c r="E38" s="1131" t="e">
        <f>R38</f>
        <v>#DIV/0!</v>
      </c>
      <c r="F38" s="1769"/>
      <c r="G38" s="1130" t="e">
        <f>T38</f>
        <v>#DIV/0!</v>
      </c>
      <c r="H38" s="1769"/>
      <c r="I38" s="1131" t="e">
        <f>V38</f>
        <v>#DIV/0!</v>
      </c>
      <c r="J38" s="1769"/>
      <c r="K38" s="2481">
        <f>F38+H38+J38</f>
        <v>0</v>
      </c>
      <c r="L38" s="3007"/>
      <c r="P38" s="3633" t="str">
        <f>A38</f>
        <v>比较价值</v>
      </c>
      <c r="Q38" s="3633"/>
      <c r="R38" s="3634" t="e">
        <f>IF(E1="售价",ROUND(PRODUCT(R37,AA7:AA36),0),ROUND(PRODUCT(R37,AA7:AA36),1))</f>
        <v>#DIV/0!</v>
      </c>
      <c r="S38" s="3634"/>
      <c r="T38" s="3634" t="e">
        <f>IF(E1="售价",ROUND(PRODUCT(T37,AB7:AB36),0),ROUND(PRODUCT(T37,AB7:AB36),1))</f>
        <v>#DIV/0!</v>
      </c>
      <c r="U38" s="3634"/>
      <c r="V38" s="3634" t="e">
        <f>IF(E1="售价",ROUND(PRODUCT(V37,AC7:AC36),0),ROUND(PRODUCT(V37,AC7:AC36),1))</f>
        <v>#DIV/0!</v>
      </c>
      <c r="W38" s="3634"/>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7"/>
      <c r="P39" s="3635" t="str">
        <f>A39</f>
        <v>估价对象XX用房的比较价值（楼面单价，元/平方米）</v>
      </c>
      <c r="Q39" s="3636"/>
      <c r="R39" s="3637" t="e">
        <f>IF(E1="售价",ROUND(IF(D38="简单平均",AVERAGE(R38:W38),R38*F38+T38*H38+V38*J38),0),ROUND(IF(D38="简单平均",AVERAGE(R38:V38),R38*F38+T38*H38+V38*J38),1))</f>
        <v>#DIV/0!</v>
      </c>
      <c r="S39" s="3637"/>
      <c r="T39" s="3637"/>
      <c r="U39" s="3637"/>
      <c r="V39" s="3637"/>
      <c r="W39" s="3637"/>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2022-2</v>
      </c>
      <c r="D48" s="1159">
        <f>EDATE(C48,-1)</f>
        <v>44562</v>
      </c>
      <c r="E48" s="1159">
        <f t="shared" ref="E48:O48" si="16">EDATE(D48,-1)</f>
        <v>44531</v>
      </c>
      <c r="F48" s="1159">
        <f t="shared" si="16"/>
        <v>44501</v>
      </c>
      <c r="G48" s="1159">
        <f t="shared" si="16"/>
        <v>44470</v>
      </c>
      <c r="H48" s="1159">
        <f t="shared" si="16"/>
        <v>44440</v>
      </c>
      <c r="I48" s="1159">
        <f t="shared" si="16"/>
        <v>44409</v>
      </c>
      <c r="J48" s="1159">
        <f t="shared" si="16"/>
        <v>44378</v>
      </c>
      <c r="K48" s="1159">
        <f t="shared" si="16"/>
        <v>44348</v>
      </c>
      <c r="L48" s="1159">
        <f t="shared" si="16"/>
        <v>44317</v>
      </c>
      <c r="M48" s="1159">
        <f t="shared" si="16"/>
        <v>44287</v>
      </c>
      <c r="N48" s="1159">
        <f t="shared" si="16"/>
        <v>44256</v>
      </c>
      <c r="O48" s="1159">
        <f t="shared" si="16"/>
        <v>44228</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2686</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63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56" t="s">
        <v>2189</v>
      </c>
      <c r="D4" s="3657"/>
      <c r="E4" s="3658" t="s">
        <v>2190</v>
      </c>
      <c r="F4" s="3659"/>
      <c r="G4" s="3656" t="s">
        <v>2191</v>
      </c>
      <c r="H4" s="3657"/>
      <c r="I4" s="3656" t="s">
        <v>2192</v>
      </c>
      <c r="J4" s="3657"/>
      <c r="K4" s="496" t="s">
        <v>2193</v>
      </c>
      <c r="L4" s="2995"/>
      <c r="M4" s="2996"/>
      <c r="N4" s="2996"/>
      <c r="O4" s="2996"/>
      <c r="P4" s="3660" t="s">
        <v>2194</v>
      </c>
      <c r="Q4" s="3661"/>
      <c r="R4" s="3643" t="s">
        <v>2190</v>
      </c>
      <c r="S4" s="3644"/>
      <c r="T4" s="3643" t="s">
        <v>2191</v>
      </c>
      <c r="U4" s="3644"/>
      <c r="V4" s="3666" t="s">
        <v>2192</v>
      </c>
      <c r="W4" s="3666"/>
      <c r="X4" s="1305"/>
      <c r="Y4" s="3643" t="s">
        <v>2194</v>
      </c>
      <c r="Z4" s="3644"/>
      <c r="AA4" s="3653" t="s">
        <v>2190</v>
      </c>
      <c r="AB4" s="3654" t="s">
        <v>2191</v>
      </c>
      <c r="AC4" s="3653" t="s">
        <v>2192</v>
      </c>
    </row>
    <row r="5" spans="1:29" ht="15">
      <c r="A5" s="297"/>
      <c r="B5" s="298"/>
      <c r="C5" s="3669" t="s">
        <v>2195</v>
      </c>
      <c r="D5" s="3670"/>
      <c r="E5" s="3667" t="s">
        <v>2196</v>
      </c>
      <c r="F5" s="3668"/>
      <c r="G5" s="3669" t="s">
        <v>2197</v>
      </c>
      <c r="H5" s="3670"/>
      <c r="I5" s="3669" t="s">
        <v>2198</v>
      </c>
      <c r="J5" s="3670"/>
      <c r="K5" s="496"/>
      <c r="L5" s="2995"/>
      <c r="M5" s="2996"/>
      <c r="N5" s="2996"/>
      <c r="O5" s="2996"/>
      <c r="P5" s="3662"/>
      <c r="Q5" s="3663"/>
      <c r="R5" s="3645"/>
      <c r="S5" s="3646"/>
      <c r="T5" s="3645"/>
      <c r="U5" s="3646"/>
      <c r="V5" s="3666"/>
      <c r="W5" s="3666"/>
      <c r="X5" s="1305"/>
      <c r="Y5" s="3645"/>
      <c r="Z5" s="3646"/>
      <c r="AA5" s="3654"/>
      <c r="AB5" s="3654"/>
      <c r="AC5" s="3654"/>
    </row>
    <row r="6" spans="1:29" ht="15.75" thickBot="1">
      <c r="A6" s="299"/>
      <c r="B6" s="300"/>
      <c r="C6" s="3671" t="s">
        <v>2199</v>
      </c>
      <c r="D6" s="3672"/>
      <c r="E6" s="3673" t="s">
        <v>2199</v>
      </c>
      <c r="F6" s="3674"/>
      <c r="G6" s="3671" t="s">
        <v>2199</v>
      </c>
      <c r="H6" s="3672"/>
      <c r="I6" s="3671" t="s">
        <v>2199</v>
      </c>
      <c r="J6" s="3672"/>
      <c r="K6" s="496" t="s">
        <v>2200</v>
      </c>
      <c r="L6" s="2995"/>
      <c r="M6" s="2996"/>
      <c r="N6" s="2996"/>
      <c r="O6" s="2996"/>
      <c r="P6" s="3664"/>
      <c r="Q6" s="3665"/>
      <c r="R6" s="3645"/>
      <c r="S6" s="3646"/>
      <c r="T6" s="3647"/>
      <c r="U6" s="3648"/>
      <c r="V6" s="3666"/>
      <c r="W6" s="3666"/>
      <c r="X6" s="1305"/>
      <c r="Y6" s="3647"/>
      <c r="Z6" s="3648"/>
      <c r="AA6" s="3655"/>
      <c r="AB6" s="3655"/>
      <c r="AC6" s="3655"/>
    </row>
    <row r="7" spans="1:29" s="25" customFormat="1" ht="15.75" thickBot="1">
      <c r="A7" s="301" t="s">
        <v>2201</v>
      </c>
      <c r="B7" s="302"/>
      <c r="C7" s="303">
        <f>'数据-取费表'!B2</f>
        <v>44610</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41" t="s">
        <v>2202</v>
      </c>
      <c r="Q7" s="3649"/>
      <c r="R7" s="627" t="s">
        <v>25</v>
      </c>
      <c r="S7" s="628">
        <f t="shared" ref="S7:S14" si="0">F7</f>
        <v>0</v>
      </c>
      <c r="T7" s="627" t="s">
        <v>25</v>
      </c>
      <c r="U7" s="628">
        <f t="shared" ref="U7:U14" si="1">H7</f>
        <v>0</v>
      </c>
      <c r="V7" s="627" t="s">
        <v>25</v>
      </c>
      <c r="W7" s="628">
        <f t="shared" ref="W7:W14" si="2">J7</f>
        <v>0</v>
      </c>
      <c r="X7" s="629"/>
      <c r="Y7" s="3641" t="s">
        <v>2202</v>
      </c>
      <c r="Z7" s="3642"/>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41" t="s">
        <v>2205</v>
      </c>
      <c r="Q8" s="3642"/>
      <c r="R8" s="627" t="s">
        <v>25</v>
      </c>
      <c r="S8" s="628">
        <f t="shared" si="0"/>
        <v>0</v>
      </c>
      <c r="T8" s="627" t="s">
        <v>25</v>
      </c>
      <c r="U8" s="628">
        <f t="shared" si="1"/>
        <v>0</v>
      </c>
      <c r="V8" s="627" t="s">
        <v>25</v>
      </c>
      <c r="W8" s="628">
        <f t="shared" si="2"/>
        <v>0</v>
      </c>
      <c r="X8" s="629"/>
      <c r="Y8" s="3641" t="s">
        <v>2205</v>
      </c>
      <c r="Z8" s="3642"/>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33" t="s">
        <v>2208</v>
      </c>
      <c r="Q9" s="1297" t="str">
        <f t="shared" ref="Q9:Q14" si="6">B9</f>
        <v>用途</v>
      </c>
      <c r="R9" s="627" t="s">
        <v>25</v>
      </c>
      <c r="S9" s="628">
        <f t="shared" si="0"/>
        <v>100</v>
      </c>
      <c r="T9" s="627" t="s">
        <v>25</v>
      </c>
      <c r="U9" s="628">
        <f t="shared" si="1"/>
        <v>100</v>
      </c>
      <c r="V9" s="627" t="s">
        <v>25</v>
      </c>
      <c r="W9" s="628">
        <f t="shared" si="2"/>
        <v>100</v>
      </c>
      <c r="X9" s="629"/>
      <c r="Y9" s="3652"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33"/>
      <c r="Q10" s="1297"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33"/>
      <c r="Q11" s="1297">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33"/>
      <c r="Q12" s="1297">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33"/>
      <c r="Q13" s="1297">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50" t="s">
        <v>2213</v>
      </c>
      <c r="Q14" s="1304" t="str">
        <f t="shared" si="6"/>
        <v>交通便捷度</v>
      </c>
      <c r="R14" s="631" t="s">
        <v>25</v>
      </c>
      <c r="S14" s="632">
        <f t="shared" si="0"/>
        <v>100</v>
      </c>
      <c r="T14" s="631" t="s">
        <v>25</v>
      </c>
      <c r="U14" s="632">
        <f t="shared" si="1"/>
        <v>100</v>
      </c>
      <c r="V14" s="631" t="s">
        <v>25</v>
      </c>
      <c r="W14" s="632">
        <f t="shared" si="2"/>
        <v>100</v>
      </c>
      <c r="X14" s="1305"/>
      <c r="Y14" s="3650"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51"/>
      <c r="Q15" s="1304"/>
      <c r="R15" s="631"/>
      <c r="S15" s="632"/>
      <c r="T15" s="631"/>
      <c r="U15" s="632"/>
      <c r="V15" s="631"/>
      <c r="W15" s="632"/>
      <c r="X15" s="1305"/>
      <c r="Y15" s="3651"/>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51"/>
      <c r="Q16" s="1304" t="str">
        <f>B16</f>
        <v>公共配套设施</v>
      </c>
      <c r="R16" s="631" t="s">
        <v>25</v>
      </c>
      <c r="S16" s="632">
        <f>F16</f>
        <v>100</v>
      </c>
      <c r="T16" s="631" t="s">
        <v>25</v>
      </c>
      <c r="U16" s="632">
        <f>H16</f>
        <v>100</v>
      </c>
      <c r="V16" s="631" t="s">
        <v>25</v>
      </c>
      <c r="W16" s="632">
        <f>J16</f>
        <v>100</v>
      </c>
      <c r="X16" s="1305"/>
      <c r="Y16" s="3651"/>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51"/>
      <c r="Q17" s="1304"/>
      <c r="R17" s="631"/>
      <c r="S17" s="632"/>
      <c r="T17" s="631"/>
      <c r="U17" s="632"/>
      <c r="V17" s="631"/>
      <c r="W17" s="632"/>
      <c r="X17" s="1305"/>
      <c r="Y17" s="3651"/>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51"/>
      <c r="Q18" s="1304" t="str">
        <f>B18</f>
        <v>基础设施水平</v>
      </c>
      <c r="R18" s="631" t="s">
        <v>25</v>
      </c>
      <c r="S18" s="632">
        <f>F18</f>
        <v>100</v>
      </c>
      <c r="T18" s="631" t="s">
        <v>25</v>
      </c>
      <c r="U18" s="632">
        <f>H18</f>
        <v>100</v>
      </c>
      <c r="V18" s="631" t="s">
        <v>25</v>
      </c>
      <c r="W18" s="632">
        <f>J18</f>
        <v>100</v>
      </c>
      <c r="X18" s="1305"/>
      <c r="Y18" s="3651"/>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51"/>
      <c r="Q19" s="1304"/>
      <c r="R19" s="631"/>
      <c r="S19" s="632"/>
      <c r="T19" s="631"/>
      <c r="U19" s="632"/>
      <c r="V19" s="631"/>
      <c r="W19" s="632"/>
      <c r="X19" s="1305"/>
      <c r="Y19" s="3651"/>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51"/>
      <c r="Q20" s="1304" t="str">
        <f>B20</f>
        <v>自然及人文环境</v>
      </c>
      <c r="R20" s="631" t="s">
        <v>25</v>
      </c>
      <c r="S20" s="632">
        <f>F20</f>
        <v>100</v>
      </c>
      <c r="T20" s="631" t="s">
        <v>25</v>
      </c>
      <c r="U20" s="632">
        <f>H20</f>
        <v>100</v>
      </c>
      <c r="V20" s="631" t="s">
        <v>25</v>
      </c>
      <c r="W20" s="632">
        <f>J20</f>
        <v>100</v>
      </c>
      <c r="X20" s="1305"/>
      <c r="Y20" s="3651"/>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51"/>
      <c r="Q21" s="1304"/>
      <c r="R21" s="631"/>
      <c r="S21" s="632"/>
      <c r="T21" s="631"/>
      <c r="U21" s="632"/>
      <c r="V21" s="631"/>
      <c r="W21" s="632"/>
      <c r="X21" s="1305"/>
      <c r="Y21" s="3651"/>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51"/>
      <c r="Q22" s="1304" t="str">
        <f>B22</f>
        <v>楼层</v>
      </c>
      <c r="R22" s="631" t="s">
        <v>25</v>
      </c>
      <c r="S22" s="632">
        <f>F22</f>
        <v>100</v>
      </c>
      <c r="T22" s="631" t="s">
        <v>25</v>
      </c>
      <c r="U22" s="632">
        <f>H22</f>
        <v>100</v>
      </c>
      <c r="V22" s="631" t="s">
        <v>25</v>
      </c>
      <c r="W22" s="632">
        <f>J22</f>
        <v>100</v>
      </c>
      <c r="X22" s="1305"/>
      <c r="Y22" s="3651"/>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51"/>
      <c r="Q23" s="1304">
        <f>B23</f>
        <v>111</v>
      </c>
      <c r="R23" s="631" t="s">
        <v>25</v>
      </c>
      <c r="S23" s="632">
        <f>F23</f>
        <v>100</v>
      </c>
      <c r="T23" s="631" t="s">
        <v>25</v>
      </c>
      <c r="U23" s="632">
        <f>H23</f>
        <v>100</v>
      </c>
      <c r="V23" s="631" t="s">
        <v>25</v>
      </c>
      <c r="W23" s="632">
        <f>J23</f>
        <v>100</v>
      </c>
      <c r="X23" s="1305"/>
      <c r="Y23" s="3651"/>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51"/>
      <c r="Q24" s="1304">
        <f t="shared" ref="Q24:Q34" si="11">B24</f>
        <v>111</v>
      </c>
      <c r="R24" s="631" t="s">
        <v>25</v>
      </c>
      <c r="S24" s="632">
        <f>F24</f>
        <v>100</v>
      </c>
      <c r="T24" s="631" t="s">
        <v>25</v>
      </c>
      <c r="U24" s="632">
        <f>H24</f>
        <v>100</v>
      </c>
      <c r="V24" s="631" t="s">
        <v>25</v>
      </c>
      <c r="W24" s="632">
        <f>J24</f>
        <v>100</v>
      </c>
      <c r="X24" s="1305"/>
      <c r="Y24" s="3651"/>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51"/>
      <c r="Q25" s="1297">
        <f t="shared" si="11"/>
        <v>111</v>
      </c>
      <c r="R25" s="627" t="s">
        <v>25</v>
      </c>
      <c r="S25" s="628">
        <f>F25</f>
        <v>100</v>
      </c>
      <c r="T25" s="627" t="s">
        <v>25</v>
      </c>
      <c r="U25" s="628">
        <f>H25</f>
        <v>100</v>
      </c>
      <c r="V25" s="627" t="s">
        <v>25</v>
      </c>
      <c r="W25" s="628">
        <f>J25</f>
        <v>100</v>
      </c>
      <c r="X25" s="629"/>
      <c r="Y25" s="3651"/>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38"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39"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39"/>
      <c r="Q27" s="633" t="str">
        <f t="shared" si="11"/>
        <v>成新率</v>
      </c>
      <c r="R27" s="634" t="s">
        <v>25</v>
      </c>
      <c r="S27" s="635" t="e">
        <f t="shared" si="12"/>
        <v>#N/A</v>
      </c>
      <c r="T27" s="634" t="s">
        <v>25</v>
      </c>
      <c r="U27" s="635" t="e">
        <f t="shared" si="13"/>
        <v>#N/A</v>
      </c>
      <c r="V27" s="634" t="s">
        <v>25</v>
      </c>
      <c r="W27" s="635" t="e">
        <f t="shared" si="14"/>
        <v>#N/A</v>
      </c>
      <c r="X27" s="636"/>
      <c r="Y27" s="3639"/>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39"/>
      <c r="Q28" s="1304" t="str">
        <f t="shared" si="11"/>
        <v>物业等级</v>
      </c>
      <c r="R28" s="631" t="s">
        <v>25</v>
      </c>
      <c r="S28" s="632">
        <f t="shared" si="12"/>
        <v>100</v>
      </c>
      <c r="T28" s="631" t="s">
        <v>25</v>
      </c>
      <c r="U28" s="632">
        <f t="shared" si="13"/>
        <v>100</v>
      </c>
      <c r="V28" s="631" t="s">
        <v>25</v>
      </c>
      <c r="W28" s="632">
        <f t="shared" si="14"/>
        <v>100</v>
      </c>
      <c r="X28" s="1305"/>
      <c r="Y28" s="3639"/>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39"/>
      <c r="Q29" s="1304" t="str">
        <f t="shared" si="11"/>
        <v>有无电梯</v>
      </c>
      <c r="R29" s="631" t="s">
        <v>25</v>
      </c>
      <c r="S29" s="632">
        <f t="shared" si="12"/>
        <v>100</v>
      </c>
      <c r="T29" s="631" t="s">
        <v>25</v>
      </c>
      <c r="U29" s="632">
        <f t="shared" si="13"/>
        <v>100</v>
      </c>
      <c r="V29" s="631" t="s">
        <v>25</v>
      </c>
      <c r="W29" s="632">
        <f t="shared" si="14"/>
        <v>100</v>
      </c>
      <c r="X29" s="1305"/>
      <c r="Y29" s="3639"/>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39"/>
      <c r="Q30" s="1304" t="str">
        <f t="shared" si="11"/>
        <v>建筑面积</v>
      </c>
      <c r="R30" s="631" t="s">
        <v>25</v>
      </c>
      <c r="S30" s="632" t="e">
        <f t="shared" si="12"/>
        <v>#N/A</v>
      </c>
      <c r="T30" s="631" t="s">
        <v>25</v>
      </c>
      <c r="U30" s="632" t="e">
        <f t="shared" si="13"/>
        <v>#N/A</v>
      </c>
      <c r="V30" s="631" t="s">
        <v>25</v>
      </c>
      <c r="W30" s="632" t="e">
        <f t="shared" si="14"/>
        <v>#N/A</v>
      </c>
      <c r="X30" s="1305"/>
      <c r="Y30" s="3639"/>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39"/>
      <c r="Q31" s="1297" t="str">
        <f t="shared" si="11"/>
        <v>是否封闭</v>
      </c>
      <c r="R31" s="627" t="s">
        <v>25</v>
      </c>
      <c r="S31" s="628">
        <f t="shared" si="12"/>
        <v>100</v>
      </c>
      <c r="T31" s="627" t="s">
        <v>25</v>
      </c>
      <c r="U31" s="628">
        <f t="shared" si="13"/>
        <v>100</v>
      </c>
      <c r="V31" s="627" t="s">
        <v>25</v>
      </c>
      <c r="W31" s="628">
        <f t="shared" si="14"/>
        <v>100</v>
      </c>
      <c r="X31" s="629"/>
      <c r="Y31" s="3639"/>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39" t="s">
        <v>2219</v>
      </c>
      <c r="Q32" s="1304">
        <f t="shared" si="11"/>
        <v>111</v>
      </c>
      <c r="R32" s="631" t="s">
        <v>25</v>
      </c>
      <c r="S32" s="632">
        <f t="shared" si="12"/>
        <v>100</v>
      </c>
      <c r="T32" s="631" t="s">
        <v>25</v>
      </c>
      <c r="U32" s="632">
        <f t="shared" si="13"/>
        <v>100</v>
      </c>
      <c r="V32" s="631" t="s">
        <v>25</v>
      </c>
      <c r="W32" s="632">
        <f t="shared" si="14"/>
        <v>100</v>
      </c>
      <c r="X32" s="1305"/>
      <c r="Y32" s="3639"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39"/>
      <c r="Q33" s="1304">
        <f t="shared" si="11"/>
        <v>111</v>
      </c>
      <c r="R33" s="631" t="s">
        <v>25</v>
      </c>
      <c r="S33" s="632">
        <f t="shared" si="12"/>
        <v>100</v>
      </c>
      <c r="T33" s="631" t="s">
        <v>25</v>
      </c>
      <c r="U33" s="632">
        <f t="shared" si="13"/>
        <v>100</v>
      </c>
      <c r="V33" s="631" t="s">
        <v>25</v>
      </c>
      <c r="W33" s="632">
        <f t="shared" si="14"/>
        <v>100</v>
      </c>
      <c r="X33" s="1305"/>
      <c r="Y33" s="3639"/>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39"/>
      <c r="Q34" s="1304">
        <f t="shared" si="11"/>
        <v>111</v>
      </c>
      <c r="R34" s="631" t="s">
        <v>25</v>
      </c>
      <c r="S34" s="632">
        <f t="shared" si="12"/>
        <v>100</v>
      </c>
      <c r="T34" s="631" t="s">
        <v>25</v>
      </c>
      <c r="U34" s="632">
        <f t="shared" si="13"/>
        <v>100</v>
      </c>
      <c r="V34" s="631" t="s">
        <v>25</v>
      </c>
      <c r="W34" s="632">
        <f t="shared" si="14"/>
        <v>100</v>
      </c>
      <c r="X34" s="1305"/>
      <c r="Y34" s="3639"/>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7"/>
      <c r="N35" s="2996"/>
      <c r="P35" s="3633" t="str">
        <f>A35</f>
        <v>成交单价（元/平方米）</v>
      </c>
      <c r="Q35" s="3633"/>
      <c r="R35" s="3634">
        <f>E35</f>
        <v>0</v>
      </c>
      <c r="S35" s="3634"/>
      <c r="T35" s="3634">
        <f>G35</f>
        <v>0</v>
      </c>
      <c r="U35" s="3634"/>
      <c r="V35" s="3634">
        <f>I35</f>
        <v>0</v>
      </c>
      <c r="W35" s="3634"/>
      <c r="X35" s="618"/>
      <c r="Y35" s="638"/>
      <c r="Z35" s="618"/>
      <c r="AA35" s="618"/>
      <c r="AB35" s="618"/>
      <c r="AC35" s="618"/>
    </row>
    <row r="36" spans="1:29" ht="15.75" thickBot="1">
      <c r="A36" s="374" t="s">
        <v>2314</v>
      </c>
      <c r="B36" s="375"/>
      <c r="C36" s="1130" t="e">
        <f>R37</f>
        <v>#DIV/0!</v>
      </c>
      <c r="D36" s="1767" t="s">
        <v>2685</v>
      </c>
      <c r="E36" s="1131" t="e">
        <f>R36</f>
        <v>#DIV/0!</v>
      </c>
      <c r="F36" s="1769"/>
      <c r="G36" s="1130" t="e">
        <f>T36</f>
        <v>#DIV/0!</v>
      </c>
      <c r="H36" s="1769"/>
      <c r="I36" s="1131" t="e">
        <f>V36</f>
        <v>#DIV/0!</v>
      </c>
      <c r="J36" s="1769"/>
      <c r="K36" s="2481">
        <f>F36+H36+J36</f>
        <v>0</v>
      </c>
      <c r="L36" s="3007"/>
      <c r="N36" s="2996"/>
      <c r="P36" s="3633" t="str">
        <f>A36</f>
        <v>比较价值（元/平方米）</v>
      </c>
      <c r="Q36" s="3633"/>
      <c r="R36" s="3634" t="e">
        <f>IF(E1="售价",ROUND(PRODUCT(R35,AA7:AA34),0),ROUND(PRODUCT(R35,AA7:AA34),1))</f>
        <v>#DIV/0!</v>
      </c>
      <c r="S36" s="3634"/>
      <c r="T36" s="3634" t="e">
        <f>IF(E1="售价",ROUND(PRODUCT(T35,AB7:AB34),0),ROUND(PRODUCT(T35,AB7:AB34),1))</f>
        <v>#DIV/0!</v>
      </c>
      <c r="U36" s="3634"/>
      <c r="V36" s="3634" t="e">
        <f>IF(E1="售价",ROUND(PRODUCT(V35,AC7:AC34),0),ROUND(PRODUCT(V35,AC7:AC34),1))</f>
        <v>#DIV/0!</v>
      </c>
      <c r="W36" s="3634"/>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7"/>
      <c r="P37" s="3635" t="str">
        <f>A37</f>
        <v>估价对象XX用房的比较价值（楼面单价，元/平方米）</v>
      </c>
      <c r="Q37" s="3636"/>
      <c r="R37" s="3637" t="e">
        <f>IF(E1="售价",ROUND(IF(D36="简单平均",AVERAGE(R36:W36),R36*F36+T36*H36+V36*J36),0),ROUND(IF(D36="简单平均",AVERAGE(R36:V36),R36*F36+T36*H36+V36*J36),1))</f>
        <v>#DIV/0!</v>
      </c>
      <c r="S37" s="3637"/>
      <c r="T37" s="3637"/>
      <c r="U37" s="3637"/>
      <c r="V37" s="3637"/>
      <c r="W37" s="3637"/>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2319</v>
      </c>
      <c r="B45" s="618"/>
      <c r="C45" s="621"/>
      <c r="D45" s="621"/>
      <c r="E45" s="621"/>
      <c r="F45" s="622"/>
      <c r="G45" s="622"/>
      <c r="H45" s="621"/>
      <c r="I45" s="621"/>
      <c r="J45" s="621"/>
      <c r="K45" s="623"/>
      <c r="L45" s="624"/>
      <c r="M45" s="621"/>
      <c r="N45" s="3013"/>
      <c r="O45" s="3013"/>
      <c r="P45" s="389"/>
      <c r="Q45" s="390"/>
    </row>
    <row r="46" spans="1:29" s="394" customFormat="1" ht="15">
      <c r="A46" s="391" t="s">
        <v>2201</v>
      </c>
      <c r="B46" s="392"/>
      <c r="C46" s="1158" t="str">
        <f>YEAR(C7)&amp;"-"&amp;MONTH(C7)</f>
        <v>2022-2</v>
      </c>
      <c r="D46" s="1159">
        <f>EDATE(C46,-1)</f>
        <v>44562</v>
      </c>
      <c r="E46" s="1159">
        <f t="shared" ref="E46:O46" si="16">EDATE(D46,-1)</f>
        <v>44531</v>
      </c>
      <c r="F46" s="1159">
        <f t="shared" si="16"/>
        <v>44501</v>
      </c>
      <c r="G46" s="1159">
        <f t="shared" si="16"/>
        <v>44470</v>
      </c>
      <c r="H46" s="1159">
        <f t="shared" si="16"/>
        <v>44440</v>
      </c>
      <c r="I46" s="1159">
        <f t="shared" si="16"/>
        <v>44409</v>
      </c>
      <c r="J46" s="1159">
        <f t="shared" si="16"/>
        <v>44378</v>
      </c>
      <c r="K46" s="1159">
        <f t="shared" si="16"/>
        <v>44348</v>
      </c>
      <c r="L46" s="1159">
        <f t="shared" si="16"/>
        <v>44317</v>
      </c>
      <c r="M46" s="1159">
        <f t="shared" si="16"/>
        <v>44287</v>
      </c>
      <c r="N46" s="1159">
        <f t="shared" si="16"/>
        <v>44256</v>
      </c>
      <c r="O46" s="1159">
        <f t="shared" si="16"/>
        <v>44228</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K25" sqref="K25"/>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2188</v>
      </c>
      <c r="B4" s="1634"/>
      <c r="C4" s="3613" t="s">
        <v>2189</v>
      </c>
      <c r="D4" s="3614"/>
      <c r="E4" s="3615" t="s">
        <v>2190</v>
      </c>
      <c r="F4" s="3616"/>
      <c r="G4" s="3613" t="s">
        <v>2191</v>
      </c>
      <c r="H4" s="3614"/>
      <c r="I4" s="3613" t="s">
        <v>2192</v>
      </c>
      <c r="J4" s="3614"/>
      <c r="K4" s="1936" t="s">
        <v>2193</v>
      </c>
      <c r="L4" s="2967"/>
      <c r="M4" s="2968"/>
      <c r="N4" s="2968"/>
      <c r="O4" s="2968"/>
      <c r="P4" s="3617" t="s">
        <v>2194</v>
      </c>
      <c r="Q4" s="3618"/>
      <c r="R4" s="3602" t="s">
        <v>2190</v>
      </c>
      <c r="S4" s="3603"/>
      <c r="T4" s="3602" t="s">
        <v>2191</v>
      </c>
      <c r="U4" s="3603"/>
      <c r="V4" s="3623" t="s">
        <v>2192</v>
      </c>
      <c r="W4" s="3623"/>
      <c r="X4" s="1636"/>
      <c r="Y4" s="3602" t="s">
        <v>2194</v>
      </c>
      <c r="Z4" s="3603"/>
      <c r="AA4" s="3610" t="s">
        <v>2190</v>
      </c>
      <c r="AB4" s="3611" t="s">
        <v>2191</v>
      </c>
      <c r="AC4" s="3610" t="s">
        <v>2192</v>
      </c>
    </row>
    <row r="5" spans="1:30" ht="15">
      <c r="A5" s="1638"/>
      <c r="B5" s="1639"/>
      <c r="C5" s="3598" t="s">
        <v>2195</v>
      </c>
      <c r="D5" s="3599"/>
      <c r="E5" s="3624" t="s">
        <v>2196</v>
      </c>
      <c r="F5" s="3625"/>
      <c r="G5" s="3598" t="s">
        <v>2197</v>
      </c>
      <c r="H5" s="3599"/>
      <c r="I5" s="3598" t="s">
        <v>2198</v>
      </c>
      <c r="J5" s="3599"/>
      <c r="K5" s="1936"/>
      <c r="L5" s="2967"/>
      <c r="M5" s="2968"/>
      <c r="N5" s="2968"/>
      <c r="O5" s="2968"/>
      <c r="P5" s="3619"/>
      <c r="Q5" s="3620"/>
      <c r="R5" s="3604"/>
      <c r="S5" s="3605"/>
      <c r="T5" s="3604"/>
      <c r="U5" s="3605"/>
      <c r="V5" s="3623"/>
      <c r="W5" s="3623"/>
      <c r="X5" s="1636"/>
      <c r="Y5" s="3604"/>
      <c r="Z5" s="3605"/>
      <c r="AA5" s="3611"/>
      <c r="AB5" s="3611"/>
      <c r="AC5" s="3611"/>
    </row>
    <row r="6" spans="1:30" ht="15.75" thickBot="1">
      <c r="A6" s="1641"/>
      <c r="B6" s="1642"/>
      <c r="C6" s="3596" t="s">
        <v>2199</v>
      </c>
      <c r="D6" s="3597"/>
      <c r="E6" s="3626" t="s">
        <v>2199</v>
      </c>
      <c r="F6" s="3627"/>
      <c r="G6" s="3596" t="s">
        <v>2199</v>
      </c>
      <c r="H6" s="3597"/>
      <c r="I6" s="3596" t="s">
        <v>2199</v>
      </c>
      <c r="J6" s="3597"/>
      <c r="K6" s="1936" t="s">
        <v>2200</v>
      </c>
      <c r="L6" s="2967"/>
      <c r="M6" s="2968"/>
      <c r="N6" s="2968"/>
      <c r="O6" s="2968"/>
      <c r="P6" s="3621"/>
      <c r="Q6" s="3622"/>
      <c r="R6" s="3604"/>
      <c r="S6" s="3605"/>
      <c r="T6" s="3606"/>
      <c r="U6" s="3607"/>
      <c r="V6" s="3623"/>
      <c r="W6" s="3623"/>
      <c r="X6" s="1636"/>
      <c r="Y6" s="3606"/>
      <c r="Z6" s="3607"/>
      <c r="AA6" s="3612"/>
      <c r="AB6" s="3612"/>
      <c r="AC6" s="3612"/>
    </row>
    <row r="7" spans="1:30" s="1655" customFormat="1" ht="15.75" thickBot="1">
      <c r="A7" s="1643" t="s">
        <v>2201</v>
      </c>
      <c r="B7" s="1644"/>
      <c r="C7" s="1645">
        <f>'数据-取费表'!B2</f>
        <v>44610</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600" t="s">
        <v>2202</v>
      </c>
      <c r="Q7" s="3608"/>
      <c r="R7" s="1651" t="s">
        <v>25</v>
      </c>
      <c r="S7" s="1652">
        <f t="shared" ref="S7:S15" si="0">F7</f>
        <v>0</v>
      </c>
      <c r="T7" s="1651" t="s">
        <v>25</v>
      </c>
      <c r="U7" s="1652">
        <f t="shared" ref="U7:U15" si="1">H7</f>
        <v>0</v>
      </c>
      <c r="V7" s="1651" t="s">
        <v>25</v>
      </c>
      <c r="W7" s="1652">
        <f t="shared" ref="W7:W15" si="2">J7</f>
        <v>0</v>
      </c>
      <c r="X7" s="1653"/>
      <c r="Y7" s="3600" t="s">
        <v>2202</v>
      </c>
      <c r="Z7" s="3601"/>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600" t="s">
        <v>2205</v>
      </c>
      <c r="Q8" s="3601"/>
      <c r="R8" s="1651" t="s">
        <v>25</v>
      </c>
      <c r="S8" s="1652">
        <f t="shared" si="0"/>
        <v>0</v>
      </c>
      <c r="T8" s="1651" t="s">
        <v>25</v>
      </c>
      <c r="U8" s="1652">
        <f t="shared" si="1"/>
        <v>0</v>
      </c>
      <c r="V8" s="1651" t="s">
        <v>25</v>
      </c>
      <c r="W8" s="1652">
        <f t="shared" si="2"/>
        <v>0</v>
      </c>
      <c r="X8" s="1653"/>
      <c r="Y8" s="3600" t="s">
        <v>2205</v>
      </c>
      <c r="Z8" s="3601"/>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86" t="s">
        <v>2208</v>
      </c>
      <c r="Q9" s="1605" t="str">
        <f t="shared" ref="Q9:Q15" si="6">B9</f>
        <v>用途</v>
      </c>
      <c r="R9" s="1651" t="s">
        <v>25</v>
      </c>
      <c r="S9" s="1652">
        <f t="shared" si="0"/>
        <v>100</v>
      </c>
      <c r="T9" s="1651" t="s">
        <v>25</v>
      </c>
      <c r="U9" s="1652">
        <f t="shared" si="1"/>
        <v>100</v>
      </c>
      <c r="V9" s="1651" t="s">
        <v>25</v>
      </c>
      <c r="W9" s="1652">
        <f t="shared" si="2"/>
        <v>100</v>
      </c>
      <c r="X9" s="1653"/>
      <c r="Y9" s="3448"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109</v>
      </c>
      <c r="G10" s="1728"/>
      <c r="H10" s="1668">
        <f>ROUND(100/'数据-取费表'!B14,0)</f>
        <v>109</v>
      </c>
      <c r="I10" s="1728"/>
      <c r="J10" s="1668">
        <f>ROUND(100/'数据-取费表'!B14,0)</f>
        <v>109</v>
      </c>
      <c r="K10" s="1940"/>
      <c r="L10" s="2969"/>
      <c r="M10" s="2970"/>
      <c r="N10" s="2970"/>
      <c r="O10" s="3015"/>
      <c r="P10" s="3586"/>
      <c r="Q10" s="1605" t="str">
        <f t="shared" si="6"/>
        <v>土地使用年限（年）</v>
      </c>
      <c r="R10" s="1651" t="s">
        <v>25</v>
      </c>
      <c r="S10" s="1652">
        <f t="shared" si="0"/>
        <v>109</v>
      </c>
      <c r="T10" s="1651" t="s">
        <v>25</v>
      </c>
      <c r="U10" s="1652">
        <f t="shared" si="1"/>
        <v>109</v>
      </c>
      <c r="V10" s="1651" t="s">
        <v>25</v>
      </c>
      <c r="W10" s="1652">
        <f t="shared" si="2"/>
        <v>109</v>
      </c>
      <c r="X10" s="1653"/>
      <c r="Y10" s="3448"/>
      <c r="Z10" s="1664" t="str">
        <f t="shared" si="7"/>
        <v>土地使用年限（年）</v>
      </c>
      <c r="AA10" s="1654">
        <f t="shared" si="3"/>
        <v>0.91743119266055051</v>
      </c>
      <c r="AB10" s="1654">
        <f t="shared" si="4"/>
        <v>0.91743119266055051</v>
      </c>
      <c r="AC10" s="1654">
        <f t="shared" si="5"/>
        <v>0.91743119266055051</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86"/>
      <c r="Q11" s="1605" t="str">
        <f t="shared" si="6"/>
        <v>容积率</v>
      </c>
      <c r="R11" s="1651" t="s">
        <v>25</v>
      </c>
      <c r="S11" s="1652" t="e">
        <f t="shared" si="0"/>
        <v>#N/A</v>
      </c>
      <c r="T11" s="1651" t="s">
        <v>25</v>
      </c>
      <c r="U11" s="1652" t="e">
        <f t="shared" si="1"/>
        <v>#N/A</v>
      </c>
      <c r="V11" s="1651" t="s">
        <v>25</v>
      </c>
      <c r="W11" s="1652" t="e">
        <f t="shared" si="2"/>
        <v>#N/A</v>
      </c>
      <c r="X11" s="1653"/>
      <c r="Y11" s="3448"/>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86"/>
      <c r="Q12" s="1605" t="str">
        <f t="shared" si="6"/>
        <v>配建</v>
      </c>
      <c r="R12" s="1651" t="s">
        <v>25</v>
      </c>
      <c r="S12" s="1652">
        <f t="shared" si="0"/>
        <v>100</v>
      </c>
      <c r="T12" s="1651" t="s">
        <v>25</v>
      </c>
      <c r="U12" s="1652">
        <f t="shared" si="1"/>
        <v>100</v>
      </c>
      <c r="V12" s="1651" t="s">
        <v>25</v>
      </c>
      <c r="W12" s="1652">
        <f t="shared" si="2"/>
        <v>100</v>
      </c>
      <c r="X12" s="1653"/>
      <c r="Y12" s="3448"/>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86"/>
      <c r="Q13" s="1605">
        <f t="shared" si="6"/>
        <v>111</v>
      </c>
      <c r="R13" s="1651" t="s">
        <v>25</v>
      </c>
      <c r="S13" s="1652">
        <f t="shared" si="0"/>
        <v>100</v>
      </c>
      <c r="T13" s="1651" t="s">
        <v>25</v>
      </c>
      <c r="U13" s="1652">
        <f t="shared" si="1"/>
        <v>100</v>
      </c>
      <c r="V13" s="1651" t="s">
        <v>25</v>
      </c>
      <c r="W13" s="1652">
        <f t="shared" si="2"/>
        <v>100</v>
      </c>
      <c r="X13" s="1653"/>
      <c r="Y13" s="3448"/>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86"/>
      <c r="Q14" s="1605">
        <f t="shared" si="6"/>
        <v>111</v>
      </c>
      <c r="R14" s="1651" t="s">
        <v>25</v>
      </c>
      <c r="S14" s="1652">
        <f t="shared" si="0"/>
        <v>100</v>
      </c>
      <c r="T14" s="1651" t="s">
        <v>25</v>
      </c>
      <c r="U14" s="1652">
        <f t="shared" si="1"/>
        <v>100</v>
      </c>
      <c r="V14" s="1651" t="s">
        <v>25</v>
      </c>
      <c r="W14" s="1652">
        <f t="shared" si="2"/>
        <v>100</v>
      </c>
      <c r="X14" s="1653"/>
      <c r="Y14" s="3448"/>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89" t="s">
        <v>2213</v>
      </c>
      <c r="Q15" s="1586" t="str">
        <f t="shared" si="6"/>
        <v>居住社区成熟度</v>
      </c>
      <c r="R15" s="1696" t="s">
        <v>25</v>
      </c>
      <c r="S15" s="1697">
        <f t="shared" si="0"/>
        <v>100</v>
      </c>
      <c r="T15" s="1696" t="s">
        <v>25</v>
      </c>
      <c r="U15" s="1697">
        <f t="shared" si="1"/>
        <v>100</v>
      </c>
      <c r="V15" s="1696" t="s">
        <v>25</v>
      </c>
      <c r="W15" s="1697">
        <f t="shared" si="2"/>
        <v>100</v>
      </c>
      <c r="X15" s="1636"/>
      <c r="Y15" s="3589"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90"/>
      <c r="Q16" s="1586"/>
      <c r="R16" s="1696"/>
      <c r="S16" s="1697"/>
      <c r="T16" s="1696"/>
      <c r="U16" s="1697"/>
      <c r="V16" s="1696"/>
      <c r="W16" s="1697"/>
      <c r="X16" s="1636"/>
      <c r="Y16" s="3590"/>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90"/>
      <c r="Q17" s="1586" t="str">
        <f>B17</f>
        <v>商业繁华度</v>
      </c>
      <c r="R17" s="1696" t="s">
        <v>25</v>
      </c>
      <c r="S17" s="1697">
        <f>F17</f>
        <v>100</v>
      </c>
      <c r="T17" s="1696" t="s">
        <v>25</v>
      </c>
      <c r="U17" s="1697">
        <f>H17</f>
        <v>100</v>
      </c>
      <c r="V17" s="1696" t="s">
        <v>25</v>
      </c>
      <c r="W17" s="1697">
        <f>J17</f>
        <v>100</v>
      </c>
      <c r="X17" s="1636"/>
      <c r="Y17" s="3590"/>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90"/>
      <c r="Q18" s="1586"/>
      <c r="R18" s="1696"/>
      <c r="S18" s="1697"/>
      <c r="T18" s="1696"/>
      <c r="U18" s="1697"/>
      <c r="V18" s="1696"/>
      <c r="W18" s="1697"/>
      <c r="X18" s="1636"/>
      <c r="Y18" s="3590"/>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90"/>
      <c r="Q19" s="1586" t="str">
        <f>B19</f>
        <v>办公集聚程度</v>
      </c>
      <c r="R19" s="1696" t="s">
        <v>25</v>
      </c>
      <c r="S19" s="1697">
        <f>F19</f>
        <v>100</v>
      </c>
      <c r="T19" s="1696" t="s">
        <v>25</v>
      </c>
      <c r="U19" s="1697">
        <f>H19</f>
        <v>100</v>
      </c>
      <c r="V19" s="1696" t="s">
        <v>25</v>
      </c>
      <c r="W19" s="1697">
        <f>J19</f>
        <v>100</v>
      </c>
      <c r="X19" s="1636"/>
      <c r="Y19" s="3590"/>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90"/>
      <c r="Q20" s="1586"/>
      <c r="R20" s="1696"/>
      <c r="S20" s="1697"/>
      <c r="T20" s="1696"/>
      <c r="U20" s="1697"/>
      <c r="V20" s="1696"/>
      <c r="W20" s="1697"/>
      <c r="X20" s="1636"/>
      <c r="Y20" s="3590"/>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90"/>
      <c r="Q21" s="1586" t="str">
        <f>B21</f>
        <v>交通便捷度</v>
      </c>
      <c r="R21" s="1696" t="s">
        <v>25</v>
      </c>
      <c r="S21" s="1697">
        <f>F21</f>
        <v>100</v>
      </c>
      <c r="T21" s="1696" t="s">
        <v>25</v>
      </c>
      <c r="U21" s="1697">
        <f>H21</f>
        <v>100</v>
      </c>
      <c r="V21" s="1696" t="s">
        <v>25</v>
      </c>
      <c r="W21" s="1697">
        <f>J21</f>
        <v>100</v>
      </c>
      <c r="X21" s="1636"/>
      <c r="Y21" s="3590"/>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90"/>
      <c r="Q22" s="1586"/>
      <c r="R22" s="1696"/>
      <c r="S22" s="1697"/>
      <c r="T22" s="1696"/>
      <c r="U22" s="1697"/>
      <c r="V22" s="1696"/>
      <c r="W22" s="1697"/>
      <c r="X22" s="1636"/>
      <c r="Y22" s="3590"/>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90"/>
      <c r="Q23" s="1586" t="str">
        <f t="shared" ref="Q23:Q37" si="8">B23</f>
        <v>区域土地利用方向</v>
      </c>
      <c r="R23" s="1696" t="s">
        <v>25</v>
      </c>
      <c r="S23" s="1697">
        <f>F23</f>
        <v>100</v>
      </c>
      <c r="T23" s="1696" t="s">
        <v>25</v>
      </c>
      <c r="U23" s="1697">
        <f>H23</f>
        <v>100</v>
      </c>
      <c r="V23" s="1696" t="s">
        <v>25</v>
      </c>
      <c r="W23" s="1697">
        <f>J23</f>
        <v>100</v>
      </c>
      <c r="X23" s="1636"/>
      <c r="Y23" s="3590"/>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90"/>
      <c r="Q24" s="1586"/>
      <c r="R24" s="1696"/>
      <c r="S24" s="1697"/>
      <c r="T24" s="1696"/>
      <c r="U24" s="1697"/>
      <c r="V24" s="1696"/>
      <c r="W24" s="1697"/>
      <c r="X24" s="1636"/>
      <c r="Y24" s="3590"/>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90"/>
      <c r="Q25" s="1586" t="str">
        <f t="shared" si="8"/>
        <v>自然及人文环境状况</v>
      </c>
      <c r="R25" s="1696" t="s">
        <v>25</v>
      </c>
      <c r="S25" s="1697">
        <f>F25</f>
        <v>100</v>
      </c>
      <c r="T25" s="1696" t="s">
        <v>25</v>
      </c>
      <c r="U25" s="1697">
        <f>H25</f>
        <v>100</v>
      </c>
      <c r="V25" s="1696" t="s">
        <v>25</v>
      </c>
      <c r="W25" s="1697">
        <f>J25</f>
        <v>100</v>
      </c>
      <c r="X25" s="1636"/>
      <c r="Y25" s="3590"/>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90"/>
      <c r="Q26" s="1586"/>
      <c r="R26" s="1696"/>
      <c r="S26" s="1697"/>
      <c r="T26" s="1696"/>
      <c r="U26" s="1697"/>
      <c r="V26" s="1696"/>
      <c r="W26" s="1697"/>
      <c r="X26" s="1636"/>
      <c r="Y26" s="3590"/>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90"/>
      <c r="Q27" s="1605" t="str">
        <f t="shared" ref="Q27" si="9">B27</f>
        <v>公共配套设施</v>
      </c>
      <c r="R27" s="1651" t="s">
        <v>25</v>
      </c>
      <c r="S27" s="1652">
        <f>F27</f>
        <v>100</v>
      </c>
      <c r="T27" s="1651" t="s">
        <v>25</v>
      </c>
      <c r="U27" s="1652">
        <f>H27</f>
        <v>100</v>
      </c>
      <c r="V27" s="1651" t="s">
        <v>25</v>
      </c>
      <c r="W27" s="1652">
        <f>J27</f>
        <v>100</v>
      </c>
      <c r="X27" s="1636"/>
      <c r="Y27" s="3590"/>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90"/>
      <c r="Q28" s="1586"/>
      <c r="R28" s="1696"/>
      <c r="S28" s="1697"/>
      <c r="T28" s="1696"/>
      <c r="U28" s="1697"/>
      <c r="V28" s="1696"/>
      <c r="W28" s="1697"/>
      <c r="X28" s="1636"/>
      <c r="Y28" s="3590"/>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90"/>
      <c r="Q29" s="1605" t="str">
        <f t="shared" si="8"/>
        <v>基础设施水平</v>
      </c>
      <c r="R29" s="1651" t="s">
        <v>25</v>
      </c>
      <c r="S29" s="1652">
        <f>F29</f>
        <v>100</v>
      </c>
      <c r="T29" s="1651" t="s">
        <v>25</v>
      </c>
      <c r="U29" s="1652">
        <f>H29</f>
        <v>100</v>
      </c>
      <c r="V29" s="1651" t="s">
        <v>25</v>
      </c>
      <c r="W29" s="1652">
        <f>J29</f>
        <v>100</v>
      </c>
      <c r="X29" s="1653"/>
      <c r="Y29" s="3590"/>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90"/>
      <c r="Q30" s="1605"/>
      <c r="R30" s="1651"/>
      <c r="S30" s="1652"/>
      <c r="T30" s="1651"/>
      <c r="U30" s="1652"/>
      <c r="V30" s="1651"/>
      <c r="W30" s="1652"/>
      <c r="X30" s="1653"/>
      <c r="Y30" s="3590"/>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90"/>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90"/>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90"/>
      <c r="Q32" s="1586" t="str">
        <f t="shared" si="8"/>
        <v>毗邻道路的类型与等级</v>
      </c>
      <c r="R32" s="1696" t="s">
        <v>25</v>
      </c>
      <c r="S32" s="1697">
        <f t="shared" si="10"/>
        <v>100</v>
      </c>
      <c r="T32" s="1696" t="s">
        <v>25</v>
      </c>
      <c r="U32" s="1697">
        <f t="shared" si="11"/>
        <v>100</v>
      </c>
      <c r="V32" s="1696" t="s">
        <v>25</v>
      </c>
      <c r="W32" s="1697">
        <f t="shared" si="12"/>
        <v>100</v>
      </c>
      <c r="X32" s="1636"/>
      <c r="Y32" s="3590"/>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90"/>
      <c r="Q33" s="1586"/>
      <c r="R33" s="1696"/>
      <c r="S33" s="1697"/>
      <c r="T33" s="1696"/>
      <c r="U33" s="1697"/>
      <c r="V33" s="1696"/>
      <c r="W33" s="1697"/>
      <c r="X33" s="1636"/>
      <c r="Y33" s="3590"/>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90"/>
      <c r="Q34" s="1586" t="str">
        <f t="shared" si="8"/>
        <v>土地级别</v>
      </c>
      <c r="R34" s="1696" t="s">
        <v>25</v>
      </c>
      <c r="S34" s="1697">
        <f t="shared" si="10"/>
        <v>100</v>
      </c>
      <c r="T34" s="1696" t="s">
        <v>25</v>
      </c>
      <c r="U34" s="1697">
        <f t="shared" si="11"/>
        <v>100</v>
      </c>
      <c r="V34" s="1696" t="s">
        <v>25</v>
      </c>
      <c r="W34" s="1697">
        <f t="shared" si="12"/>
        <v>100</v>
      </c>
      <c r="X34" s="1636"/>
      <c r="Y34" s="3590"/>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90"/>
      <c r="Q35" s="1586">
        <f t="shared" si="8"/>
        <v>111</v>
      </c>
      <c r="R35" s="1696" t="s">
        <v>25</v>
      </c>
      <c r="S35" s="1697">
        <f t="shared" si="10"/>
        <v>100</v>
      </c>
      <c r="T35" s="1696" t="s">
        <v>25</v>
      </c>
      <c r="U35" s="1697">
        <f t="shared" si="11"/>
        <v>100</v>
      </c>
      <c r="V35" s="1696" t="s">
        <v>25</v>
      </c>
      <c r="W35" s="1697">
        <f t="shared" si="12"/>
        <v>100</v>
      </c>
      <c r="X35" s="1636"/>
      <c r="Y35" s="3590"/>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28" t="s">
        <v>2219</v>
      </c>
      <c r="Q36" s="1586">
        <f t="shared" si="8"/>
        <v>111</v>
      </c>
      <c r="R36" s="1696" t="s">
        <v>25</v>
      </c>
      <c r="S36" s="1697">
        <f t="shared" si="10"/>
        <v>100</v>
      </c>
      <c r="T36" s="1696" t="s">
        <v>25</v>
      </c>
      <c r="U36" s="1697">
        <f t="shared" si="11"/>
        <v>100</v>
      </c>
      <c r="V36" s="1696" t="s">
        <v>25</v>
      </c>
      <c r="W36" s="1697">
        <f t="shared" si="12"/>
        <v>100</v>
      </c>
      <c r="X36" s="1636"/>
      <c r="Y36" s="3594"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94"/>
      <c r="Q37" s="1586">
        <f t="shared" si="8"/>
        <v>111</v>
      </c>
      <c r="R37" s="1738" t="s">
        <v>25</v>
      </c>
      <c r="S37" s="1739">
        <f t="shared" si="10"/>
        <v>100</v>
      </c>
      <c r="T37" s="1738" t="s">
        <v>25</v>
      </c>
      <c r="U37" s="1739">
        <f t="shared" si="11"/>
        <v>100</v>
      </c>
      <c r="V37" s="1738" t="s">
        <v>25</v>
      </c>
      <c r="W37" s="1739">
        <f t="shared" si="12"/>
        <v>100</v>
      </c>
      <c r="X37" s="1740"/>
      <c r="Y37" s="3594"/>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94"/>
      <c r="Q38" s="1586" t="str">
        <f>B38</f>
        <v>宗地面积</v>
      </c>
      <c r="R38" s="1696" t="s">
        <v>25</v>
      </c>
      <c r="S38" s="1697" t="e">
        <f t="shared" si="10"/>
        <v>#N/A</v>
      </c>
      <c r="T38" s="1696" t="s">
        <v>25</v>
      </c>
      <c r="U38" s="1697" t="e">
        <f t="shared" si="11"/>
        <v>#N/A</v>
      </c>
      <c r="V38" s="1696" t="s">
        <v>25</v>
      </c>
      <c r="W38" s="1697" t="e">
        <f t="shared" si="12"/>
        <v>#N/A</v>
      </c>
      <c r="X38" s="1636"/>
      <c r="Y38" s="3594"/>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94"/>
      <c r="Q39" s="1586" t="str">
        <f t="shared" ref="Q39:Q45" si="14">B39</f>
        <v>宗地形状</v>
      </c>
      <c r="R39" s="1696" t="s">
        <v>25</v>
      </c>
      <c r="S39" s="1697">
        <f t="shared" si="10"/>
        <v>100</v>
      </c>
      <c r="T39" s="1696" t="s">
        <v>25</v>
      </c>
      <c r="U39" s="1697">
        <f t="shared" si="11"/>
        <v>100</v>
      </c>
      <c r="V39" s="1696" t="s">
        <v>25</v>
      </c>
      <c r="W39" s="1697">
        <f t="shared" si="12"/>
        <v>100</v>
      </c>
      <c r="X39" s="1636"/>
      <c r="Y39" s="3594"/>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94"/>
      <c r="Q40" s="1586" t="str">
        <f t="shared" si="14"/>
        <v>临街宽度及深度</v>
      </c>
      <c r="R40" s="1696" t="s">
        <v>25</v>
      </c>
      <c r="S40" s="1697">
        <f t="shared" si="10"/>
        <v>100</v>
      </c>
      <c r="T40" s="1696" t="s">
        <v>25</v>
      </c>
      <c r="U40" s="1697">
        <f t="shared" si="11"/>
        <v>100</v>
      </c>
      <c r="V40" s="1696" t="s">
        <v>25</v>
      </c>
      <c r="W40" s="1697">
        <f t="shared" si="12"/>
        <v>100</v>
      </c>
      <c r="X40" s="1636"/>
      <c r="Y40" s="3594"/>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94"/>
      <c r="Q41" s="1586" t="str">
        <f t="shared" si="14"/>
        <v>宗地开发程度</v>
      </c>
      <c r="R41" s="1651" t="s">
        <v>25</v>
      </c>
      <c r="S41" s="1652">
        <f t="shared" si="10"/>
        <v>100</v>
      </c>
      <c r="T41" s="1651" t="s">
        <v>25</v>
      </c>
      <c r="U41" s="1652">
        <f t="shared" si="11"/>
        <v>100</v>
      </c>
      <c r="V41" s="1651" t="s">
        <v>25</v>
      </c>
      <c r="W41" s="1652">
        <f t="shared" si="12"/>
        <v>100</v>
      </c>
      <c r="X41" s="1653"/>
      <c r="Y41" s="3594"/>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94" t="s">
        <v>2219</v>
      </c>
      <c r="Q42" s="1586" t="str">
        <f t="shared" si="14"/>
        <v>工程地质条件</v>
      </c>
      <c r="R42" s="1696" t="s">
        <v>25</v>
      </c>
      <c r="S42" s="1697">
        <f t="shared" si="10"/>
        <v>100</v>
      </c>
      <c r="T42" s="1696" t="s">
        <v>25</v>
      </c>
      <c r="U42" s="1697">
        <f t="shared" si="11"/>
        <v>100</v>
      </c>
      <c r="V42" s="1696" t="s">
        <v>25</v>
      </c>
      <c r="W42" s="1697">
        <f t="shared" si="12"/>
        <v>100</v>
      </c>
      <c r="X42" s="1636"/>
      <c r="Y42" s="3594"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94"/>
      <c r="Q43" s="1586">
        <f t="shared" si="14"/>
        <v>111</v>
      </c>
      <c r="R43" s="1696" t="s">
        <v>25</v>
      </c>
      <c r="S43" s="1697">
        <f t="shared" si="10"/>
        <v>100</v>
      </c>
      <c r="T43" s="1696" t="s">
        <v>25</v>
      </c>
      <c r="U43" s="1697">
        <f t="shared" si="11"/>
        <v>100</v>
      </c>
      <c r="V43" s="1696" t="s">
        <v>25</v>
      </c>
      <c r="W43" s="1697">
        <f t="shared" si="12"/>
        <v>100</v>
      </c>
      <c r="X43" s="1636"/>
      <c r="Y43" s="3594"/>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94"/>
      <c r="Q44" s="1586">
        <f t="shared" si="14"/>
        <v>111</v>
      </c>
      <c r="R44" s="1696" t="s">
        <v>25</v>
      </c>
      <c r="S44" s="1697">
        <f t="shared" si="10"/>
        <v>100</v>
      </c>
      <c r="T44" s="1696" t="s">
        <v>25</v>
      </c>
      <c r="U44" s="1697">
        <f t="shared" si="11"/>
        <v>100</v>
      </c>
      <c r="V44" s="1696" t="s">
        <v>25</v>
      </c>
      <c r="W44" s="1697">
        <f t="shared" si="12"/>
        <v>100</v>
      </c>
      <c r="X44" s="1636"/>
      <c r="Y44" s="3594"/>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94"/>
      <c r="Q45" s="1586">
        <f t="shared" si="14"/>
        <v>111</v>
      </c>
      <c r="R45" s="1738" t="s">
        <v>25</v>
      </c>
      <c r="S45" s="1739">
        <f t="shared" si="10"/>
        <v>100</v>
      </c>
      <c r="T45" s="1738" t="s">
        <v>25</v>
      </c>
      <c r="U45" s="1739">
        <f t="shared" si="11"/>
        <v>100</v>
      </c>
      <c r="V45" s="1738" t="s">
        <v>25</v>
      </c>
      <c r="W45" s="1739">
        <f t="shared" si="12"/>
        <v>100</v>
      </c>
      <c r="X45" s="1740"/>
      <c r="Y45" s="3594"/>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3"/>
      <c r="N46" s="2968"/>
      <c r="P46" s="3586" t="str">
        <f>A46</f>
        <v>成交单价</v>
      </c>
      <c r="Q46" s="3586"/>
      <c r="R46" s="3623">
        <f>E46</f>
        <v>0</v>
      </c>
      <c r="S46" s="3623"/>
      <c r="T46" s="3623">
        <f>G46</f>
        <v>0</v>
      </c>
      <c r="U46" s="3623"/>
      <c r="V46" s="3623">
        <f>I46</f>
        <v>0</v>
      </c>
      <c r="W46" s="3623"/>
      <c r="X46" s="1762"/>
      <c r="Y46" s="1763"/>
      <c r="Z46" s="1762"/>
      <c r="AA46" s="1762"/>
      <c r="AB46" s="1762"/>
      <c r="AC46" s="1762"/>
    </row>
    <row r="47" spans="1:29" ht="15.75" thickBot="1">
      <c r="A47" s="1764" t="s">
        <v>2314</v>
      </c>
      <c r="B47" s="1985"/>
      <c r="C47" s="1986" t="e">
        <f>R48</f>
        <v>#DIV/0!</v>
      </c>
      <c r="D47" s="1767" t="s">
        <v>2685</v>
      </c>
      <c r="E47" s="1986" t="e">
        <f>R47</f>
        <v>#DIV/0!</v>
      </c>
      <c r="F47" s="1769"/>
      <c r="G47" s="1987" t="e">
        <f>T47</f>
        <v>#DIV/0!</v>
      </c>
      <c r="H47" s="1769"/>
      <c r="I47" s="1986" t="e">
        <f>V47</f>
        <v>#DIV/0!</v>
      </c>
      <c r="J47" s="1769"/>
      <c r="K47" s="2481">
        <f>F47+H47+J47</f>
        <v>0</v>
      </c>
      <c r="L47" s="2973"/>
      <c r="P47" s="3586" t="str">
        <f>A47</f>
        <v>比较价值（元/平方米）</v>
      </c>
      <c r="Q47" s="3586"/>
      <c r="R47" s="3675" t="e">
        <f>ROUND(PRODUCT(R46,AA7:AA45),0)</f>
        <v>#DIV/0!</v>
      </c>
      <c r="S47" s="3675"/>
      <c r="T47" s="3675" t="e">
        <f>ROUND(PRODUCT(T46,AB7:AB45),0)</f>
        <v>#DIV/0!</v>
      </c>
      <c r="U47" s="3675"/>
      <c r="V47" s="3675" t="e">
        <f>ROUND(PRODUCT(V46,AC7:AC45),0)</f>
        <v>#DIV/0!</v>
      </c>
      <c r="W47" s="3675"/>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3"/>
      <c r="P48" s="3583" t="str">
        <f>A48</f>
        <v>估价对象XX用房的比较价值（楼面单价，元/平方米）</v>
      </c>
      <c r="Q48" s="3584"/>
      <c r="R48" s="3676" t="e">
        <f>ROUND(IF(D47="简单平均",AVERAGE(R47:W47),R47*F47+T47*H47+V47*J47),0)</f>
        <v>#DIV/0!</v>
      </c>
      <c r="S48" s="3676"/>
      <c r="T48" s="3676"/>
      <c r="U48" s="3676"/>
      <c r="V48" s="3676"/>
      <c r="W48" s="3676"/>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2399</v>
      </c>
      <c r="B55" s="1990" t="s">
        <v>2400</v>
      </c>
      <c r="C55" s="1991" t="s">
        <v>2401</v>
      </c>
      <c r="D55" s="1992" t="s">
        <v>2402</v>
      </c>
      <c r="E55" s="1993" t="s">
        <v>2403</v>
      </c>
      <c r="F55" s="1994" t="s">
        <v>2404</v>
      </c>
      <c r="G55" s="1889" t="s">
        <v>2405</v>
      </c>
      <c r="H55" s="1889">
        <f>项目基本情况!G8</f>
        <v>0</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80"/>
      <c r="L58" s="2974"/>
      <c r="M58" s="1784"/>
      <c r="N58" s="1784"/>
    </row>
    <row r="59" spans="1:14" s="2002" customFormat="1">
      <c r="A59" s="2003" t="s">
        <v>2410</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2411</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80"/>
      <c r="L60" s="2974"/>
      <c r="M60" s="1784"/>
      <c r="N60" s="1784"/>
    </row>
    <row r="61" spans="1:14" s="2002" customFormat="1">
      <c r="A61" s="2003" t="s">
        <v>2412</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2413</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80"/>
      <c r="L62" s="2974"/>
      <c r="M62" s="1784"/>
      <c r="N62" s="1784"/>
    </row>
    <row r="63" spans="1:14" s="2002" customFormat="1">
      <c r="A63" s="2003" t="s">
        <v>2414</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2415</v>
      </c>
      <c r="B64" s="2004" t="e">
        <f t="shared" si="16"/>
        <v>#DIV/0!</v>
      </c>
      <c r="C64" s="50">
        <f t="shared" si="17"/>
        <v>0.2</v>
      </c>
      <c r="D64" s="2005">
        <v>0.25</v>
      </c>
      <c r="E64" s="1999">
        <v>0</v>
      </c>
      <c r="F64" s="2000" t="e">
        <f t="shared" si="15"/>
        <v>#DIV/0!</v>
      </c>
      <c r="G64" s="2001">
        <f>G63</f>
        <v>0.2</v>
      </c>
      <c r="H64" s="2006"/>
      <c r="I64" s="1784"/>
      <c r="J64" s="1784"/>
      <c r="K64" s="2980"/>
      <c r="L64" s="2974"/>
      <c r="M64" s="1784"/>
      <c r="N64" s="1784"/>
    </row>
    <row r="65" spans="1:17" s="2002" customFormat="1">
      <c r="A65" s="2003" t="s">
        <v>2416</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2022-2-1</v>
      </c>
      <c r="D68" s="2011">
        <f>EDATE(C68,-3)</f>
        <v>44501</v>
      </c>
      <c r="E68" s="2011">
        <f t="shared" ref="E68:O68" si="18">EDATE(D68,-3)</f>
        <v>44409</v>
      </c>
      <c r="F68" s="2011">
        <f t="shared" si="18"/>
        <v>44317</v>
      </c>
      <c r="G68" s="2011">
        <f t="shared" si="18"/>
        <v>44228</v>
      </c>
      <c r="H68" s="2011">
        <f t="shared" si="18"/>
        <v>44136</v>
      </c>
      <c r="I68" s="2011">
        <f t="shared" si="18"/>
        <v>44044</v>
      </c>
      <c r="J68" s="2011">
        <f t="shared" si="18"/>
        <v>43952</v>
      </c>
      <c r="K68" s="2011">
        <f t="shared" si="18"/>
        <v>43862</v>
      </c>
      <c r="L68" s="2011">
        <f t="shared" si="18"/>
        <v>43770</v>
      </c>
      <c r="M68" s="2011">
        <f t="shared" si="18"/>
        <v>43678</v>
      </c>
      <c r="N68" s="2011">
        <f t="shared" si="18"/>
        <v>43586</v>
      </c>
      <c r="O68" s="2011">
        <f t="shared" si="18"/>
        <v>43497</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2242</v>
      </c>
      <c r="B75" s="1818" t="s">
        <v>2207</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2210</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2331</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 xml:space="preserve">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估价对象为北京市房地产，为所有。根据《房屋所有权证》[]，估价对象建筑面积为63平方米。根据《》[]，估价对象（分摊）出让国有建设用地使用权面积为平方米。估价对象用途为。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2022年2月18日（评估专业人员实地查勘之日）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本次估价的“房地产价值”是指在正常市场情况下，在价值时点2022年2月18日，估价对象规划用途为，假定未设立法定优先受偿款下的房地产市场价值。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56" t="s">
        <v>2189</v>
      </c>
      <c r="D4" s="3657"/>
      <c r="E4" s="3658" t="s">
        <v>2190</v>
      </c>
      <c r="F4" s="3659"/>
      <c r="G4" s="3656" t="s">
        <v>2191</v>
      </c>
      <c r="H4" s="3657"/>
      <c r="I4" s="3656" t="s">
        <v>2192</v>
      </c>
      <c r="J4" s="3657"/>
      <c r="K4" s="496" t="s">
        <v>2193</v>
      </c>
      <c r="L4" s="2995"/>
      <c r="M4" s="2996"/>
      <c r="N4" s="2996"/>
      <c r="O4" s="2996"/>
      <c r="P4" s="3660" t="s">
        <v>2194</v>
      </c>
      <c r="Q4" s="3661"/>
      <c r="R4" s="3643" t="s">
        <v>2190</v>
      </c>
      <c r="S4" s="3644"/>
      <c r="T4" s="3643" t="s">
        <v>2191</v>
      </c>
      <c r="U4" s="3644"/>
      <c r="V4" s="3666" t="s">
        <v>2192</v>
      </c>
      <c r="W4" s="3666"/>
      <c r="X4" s="1305"/>
      <c r="Y4" s="3643" t="s">
        <v>2194</v>
      </c>
      <c r="Z4" s="3644"/>
      <c r="AA4" s="3653" t="s">
        <v>2190</v>
      </c>
      <c r="AB4" s="3654" t="s">
        <v>2191</v>
      </c>
      <c r="AC4" s="3653" t="s">
        <v>2192</v>
      </c>
    </row>
    <row r="5" spans="1:29" ht="15">
      <c r="A5" s="297"/>
      <c r="B5" s="298"/>
      <c r="C5" s="3669" t="s">
        <v>2195</v>
      </c>
      <c r="D5" s="3670"/>
      <c r="E5" s="3667" t="s">
        <v>2196</v>
      </c>
      <c r="F5" s="3668"/>
      <c r="G5" s="3669" t="s">
        <v>2197</v>
      </c>
      <c r="H5" s="3670"/>
      <c r="I5" s="3669" t="s">
        <v>2198</v>
      </c>
      <c r="J5" s="3670"/>
      <c r="K5" s="496"/>
      <c r="L5" s="2995"/>
      <c r="M5" s="2996"/>
      <c r="N5" s="2996"/>
      <c r="O5" s="2996"/>
      <c r="P5" s="3662"/>
      <c r="Q5" s="3663"/>
      <c r="R5" s="3645"/>
      <c r="S5" s="3646"/>
      <c r="T5" s="3645"/>
      <c r="U5" s="3646"/>
      <c r="V5" s="3666"/>
      <c r="W5" s="3666"/>
      <c r="X5" s="1305"/>
      <c r="Y5" s="3645"/>
      <c r="Z5" s="3646"/>
      <c r="AA5" s="3654"/>
      <c r="AB5" s="3654"/>
      <c r="AC5" s="3654"/>
    </row>
    <row r="6" spans="1:29" ht="15.75" thickBot="1">
      <c r="A6" s="299"/>
      <c r="B6" s="300"/>
      <c r="C6" s="3671" t="s">
        <v>2199</v>
      </c>
      <c r="D6" s="3672"/>
      <c r="E6" s="3673" t="s">
        <v>2199</v>
      </c>
      <c r="F6" s="3674"/>
      <c r="G6" s="3671" t="s">
        <v>2199</v>
      </c>
      <c r="H6" s="3672"/>
      <c r="I6" s="3671" t="s">
        <v>2199</v>
      </c>
      <c r="J6" s="3672"/>
      <c r="K6" s="496" t="s">
        <v>2200</v>
      </c>
      <c r="L6" s="2995"/>
      <c r="M6" s="2996"/>
      <c r="N6" s="2996"/>
      <c r="O6" s="2996"/>
      <c r="P6" s="3664"/>
      <c r="Q6" s="3665"/>
      <c r="R6" s="3645"/>
      <c r="S6" s="3646"/>
      <c r="T6" s="3647"/>
      <c r="U6" s="3648"/>
      <c r="V6" s="3666"/>
      <c r="W6" s="3666"/>
      <c r="X6" s="1305"/>
      <c r="Y6" s="3647"/>
      <c r="Z6" s="3648"/>
      <c r="AA6" s="3655"/>
      <c r="AB6" s="3655"/>
      <c r="AC6" s="3655"/>
    </row>
    <row r="7" spans="1:29" s="25" customFormat="1" ht="15.75" thickBot="1">
      <c r="A7" s="301" t="s">
        <v>2201</v>
      </c>
      <c r="B7" s="302"/>
      <c r="C7" s="303">
        <f>'数据-取费表'!B2</f>
        <v>44610</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41" t="s">
        <v>2202</v>
      </c>
      <c r="Q7" s="3649"/>
      <c r="R7" s="627" t="s">
        <v>25</v>
      </c>
      <c r="S7" s="628">
        <f t="shared" ref="S7:S15" si="0">F7</f>
        <v>0</v>
      </c>
      <c r="T7" s="627" t="s">
        <v>25</v>
      </c>
      <c r="U7" s="628">
        <f t="shared" ref="U7:U15" si="1">H7</f>
        <v>0</v>
      </c>
      <c r="V7" s="627" t="s">
        <v>25</v>
      </c>
      <c r="W7" s="628">
        <f t="shared" ref="W7:W15" si="2">J7</f>
        <v>0</v>
      </c>
      <c r="X7" s="629"/>
      <c r="Y7" s="3641" t="s">
        <v>2202</v>
      </c>
      <c r="Z7" s="3642"/>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41" t="s">
        <v>2205</v>
      </c>
      <c r="Q8" s="3642"/>
      <c r="R8" s="627" t="s">
        <v>25</v>
      </c>
      <c r="S8" s="628">
        <f t="shared" si="0"/>
        <v>0</v>
      </c>
      <c r="T8" s="627" t="s">
        <v>25</v>
      </c>
      <c r="U8" s="628">
        <f t="shared" si="1"/>
        <v>0</v>
      </c>
      <c r="V8" s="627" t="s">
        <v>25</v>
      </c>
      <c r="W8" s="628">
        <f t="shared" si="2"/>
        <v>0</v>
      </c>
      <c r="X8" s="629"/>
      <c r="Y8" s="3641" t="s">
        <v>2205</v>
      </c>
      <c r="Z8" s="3642"/>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33" t="s">
        <v>2208</v>
      </c>
      <c r="Q9" s="1297" t="str">
        <f t="shared" ref="Q9:Q15" si="6">B9</f>
        <v>用途</v>
      </c>
      <c r="R9" s="627" t="s">
        <v>25</v>
      </c>
      <c r="S9" s="628">
        <f t="shared" si="0"/>
        <v>100</v>
      </c>
      <c r="T9" s="627" t="s">
        <v>25</v>
      </c>
      <c r="U9" s="628">
        <f t="shared" si="1"/>
        <v>100</v>
      </c>
      <c r="V9" s="627" t="s">
        <v>25</v>
      </c>
      <c r="W9" s="628">
        <f t="shared" si="2"/>
        <v>100</v>
      </c>
      <c r="X9" s="629"/>
      <c r="Y9" s="3652"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109</v>
      </c>
      <c r="G10" s="322"/>
      <c r="H10" s="29">
        <f>ROUND(100/'数据-取费表'!B14,0)</f>
        <v>109</v>
      </c>
      <c r="I10" s="322"/>
      <c r="J10" s="29">
        <f>ROUND(100/'数据-取费表'!B14,0)</f>
        <v>109</v>
      </c>
      <c r="K10" s="553"/>
      <c r="L10" s="3000"/>
      <c r="M10" s="3001"/>
      <c r="N10" s="3001"/>
      <c r="O10" s="3002"/>
      <c r="P10" s="3633"/>
      <c r="Q10" s="1297" t="str">
        <f t="shared" si="6"/>
        <v>土地使用年限（年）</v>
      </c>
      <c r="R10" s="627" t="s">
        <v>25</v>
      </c>
      <c r="S10" s="628">
        <f t="shared" si="0"/>
        <v>109</v>
      </c>
      <c r="T10" s="627" t="s">
        <v>25</v>
      </c>
      <c r="U10" s="628">
        <f t="shared" si="1"/>
        <v>109</v>
      </c>
      <c r="V10" s="627" t="s">
        <v>25</v>
      </c>
      <c r="W10" s="628">
        <f t="shared" si="2"/>
        <v>109</v>
      </c>
      <c r="X10" s="629"/>
      <c r="Y10" s="3652"/>
      <c r="Z10" s="19" t="str">
        <f t="shared" si="7"/>
        <v>土地使用年限（年）</v>
      </c>
      <c r="AA10" s="630">
        <f t="shared" si="3"/>
        <v>0.91743119266055051</v>
      </c>
      <c r="AB10" s="630">
        <f t="shared" si="4"/>
        <v>0.91743119266055051</v>
      </c>
      <c r="AC10" s="630">
        <f t="shared" si="5"/>
        <v>0.91743119266055051</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33"/>
      <c r="Q11" s="1297"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33"/>
      <c r="Q12" s="1297">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33"/>
      <c r="Q13" s="1297">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33"/>
      <c r="Q14" s="1297">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50" t="s">
        <v>2213</v>
      </c>
      <c r="Q15" s="1304" t="str">
        <f t="shared" si="6"/>
        <v>产业集聚程度</v>
      </c>
      <c r="R15" s="631" t="s">
        <v>25</v>
      </c>
      <c r="S15" s="632">
        <f t="shared" si="0"/>
        <v>100</v>
      </c>
      <c r="T15" s="631" t="s">
        <v>25</v>
      </c>
      <c r="U15" s="632">
        <f t="shared" si="1"/>
        <v>100</v>
      </c>
      <c r="V15" s="631" t="s">
        <v>25</v>
      </c>
      <c r="W15" s="632">
        <f t="shared" si="2"/>
        <v>100</v>
      </c>
      <c r="X15" s="1305"/>
      <c r="Y15" s="3650"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51"/>
      <c r="Q16" s="1304"/>
      <c r="R16" s="631"/>
      <c r="S16" s="632"/>
      <c r="T16" s="631"/>
      <c r="U16" s="632"/>
      <c r="V16" s="631"/>
      <c r="W16" s="632"/>
      <c r="X16" s="1305"/>
      <c r="Y16" s="3651"/>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51"/>
      <c r="Q17" s="1304" t="str">
        <f>B17</f>
        <v>交通便捷度</v>
      </c>
      <c r="R17" s="631" t="s">
        <v>25</v>
      </c>
      <c r="S17" s="632">
        <f>F17</f>
        <v>100</v>
      </c>
      <c r="T17" s="631" t="s">
        <v>25</v>
      </c>
      <c r="U17" s="632">
        <f>H17</f>
        <v>100</v>
      </c>
      <c r="V17" s="631" t="s">
        <v>25</v>
      </c>
      <c r="W17" s="632">
        <f>J17</f>
        <v>100</v>
      </c>
      <c r="X17" s="1305"/>
      <c r="Y17" s="3651"/>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51"/>
      <c r="Q18" s="1304"/>
      <c r="R18" s="631"/>
      <c r="S18" s="632"/>
      <c r="T18" s="631"/>
      <c r="U18" s="632"/>
      <c r="V18" s="631"/>
      <c r="W18" s="632"/>
      <c r="X18" s="1305"/>
      <c r="Y18" s="3651"/>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51"/>
      <c r="Q19" s="1304" t="str">
        <f t="shared" ref="Q19:Q33" si="8">B19</f>
        <v>区域土地利用方向</v>
      </c>
      <c r="R19" s="631" t="s">
        <v>25</v>
      </c>
      <c r="S19" s="632">
        <f>F19</f>
        <v>100</v>
      </c>
      <c r="T19" s="631" t="s">
        <v>25</v>
      </c>
      <c r="U19" s="632">
        <f>H19</f>
        <v>100</v>
      </c>
      <c r="V19" s="631" t="s">
        <v>25</v>
      </c>
      <c r="W19" s="632">
        <f>J19</f>
        <v>100</v>
      </c>
      <c r="X19" s="1305"/>
      <c r="Y19" s="3651"/>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51"/>
      <c r="Q20" s="1304"/>
      <c r="R20" s="631"/>
      <c r="S20" s="632"/>
      <c r="T20" s="631"/>
      <c r="U20" s="632"/>
      <c r="V20" s="631"/>
      <c r="W20" s="632"/>
      <c r="X20" s="1305"/>
      <c r="Y20" s="3651"/>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51"/>
      <c r="Q21" s="1304" t="str">
        <f t="shared" si="8"/>
        <v>环境状况</v>
      </c>
      <c r="R21" s="631" t="s">
        <v>25</v>
      </c>
      <c r="S21" s="632">
        <f>F21</f>
        <v>100</v>
      </c>
      <c r="T21" s="631" t="s">
        <v>25</v>
      </c>
      <c r="U21" s="632">
        <f>H21</f>
        <v>100</v>
      </c>
      <c r="V21" s="631" t="s">
        <v>25</v>
      </c>
      <c r="W21" s="632">
        <f>J21</f>
        <v>100</v>
      </c>
      <c r="X21" s="1305"/>
      <c r="Y21" s="3651"/>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51"/>
      <c r="Q22" s="1304"/>
      <c r="R22" s="631"/>
      <c r="S22" s="632"/>
      <c r="T22" s="631"/>
      <c r="U22" s="632"/>
      <c r="V22" s="631"/>
      <c r="W22" s="632"/>
      <c r="X22" s="1305"/>
      <c r="Y22" s="3651"/>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51"/>
      <c r="Q23" s="1297" t="str">
        <f t="shared" si="8"/>
        <v>公共配套设施</v>
      </c>
      <c r="R23" s="627" t="s">
        <v>25</v>
      </c>
      <c r="S23" s="628">
        <f>F23</f>
        <v>100</v>
      </c>
      <c r="T23" s="627" t="s">
        <v>25</v>
      </c>
      <c r="U23" s="628">
        <f>H23</f>
        <v>100</v>
      </c>
      <c r="V23" s="627" t="s">
        <v>25</v>
      </c>
      <c r="W23" s="628">
        <f>J23</f>
        <v>100</v>
      </c>
      <c r="X23" s="629"/>
      <c r="Y23" s="3651"/>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51"/>
      <c r="Q24" s="1297"/>
      <c r="R24" s="627"/>
      <c r="S24" s="628"/>
      <c r="T24" s="627"/>
      <c r="U24" s="628"/>
      <c r="V24" s="627"/>
      <c r="W24" s="628"/>
      <c r="X24" s="629"/>
      <c r="Y24" s="3651"/>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51"/>
      <c r="Q25" s="1297" t="str">
        <f t="shared" ref="Q25" si="9">B25</f>
        <v>基础设施水平</v>
      </c>
      <c r="R25" s="627" t="s">
        <v>25</v>
      </c>
      <c r="S25" s="628">
        <f>F25</f>
        <v>100</v>
      </c>
      <c r="T25" s="627" t="s">
        <v>25</v>
      </c>
      <c r="U25" s="628">
        <f>H25</f>
        <v>100</v>
      </c>
      <c r="V25" s="627" t="s">
        <v>25</v>
      </c>
      <c r="W25" s="628">
        <f>J25</f>
        <v>100</v>
      </c>
      <c r="X25" s="629"/>
      <c r="Y25" s="3651"/>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51"/>
      <c r="Q26" s="1297"/>
      <c r="R26" s="627"/>
      <c r="S26" s="628"/>
      <c r="T26" s="627"/>
      <c r="U26" s="628"/>
      <c r="V26" s="627"/>
      <c r="W26" s="628"/>
      <c r="X26" s="629"/>
      <c r="Y26" s="3651"/>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51"/>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51"/>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51"/>
      <c r="Q28" s="1304" t="str">
        <f t="shared" si="8"/>
        <v>毗邻道路的类型与等级</v>
      </c>
      <c r="R28" s="631" t="s">
        <v>25</v>
      </c>
      <c r="S28" s="632">
        <f t="shared" si="10"/>
        <v>100</v>
      </c>
      <c r="T28" s="631" t="s">
        <v>25</v>
      </c>
      <c r="U28" s="632">
        <f t="shared" si="11"/>
        <v>100</v>
      </c>
      <c r="V28" s="631" t="s">
        <v>25</v>
      </c>
      <c r="W28" s="632">
        <f t="shared" si="12"/>
        <v>100</v>
      </c>
      <c r="X28" s="1305"/>
      <c r="Y28" s="3651"/>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51"/>
      <c r="Q29" s="1304"/>
      <c r="R29" s="631"/>
      <c r="S29" s="632"/>
      <c r="T29" s="631"/>
      <c r="U29" s="632"/>
      <c r="V29" s="631"/>
      <c r="W29" s="632"/>
      <c r="X29" s="1305"/>
      <c r="Y29" s="3651"/>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51"/>
      <c r="Q30" s="1304" t="str">
        <f t="shared" si="8"/>
        <v>土地级别</v>
      </c>
      <c r="R30" s="631" t="s">
        <v>25</v>
      </c>
      <c r="S30" s="632">
        <f t="shared" si="10"/>
        <v>100</v>
      </c>
      <c r="T30" s="631" t="s">
        <v>25</v>
      </c>
      <c r="U30" s="632">
        <f t="shared" si="11"/>
        <v>100</v>
      </c>
      <c r="V30" s="631" t="s">
        <v>25</v>
      </c>
      <c r="W30" s="632">
        <f t="shared" si="12"/>
        <v>100</v>
      </c>
      <c r="X30" s="1305"/>
      <c r="Y30" s="3651"/>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51"/>
      <c r="Q31" s="1304">
        <f t="shared" si="8"/>
        <v>111</v>
      </c>
      <c r="R31" s="631" t="s">
        <v>25</v>
      </c>
      <c r="S31" s="632">
        <f t="shared" si="10"/>
        <v>100</v>
      </c>
      <c r="T31" s="631" t="s">
        <v>25</v>
      </c>
      <c r="U31" s="632">
        <f t="shared" si="11"/>
        <v>100</v>
      </c>
      <c r="V31" s="631" t="s">
        <v>25</v>
      </c>
      <c r="W31" s="632">
        <f t="shared" si="12"/>
        <v>100</v>
      </c>
      <c r="X31" s="1305"/>
      <c r="Y31" s="3651"/>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38" t="s">
        <v>2219</v>
      </c>
      <c r="Q32" s="1304">
        <f t="shared" si="8"/>
        <v>111</v>
      </c>
      <c r="R32" s="631" t="s">
        <v>25</v>
      </c>
      <c r="S32" s="632">
        <f t="shared" si="10"/>
        <v>100</v>
      </c>
      <c r="T32" s="631" t="s">
        <v>25</v>
      </c>
      <c r="U32" s="632">
        <f t="shared" si="11"/>
        <v>100</v>
      </c>
      <c r="V32" s="631" t="s">
        <v>25</v>
      </c>
      <c r="W32" s="632">
        <f t="shared" si="12"/>
        <v>100</v>
      </c>
      <c r="X32" s="1305"/>
      <c r="Y32" s="3639"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39"/>
      <c r="Q33" s="1304">
        <f t="shared" si="8"/>
        <v>111</v>
      </c>
      <c r="R33" s="634" t="s">
        <v>25</v>
      </c>
      <c r="S33" s="635">
        <f t="shared" si="10"/>
        <v>100</v>
      </c>
      <c r="T33" s="634" t="s">
        <v>25</v>
      </c>
      <c r="U33" s="635">
        <f t="shared" si="11"/>
        <v>100</v>
      </c>
      <c r="V33" s="634" t="s">
        <v>25</v>
      </c>
      <c r="W33" s="635">
        <f t="shared" si="12"/>
        <v>100</v>
      </c>
      <c r="X33" s="636"/>
      <c r="Y33" s="3639"/>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39"/>
      <c r="Q34" s="1304" t="str">
        <f>B34</f>
        <v>宗地面积</v>
      </c>
      <c r="R34" s="631" t="s">
        <v>25</v>
      </c>
      <c r="S34" s="632" t="e">
        <f t="shared" si="10"/>
        <v>#N/A</v>
      </c>
      <c r="T34" s="631" t="s">
        <v>25</v>
      </c>
      <c r="U34" s="632" t="e">
        <f t="shared" si="11"/>
        <v>#N/A</v>
      </c>
      <c r="V34" s="631" t="s">
        <v>25</v>
      </c>
      <c r="W34" s="632" t="e">
        <f t="shared" si="12"/>
        <v>#N/A</v>
      </c>
      <c r="X34" s="1305"/>
      <c r="Y34" s="3639"/>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39"/>
      <c r="Q35" s="1304" t="str">
        <f t="shared" ref="Q35:Q40" si="14">B35</f>
        <v>宗地形状</v>
      </c>
      <c r="R35" s="631" t="s">
        <v>25</v>
      </c>
      <c r="S35" s="632">
        <f t="shared" si="10"/>
        <v>100</v>
      </c>
      <c r="T35" s="631" t="s">
        <v>25</v>
      </c>
      <c r="U35" s="632">
        <f t="shared" si="11"/>
        <v>100</v>
      </c>
      <c r="V35" s="631" t="s">
        <v>25</v>
      </c>
      <c r="W35" s="632">
        <f t="shared" si="12"/>
        <v>100</v>
      </c>
      <c r="X35" s="1305"/>
      <c r="Y35" s="3639"/>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39"/>
      <c r="Q36" s="1304" t="str">
        <f t="shared" si="14"/>
        <v>宗地开发程度</v>
      </c>
      <c r="R36" s="627" t="s">
        <v>25</v>
      </c>
      <c r="S36" s="628">
        <f t="shared" si="10"/>
        <v>100</v>
      </c>
      <c r="T36" s="627" t="s">
        <v>25</v>
      </c>
      <c r="U36" s="628">
        <f t="shared" si="11"/>
        <v>100</v>
      </c>
      <c r="V36" s="627" t="s">
        <v>25</v>
      </c>
      <c r="W36" s="628">
        <f t="shared" si="12"/>
        <v>100</v>
      </c>
      <c r="X36" s="629"/>
      <c r="Y36" s="3639"/>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39" t="s">
        <v>2219</v>
      </c>
      <c r="Q37" s="1304" t="str">
        <f t="shared" si="14"/>
        <v>工程地质条件</v>
      </c>
      <c r="R37" s="631" t="s">
        <v>25</v>
      </c>
      <c r="S37" s="632">
        <f t="shared" si="10"/>
        <v>100</v>
      </c>
      <c r="T37" s="631" t="s">
        <v>25</v>
      </c>
      <c r="U37" s="632">
        <f t="shared" si="11"/>
        <v>100</v>
      </c>
      <c r="V37" s="631" t="s">
        <v>25</v>
      </c>
      <c r="W37" s="632">
        <f t="shared" si="12"/>
        <v>100</v>
      </c>
      <c r="X37" s="1305"/>
      <c r="Y37" s="3639"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39"/>
      <c r="Q38" s="1304">
        <f t="shared" si="14"/>
        <v>111</v>
      </c>
      <c r="R38" s="631" t="s">
        <v>25</v>
      </c>
      <c r="S38" s="632">
        <f t="shared" si="10"/>
        <v>100</v>
      </c>
      <c r="T38" s="631" t="s">
        <v>25</v>
      </c>
      <c r="U38" s="632">
        <f t="shared" si="11"/>
        <v>100</v>
      </c>
      <c r="V38" s="631" t="s">
        <v>25</v>
      </c>
      <c r="W38" s="632">
        <f t="shared" si="12"/>
        <v>100</v>
      </c>
      <c r="X38" s="1305"/>
      <c r="Y38" s="3639"/>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39"/>
      <c r="Q39" s="1304">
        <f t="shared" si="14"/>
        <v>111</v>
      </c>
      <c r="R39" s="631" t="s">
        <v>25</v>
      </c>
      <c r="S39" s="632">
        <f t="shared" si="10"/>
        <v>100</v>
      </c>
      <c r="T39" s="631" t="s">
        <v>25</v>
      </c>
      <c r="U39" s="632">
        <f t="shared" si="11"/>
        <v>100</v>
      </c>
      <c r="V39" s="631" t="s">
        <v>25</v>
      </c>
      <c r="W39" s="632">
        <f t="shared" si="12"/>
        <v>100</v>
      </c>
      <c r="X39" s="1305"/>
      <c r="Y39" s="3639"/>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39"/>
      <c r="Q40" s="1304">
        <f t="shared" si="14"/>
        <v>111</v>
      </c>
      <c r="R40" s="634" t="s">
        <v>25</v>
      </c>
      <c r="S40" s="635">
        <f t="shared" si="10"/>
        <v>100</v>
      </c>
      <c r="T40" s="634" t="s">
        <v>25</v>
      </c>
      <c r="U40" s="635">
        <f t="shared" si="11"/>
        <v>100</v>
      </c>
      <c r="V40" s="634" t="s">
        <v>25</v>
      </c>
      <c r="W40" s="635">
        <f t="shared" si="12"/>
        <v>100</v>
      </c>
      <c r="X40" s="636"/>
      <c r="Y40" s="3639"/>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7"/>
      <c r="M41" s="2996"/>
      <c r="N41" s="2996"/>
      <c r="P41" s="3633" t="str">
        <f>A41</f>
        <v>成交单价</v>
      </c>
      <c r="Q41" s="3633"/>
      <c r="R41" s="3666">
        <f>E41</f>
        <v>0</v>
      </c>
      <c r="S41" s="3666"/>
      <c r="T41" s="3666">
        <f>G41</f>
        <v>0</v>
      </c>
      <c r="U41" s="3666"/>
      <c r="V41" s="3666">
        <f>I41</f>
        <v>0</v>
      </c>
      <c r="W41" s="3666"/>
      <c r="X41" s="618"/>
      <c r="Y41" s="638"/>
      <c r="Z41" s="618"/>
      <c r="AA41" s="618"/>
      <c r="AB41" s="618"/>
      <c r="AC41" s="618"/>
    </row>
    <row r="42" spans="1:29" ht="15.75" thickBot="1">
      <c r="A42" s="374" t="s">
        <v>2314</v>
      </c>
      <c r="B42" s="563"/>
      <c r="C42" s="377" t="e">
        <f>R43</f>
        <v>#DIV/0!</v>
      </c>
      <c r="D42" s="1767" t="s">
        <v>2685</v>
      </c>
      <c r="E42" s="377" t="e">
        <f>R42</f>
        <v>#DIV/0!</v>
      </c>
      <c r="F42" s="1769"/>
      <c r="G42" s="376" t="e">
        <f>T42</f>
        <v>#DIV/0!</v>
      </c>
      <c r="H42" s="1769"/>
      <c r="I42" s="377" t="e">
        <f>V42</f>
        <v>#DIV/0!</v>
      </c>
      <c r="J42" s="1769"/>
      <c r="K42" s="2481">
        <f>F42+H42+J42</f>
        <v>0</v>
      </c>
      <c r="L42" s="3007"/>
      <c r="M42" s="2996"/>
      <c r="N42" s="2996"/>
      <c r="P42" s="3633" t="str">
        <f>A42</f>
        <v>比较价值（元/平方米）</v>
      </c>
      <c r="Q42" s="3633"/>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7"/>
      <c r="M43" s="2996"/>
      <c r="N43" s="2996"/>
      <c r="P43" s="3635" t="str">
        <f>A43</f>
        <v>估价对象XX用房的比较价值（楼面单价，元/平方米）</v>
      </c>
      <c r="Q43" s="3636"/>
      <c r="R43" s="3677" t="e">
        <f>ROUND(IF(D42="简单平均",AVERAGE(R42:W42),R42*F42+T42*H42+V42*J42),0)</f>
        <v>#DIV/0!</v>
      </c>
      <c r="S43" s="3677"/>
      <c r="T43" s="3677"/>
      <c r="U43" s="3677"/>
      <c r="V43" s="3677"/>
      <c r="W43" s="3677"/>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2399</v>
      </c>
      <c r="B50" s="565" t="s">
        <v>2400</v>
      </c>
      <c r="C50" s="1562" t="s">
        <v>2401</v>
      </c>
      <c r="D50" s="1563" t="s">
        <v>2402</v>
      </c>
      <c r="E50" s="566" t="s">
        <v>2403</v>
      </c>
      <c r="F50" s="567" t="s">
        <v>2404</v>
      </c>
      <c r="G50" s="1306" t="s">
        <v>2437</v>
      </c>
      <c r="H50" s="1306">
        <f>项目基本情况!G8</f>
        <v>0</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2410</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2412</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2413</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2414</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2415</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2416</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2022-2-1</v>
      </c>
      <c r="D63" s="1153">
        <f>EDATE(C63,-3)</f>
        <v>44501</v>
      </c>
      <c r="E63" s="1153">
        <f t="shared" ref="E63:O63" si="18">EDATE(D63,-3)</f>
        <v>44409</v>
      </c>
      <c r="F63" s="1153">
        <f t="shared" si="18"/>
        <v>44317</v>
      </c>
      <c r="G63" s="1153">
        <f t="shared" si="18"/>
        <v>44228</v>
      </c>
      <c r="H63" s="1153">
        <f t="shared" si="18"/>
        <v>44136</v>
      </c>
      <c r="I63" s="1153">
        <f t="shared" si="18"/>
        <v>44044</v>
      </c>
      <c r="J63" s="1153">
        <f t="shared" si="18"/>
        <v>43952</v>
      </c>
      <c r="K63" s="1153">
        <f t="shared" si="18"/>
        <v>43862</v>
      </c>
      <c r="L63" s="1153">
        <f t="shared" si="18"/>
        <v>43770</v>
      </c>
      <c r="M63" s="1153">
        <f t="shared" si="18"/>
        <v>43678</v>
      </c>
      <c r="N63" s="1153">
        <f t="shared" si="18"/>
        <v>43586</v>
      </c>
      <c r="O63" s="1153">
        <f t="shared" si="18"/>
        <v>43497</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63</v>
      </c>
      <c r="E1" s="2070"/>
      <c r="F1" s="2070"/>
      <c r="G1" s="2070"/>
      <c r="H1" s="2070"/>
      <c r="I1" s="2070"/>
      <c r="J1" s="2070"/>
      <c r="K1" s="3020"/>
      <c r="L1" s="2071" t="s">
        <v>2441</v>
      </c>
      <c r="M1" s="2072">
        <f>SUMPRODUCT((区片价!B5:B9=I2)*(区片价!C3:F3=E2)*(区片价!C5:F9))</f>
        <v>0</v>
      </c>
      <c r="N1" s="2073">
        <f>SUMPRODUCT((因素修正幅度!B5:B9=I2)*(因素修正幅度!C3:F3=E2)*(因素修正幅度!C5:F9))</f>
        <v>0</v>
      </c>
      <c r="O1" s="3020"/>
      <c r="P1" s="3020"/>
      <c r="Q1" s="3020"/>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1195992</v>
      </c>
      <c r="C2" s="2078" t="s">
        <v>2448</v>
      </c>
      <c r="D2" s="1572" t="s">
        <v>2449</v>
      </c>
      <c r="E2" s="2079" t="s">
        <v>2828</v>
      </c>
      <c r="F2" s="1572" t="s">
        <v>2450</v>
      </c>
      <c r="G2" s="2080" t="str">
        <f>项目基本情况!F9</f>
        <v>六级</v>
      </c>
      <c r="H2" s="1573" t="s">
        <v>2451</v>
      </c>
      <c r="I2" s="2080" t="str">
        <f>项目基本情况!F10</f>
        <v>Ⅵ-19</v>
      </c>
      <c r="J2" s="2081"/>
      <c r="K2" s="3020"/>
      <c r="L2" s="2082" t="s">
        <v>2452</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1.8629</v>
      </c>
      <c r="T2" s="2074">
        <f>ROUND($C$5*$C$18*$C$19*$C$20*S2*$C$24,0)</f>
        <v>35366</v>
      </c>
      <c r="U2" s="2085"/>
      <c r="V2" s="2074">
        <f t="shared" ref="V2:V8" si="0">ROUND(T2*U2,0)</f>
        <v>0</v>
      </c>
      <c r="W2" s="2075"/>
      <c r="X2" s="2075"/>
      <c r="Y2" s="2075"/>
      <c r="Z2" s="2075"/>
      <c r="AA2" s="2075"/>
      <c r="AB2" s="2075"/>
      <c r="AC2" s="2075"/>
      <c r="AD2" s="2076"/>
      <c r="AE2" s="2076"/>
      <c r="AF2" s="2076"/>
      <c r="AG2" s="2076"/>
      <c r="AH2" s="2076"/>
      <c r="AI2" s="2076"/>
      <c r="AJ2" s="2077"/>
    </row>
    <row r="3" spans="1:36" ht="25.5">
      <c r="A3" s="1629" t="s">
        <v>2453</v>
      </c>
      <c r="B3" s="1629">
        <f>ROUND(B2/D1,0)</f>
        <v>18984</v>
      </c>
      <c r="C3" s="2078" t="s">
        <v>2454</v>
      </c>
      <c r="D3" s="1572" t="s">
        <v>2455</v>
      </c>
      <c r="E3" s="2079" t="s">
        <v>2830</v>
      </c>
      <c r="F3" s="1574" t="s">
        <v>2456</v>
      </c>
      <c r="G3" s="2086">
        <f>项目基本情况!C15</f>
        <v>2.5</v>
      </c>
      <c r="H3" s="50" t="s">
        <v>2457</v>
      </c>
      <c r="I3" s="2087"/>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1.3371999999999999</v>
      </c>
      <c r="T3" s="2074">
        <f t="shared" ref="T3:T16" si="1">ROUND($C$5*$C$18*$C$19*$C$20*S3*$C$24,0)</f>
        <v>25386</v>
      </c>
      <c r="U3" s="2085"/>
      <c r="V3" s="2074">
        <f t="shared" si="0"/>
        <v>0</v>
      </c>
      <c r="W3" s="2075"/>
      <c r="X3" s="2075"/>
      <c r="Y3" s="2075"/>
      <c r="Z3" s="2075"/>
      <c r="AA3" s="2075"/>
      <c r="AB3" s="2075"/>
      <c r="AC3" s="2075"/>
      <c r="AD3" s="2076"/>
      <c r="AE3" s="2076"/>
      <c r="AF3" s="2076"/>
      <c r="AG3" s="2076"/>
      <c r="AH3" s="2076"/>
      <c r="AI3" s="2076"/>
      <c r="AJ3" s="2077"/>
    </row>
    <row r="4" spans="1:36" ht="15.75">
      <c r="A4" s="3681"/>
      <c r="B4" s="3682"/>
      <c r="C4" s="3682"/>
      <c r="D4" s="3683"/>
      <c r="E4" s="3683"/>
      <c r="F4" s="3683"/>
      <c r="G4" s="3683"/>
      <c r="H4" s="3683"/>
      <c r="I4" s="3683"/>
      <c r="J4" s="3684"/>
      <c r="K4" s="3020"/>
      <c r="L4" s="2082" t="s">
        <v>2460</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1.0788</v>
      </c>
      <c r="T4" s="2074">
        <f t="shared" si="1"/>
        <v>20480</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12751</v>
      </c>
      <c r="D5" s="2089">
        <f>ROUND(C6+C16,0)</f>
        <v>9660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0.86560000000000004</v>
      </c>
      <c r="T5" s="2074">
        <f t="shared" si="1"/>
        <v>16433</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9660</v>
      </c>
      <c r="D6" s="2098" t="s">
        <v>2465</v>
      </c>
      <c r="E6" s="1576"/>
      <c r="F6" s="1576"/>
      <c r="G6" s="2099"/>
      <c r="H6" s="2099"/>
      <c r="I6" s="2099"/>
      <c r="J6" s="2100"/>
      <c r="K6" s="3021"/>
      <c r="L6" s="2082" t="s">
        <v>2466</v>
      </c>
      <c r="M6" s="2083">
        <f>SUMPRODUCT((区片价!B110:B157=I2)*(区片价!C3:F3=E2)*(区片价!C110:F157))</f>
        <v>9660</v>
      </c>
      <c r="N6" s="2084">
        <f>SUMPRODUCT((因素修正幅度!B110:B157=I2)*(因素修正幅度!C3:F3=E2)*(因素修正幅度!C110:F157))</f>
        <v>0.105</v>
      </c>
      <c r="O6" s="3020"/>
      <c r="P6" s="3020"/>
      <c r="Q6" s="3020"/>
      <c r="R6" s="2074">
        <v>5</v>
      </c>
      <c r="S6" s="2074">
        <f>ROUND(IF(G3&gt;1,IF(R6&lt;7,SUMPRODUCT((B93:B98=R6)*(C92:N92=G2)*(C93:N98)),SUMIF(C92:N92,G2,C100:N100)),IF(R6&lt;7,SUMPRODUCT((B102:B107=R6)*(C92:N92=G2)*(C102:N107)),SUMIF(C92:N92,G2,C109:N109))),4)</f>
        <v>0.73709999999999998</v>
      </c>
      <c r="T6" s="2074">
        <f t="shared" si="1"/>
        <v>13993</v>
      </c>
      <c r="U6" s="2085"/>
      <c r="V6" s="2074">
        <f t="shared" si="0"/>
        <v>0</v>
      </c>
      <c r="W6" s="2075"/>
      <c r="X6" s="2075"/>
      <c r="Y6" s="2075"/>
      <c r="Z6" s="2075"/>
      <c r="AA6" s="2075"/>
      <c r="AB6" s="2075"/>
      <c r="AC6" s="2092"/>
      <c r="AD6" s="2093"/>
      <c r="AE6" s="2093"/>
      <c r="AF6" s="2093"/>
      <c r="AG6" s="2093"/>
      <c r="AH6" s="2093"/>
      <c r="AI6" s="2093"/>
      <c r="AJ6" s="2094"/>
    </row>
    <row r="7" spans="1:36" ht="24">
      <c r="A7" s="3685" t="str">
        <f>IF(E2="商业",IF(C8="不临58条商业街","",2),"")</f>
        <v/>
      </c>
      <c r="B7" s="1577" t="s">
        <v>2467</v>
      </c>
      <c r="C7" s="2101" t="e">
        <f>IF(C8="不临58条商业街",1,ROUND(1+(1.6*E8+1.2*E9+0.8*E10+0.4*E11)*C9,4))</f>
        <v>#DIV/0!</v>
      </c>
      <c r="D7" s="2102" t="s">
        <v>2468</v>
      </c>
      <c r="E7" s="2103"/>
      <c r="F7" s="2104"/>
      <c r="G7" s="2104"/>
      <c r="H7" s="2104"/>
      <c r="I7" s="2104"/>
      <c r="J7" s="2105"/>
      <c r="K7" s="3021"/>
      <c r="L7" s="2082" t="s">
        <v>2469</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0.6482</v>
      </c>
      <c r="T7" s="2074">
        <f t="shared" si="1"/>
        <v>12306</v>
      </c>
      <c r="U7" s="2085"/>
      <c r="V7" s="2074">
        <f t="shared" si="0"/>
        <v>0</v>
      </c>
      <c r="W7" s="2106" t="s">
        <v>2470</v>
      </c>
      <c r="X7" s="2107" t="str">
        <f>G2</f>
        <v>六级</v>
      </c>
      <c r="Y7" s="2107" t="s">
        <v>2471</v>
      </c>
      <c r="Z7" s="2108">
        <f>G3</f>
        <v>2.5</v>
      </c>
      <c r="AA7" s="2075"/>
      <c r="AB7" s="2075"/>
      <c r="AC7" s="2075"/>
      <c r="AD7" s="2076"/>
      <c r="AE7" s="2076"/>
      <c r="AF7" s="2076"/>
      <c r="AG7" s="2076"/>
      <c r="AH7" s="2076"/>
      <c r="AI7" s="2076"/>
      <c r="AJ7" s="2077"/>
    </row>
    <row r="8" spans="1:36" ht="15">
      <c r="A8" s="3686"/>
      <c r="B8" s="50" t="s">
        <v>2472</v>
      </c>
      <c r="C8" s="2109"/>
      <c r="D8" s="65" t="s">
        <v>89</v>
      </c>
      <c r="E8" s="2110" t="e">
        <f>ROUND(C11/E7,4)</f>
        <v>#DIV/0!</v>
      </c>
      <c r="F8" s="2111" t="s">
        <v>2473</v>
      </c>
      <c r="G8" s="2112"/>
      <c r="H8" s="2112"/>
      <c r="I8" s="2112"/>
      <c r="J8" s="2113"/>
      <c r="K8" s="3020"/>
      <c r="L8" s="2082" t="s">
        <v>2474</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679" t="s">
        <v>2475</v>
      </c>
      <c r="X8" s="3680"/>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686"/>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80"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86"/>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80"/>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86"/>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80" t="s">
        <v>2499</v>
      </c>
      <c r="X11" s="2123" t="s">
        <v>2500</v>
      </c>
      <c r="Y11" s="2124">
        <f>$G$3</f>
        <v>2.5</v>
      </c>
      <c r="Z11" s="2124">
        <f t="shared" ref="Z11:AJ11" si="4">$G$3</f>
        <v>2.5</v>
      </c>
      <c r="AA11" s="2124">
        <f t="shared" si="4"/>
        <v>2.5</v>
      </c>
      <c r="AB11" s="2124">
        <f t="shared" si="4"/>
        <v>2.5</v>
      </c>
      <c r="AC11" s="2124">
        <f t="shared" si="4"/>
        <v>2.5</v>
      </c>
      <c r="AD11" s="2124">
        <f t="shared" si="4"/>
        <v>2.5</v>
      </c>
      <c r="AE11" s="2124">
        <f t="shared" si="4"/>
        <v>2.5</v>
      </c>
      <c r="AF11" s="2124">
        <f t="shared" si="4"/>
        <v>2.5</v>
      </c>
      <c r="AG11" s="2124">
        <f t="shared" si="4"/>
        <v>2.5</v>
      </c>
      <c r="AH11" s="2124">
        <f t="shared" si="4"/>
        <v>2.5</v>
      </c>
      <c r="AI11" s="2124">
        <f t="shared" si="4"/>
        <v>2.5</v>
      </c>
      <c r="AJ11" s="2124">
        <f t="shared" si="4"/>
        <v>2.5</v>
      </c>
    </row>
    <row r="12" spans="1:36" ht="25.5" thickBot="1">
      <c r="A12" s="3685">
        <f>IF(E2="住宅",2,"")</f>
        <v>2</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80"/>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87"/>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f t="shared" si="1"/>
        <v>0</v>
      </c>
      <c r="U13" s="2085"/>
      <c r="V13" s="2074">
        <f t="shared" si="2"/>
        <v>0</v>
      </c>
      <c r="W13" s="3680"/>
      <c r="X13" s="2131"/>
      <c r="Y13" s="2119">
        <f>(-0.163*(Y12^2)-0.59*Y12+7617)*(10^(-4))/Y11</f>
        <v>0.30468000000000001</v>
      </c>
      <c r="Z13" s="2119">
        <f t="shared" ref="Z13:AJ13" si="6">(-0.163*(Z12^2)-0.59*Z12+7617)*(10^(-4))/Z11</f>
        <v>0.30468000000000001</v>
      </c>
      <c r="AA13" s="2119">
        <f t="shared" si="6"/>
        <v>0.30468000000000001</v>
      </c>
      <c r="AB13" s="2119">
        <f t="shared" si="6"/>
        <v>0.30468000000000001</v>
      </c>
      <c r="AC13" s="2119">
        <f t="shared" si="6"/>
        <v>0.30468000000000001</v>
      </c>
      <c r="AD13" s="2119">
        <f t="shared" si="6"/>
        <v>0.30468000000000001</v>
      </c>
      <c r="AE13" s="2119">
        <f t="shared" si="6"/>
        <v>0.30468000000000001</v>
      </c>
      <c r="AF13" s="2119">
        <f t="shared" si="6"/>
        <v>0.30468000000000001</v>
      </c>
      <c r="AG13" s="2119">
        <f t="shared" si="6"/>
        <v>0.30468000000000001</v>
      </c>
      <c r="AH13" s="2119">
        <f t="shared" si="6"/>
        <v>0.30468000000000001</v>
      </c>
      <c r="AI13" s="2119">
        <f t="shared" si="6"/>
        <v>0.30468000000000001</v>
      </c>
      <c r="AJ13" s="2119">
        <f t="shared" si="6"/>
        <v>0.30468000000000001</v>
      </c>
    </row>
    <row r="14" spans="1:36" ht="15">
      <c r="A14" s="3687"/>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688"/>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89">
        <f>IF(E2="办公",2,IF(E2="工业",2,IF(E2="住宅",3,IF(E2="商业",IF(C8="不临58条商业街",2,3)))))</f>
        <v>3</v>
      </c>
      <c r="B16" s="1601" t="s">
        <v>2521</v>
      </c>
      <c r="C16" s="1577">
        <f>ROUND(IF(F17="与级别开发程度一致",0,(G17-E17)/C17),0)</f>
        <v>0</v>
      </c>
      <c r="D16" s="3702" t="s">
        <v>2525</v>
      </c>
      <c r="E16" s="3703"/>
      <c r="F16" s="3702" t="s">
        <v>2522</v>
      </c>
      <c r="G16" s="3703"/>
      <c r="H16" s="2145"/>
      <c r="I16" s="2145"/>
      <c r="J16" s="2146"/>
      <c r="K16" s="2145"/>
      <c r="L16" s="2145"/>
      <c r="M16" s="2145"/>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90"/>
      <c r="B17" s="1602" t="s">
        <v>2524</v>
      </c>
      <c r="C17" s="2148">
        <f>SUMPRODUCT((修正!A2:A5=E2)*(修正!B1:M1=G2)*(修正!B2:M5))</f>
        <v>2.5</v>
      </c>
      <c r="D17" s="2142" t="str">
        <f>IF(OR(G2="八级",G2="九级",G2="十级",G2="十一级",G2="十二级"),"五通一平","七通一平")</f>
        <v>七通一平</v>
      </c>
      <c r="E17" s="2149">
        <f>SUMPRODUCT((修正!B1:M1=G2)*(修正!B15:M15))</f>
        <v>300</v>
      </c>
      <c r="F17" s="2150" t="s">
        <v>2831</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1.7232000000000001</v>
      </c>
      <c r="D19" s="2160" t="s">
        <v>2531</v>
      </c>
      <c r="E19" s="2161">
        <v>41640</v>
      </c>
      <c r="F19" s="2160" t="s">
        <v>2532</v>
      </c>
      <c r="G19" s="2162">
        <f>'数据-取费表'!B2</f>
        <v>44610</v>
      </c>
      <c r="H19" s="2163" t="s">
        <v>2665</v>
      </c>
      <c r="I19" s="2164" t="str">
        <f>IF(H19="季度增幅（自定义）",SUMIF(N21:N24,E2,O21:O24),"")</f>
        <v/>
      </c>
      <c r="J19" s="2165"/>
      <c r="K19" s="3022"/>
      <c r="L19" s="2046" t="s">
        <v>2533</v>
      </c>
      <c r="M19" s="2166">
        <f>ROUND(SUMIF(地价!B2:F2,E2,地价!B37:F37),0)</f>
        <v>423</v>
      </c>
      <c r="N19" s="2167" t="s">
        <v>2534</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0.86399999999999999</v>
      </c>
      <c r="D20" s="2172" t="s">
        <v>2537</v>
      </c>
      <c r="E20" s="3125">
        <f>存贷款利率!E20/100</f>
        <v>4.3499999999999997E-2</v>
      </c>
      <c r="F20" s="2172" t="s">
        <v>2526</v>
      </c>
      <c r="G20" s="3126">
        <f>SUMIF(M26:P26,E2,M28:P28)</f>
        <v>0.05</v>
      </c>
      <c r="H20" s="2172" t="s">
        <v>2538</v>
      </c>
      <c r="I20" s="2173">
        <f>'数据-取费表'!B13</f>
        <v>37</v>
      </c>
      <c r="J20" s="2174">
        <f>IF(E2="住宅",70,IF(E2="商业",40,50))</f>
        <v>70</v>
      </c>
      <c r="K20" s="3022"/>
      <c r="L20" s="2175" t="s">
        <v>2539</v>
      </c>
      <c r="M20" s="2176">
        <f>ROUND(SUMPRODUCT((地价!A4:A37=YEAR(G19)&amp;"-"&amp;ROUNDUP(MONTH(G19)/3,0))*(地价!B2:F2=E2)*(地价!B4:F37)),0)</f>
        <v>729</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4.25">
      <c r="A21" s="2180" t="s">
        <v>2543</v>
      </c>
      <c r="B21" s="1585" t="s">
        <v>2544</v>
      </c>
      <c r="C21" s="2181">
        <f>IF(B21="容积率修正",IF(G3&lt;=10,D22,J22),C23)</f>
        <v>1</v>
      </c>
      <c r="D21" s="2182"/>
      <c r="E21" s="2182"/>
      <c r="F21" s="2182"/>
      <c r="G21" s="2182"/>
      <c r="H21" s="2182"/>
      <c r="I21" s="2182"/>
      <c r="J21" s="2047"/>
      <c r="K21" s="3022"/>
      <c r="L21" s="3022"/>
      <c r="M21" s="3022"/>
      <c r="N21" s="2183" t="s">
        <v>2545</v>
      </c>
      <c r="O21" s="2184"/>
      <c r="P21" s="2185">
        <f>SUMPRODUCT((地价!A3:A37=YEAR(G19)&amp;"-"&amp;ROUNDUP(MONTH(G19)/3,0))*(地价!AD2:AH2=N21)*(地价!AD3:AH37))</f>
        <v>1.0200000000000001E-2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1</v>
      </c>
      <c r="E22" s="2086">
        <f>ROUNDDOWN(G3,1)</f>
        <v>2.5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2.5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6" t="str">
        <f>IF(G3&gt;10,D113,"——")</f>
        <v>——</v>
      </c>
      <c r="K22" s="3022"/>
      <c r="L22" s="3022"/>
      <c r="M22" s="3022"/>
      <c r="N22" s="2183" t="s">
        <v>2548</v>
      </c>
      <c r="O22" s="2184"/>
      <c r="P22" s="2185">
        <f>SUMPRODUCT((地价!A3:A37=YEAR(G19)&amp;"-"&amp;ROUNDUP(MONTH(G19)/3,0))*(地价!AD2:AH2=N22)*(地价!AD3:AH37))</f>
        <v>1.0200000000000001E-2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2549</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2550</v>
      </c>
      <c r="O23" s="2184"/>
      <c r="P23" s="2185">
        <f>SUMPRODUCT((地价!A3:A37=YEAR(G19)&amp;"-"&amp;ROUNDUP(MONTH(G19)/3,0))*(地价!AD2:AH2=N23)*(地价!AD3:AH37))</f>
        <v>1.77E-2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2551</v>
      </c>
      <c r="B24" s="1587" t="s">
        <v>2552</v>
      </c>
      <c r="C24" s="2191">
        <f>SUMIF(A46:A88,E2,B46:B88)</f>
        <v>1</v>
      </c>
      <c r="D24" s="2192"/>
      <c r="E24" s="2193"/>
      <c r="F24" s="2193"/>
      <c r="G24" s="2193"/>
      <c r="H24" s="2193"/>
      <c r="I24" s="2193"/>
      <c r="J24" s="2194"/>
      <c r="K24" s="3022"/>
      <c r="L24" s="3022"/>
      <c r="M24" s="3022"/>
      <c r="N24" s="2195" t="s">
        <v>2553</v>
      </c>
      <c r="O24" s="2196"/>
      <c r="P24" s="2197">
        <f>SUMPRODUCT((地价!A3:A37=YEAR(G19)&amp;"-"&amp;ROUNDUP(MONTH(G19)/3,0))*(地价!AD2:AH2=N24)*(地价!AD3:AH37))</f>
        <v>1.18E-2</v>
      </c>
      <c r="Q24" s="3022"/>
      <c r="R24" s="3020"/>
      <c r="S24" s="3020"/>
      <c r="T24" s="3020"/>
      <c r="U24" s="3020"/>
      <c r="V24" s="3020"/>
      <c r="W24" s="3020"/>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20"/>
      <c r="L25" s="3020"/>
      <c r="M25" s="3020"/>
      <c r="N25" s="3023" t="s">
        <v>2556</v>
      </c>
      <c r="O25" s="3024"/>
      <c r="P25" s="3025">
        <f>SUMPRODUCT((地价!A3:A37=YEAR(G19)&amp;"-"&amp;ROUNDUP(MONTH(G19)/3,0))*(地价!AD2:AH2=N25)*(地价!AD3:AH37))</f>
        <v>1.61E-2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2557</v>
      </c>
      <c r="C26" s="2860">
        <f>IF(B21="容积率修正",E29+SUM(E33:E39),SUM(V2:V16)+SUM(E33:E39))</f>
        <v>1195992</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2563</v>
      </c>
      <c r="C29" s="54">
        <f>ROUND(C5*C18*C19*C20*C21*C24,0)</f>
        <v>18984</v>
      </c>
      <c r="D29" s="2214">
        <f>项目基本情况!C12</f>
        <v>63</v>
      </c>
      <c r="E29" s="2001">
        <f>ROUND(C29*D29,0)</f>
        <v>1195992</v>
      </c>
      <c r="F29" s="2215" t="s">
        <v>2564</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2565</v>
      </c>
      <c r="C30" s="2142">
        <f>ROUND(IF(E2="工业",C29*M39,C29*M38),0)</f>
        <v>4746</v>
      </c>
      <c r="D30" s="2219"/>
      <c r="E30" s="2001">
        <f>ROUND(C30*D30,0)</f>
        <v>0</v>
      </c>
      <c r="F30" s="2220" t="s">
        <v>2566</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99" t="s">
        <v>2571</v>
      </c>
      <c r="B33" s="2227" t="s">
        <v>2572</v>
      </c>
      <c r="C33" s="54">
        <f>ROUND(D5*C19*C20*C24*F33,0)</f>
        <v>10068</v>
      </c>
      <c r="D33" s="2214"/>
      <c r="E33" s="50">
        <f t="shared" ref="E33:E39" si="7">ROUND(C33*D33,0)</f>
        <v>0</v>
      </c>
      <c r="F33" s="50">
        <f>SUMIF(修正!A45:A56,G2,修正!B45:B56)</f>
        <v>0.7</v>
      </c>
      <c r="G33" s="50">
        <f t="shared" ref="G33" si="8">ROUND(IF(E2="工业",C33*$M$39,C33*$M$38),0)</f>
        <v>2517</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700"/>
      <c r="B34" s="2132" t="s">
        <v>2573</v>
      </c>
      <c r="C34" s="54">
        <f>ROUND(D5*C19*C20*C24*F34,0)</f>
        <v>5753</v>
      </c>
      <c r="D34" s="2214"/>
      <c r="E34" s="50">
        <f t="shared" si="7"/>
        <v>0</v>
      </c>
      <c r="F34" s="50">
        <f>SUMIF(修正!A45:A56,G2,修正!C45:C56)</f>
        <v>0.4</v>
      </c>
      <c r="G34" s="50">
        <f>ROUND(IF(E2="工业",C34*$M$39,C34*$M$38),0)</f>
        <v>1438</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700"/>
      <c r="B35" s="2132" t="s">
        <v>2574</v>
      </c>
      <c r="C35" s="54">
        <f>ROUND(D5*C19*C20*C24*F35,0)</f>
        <v>4027</v>
      </c>
      <c r="D35" s="2214"/>
      <c r="E35" s="50">
        <f t="shared" si="7"/>
        <v>0</v>
      </c>
      <c r="F35" s="50">
        <f>SUMIF(修正!A45:A56,G2,修正!D45:D56)</f>
        <v>0.28000000000000003</v>
      </c>
      <c r="G35" s="50">
        <f>ROUND(IF(E2="工业",C35*$M$39,C35*$M$38),0)</f>
        <v>1007</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701"/>
      <c r="B36" s="2132" t="s">
        <v>2575</v>
      </c>
      <c r="C36" s="54">
        <f>ROUND(D5*C19*C20*C24*F36,0)</f>
        <v>3596</v>
      </c>
      <c r="D36" s="2214"/>
      <c r="E36" s="50">
        <f t="shared" si="7"/>
        <v>0</v>
      </c>
      <c r="F36" s="50">
        <f>SUMIF(修正!A45:A56,G2,修正!E45:E56)</f>
        <v>0.25</v>
      </c>
      <c r="G36" s="50">
        <f>ROUND(IF(E2="工业",C36*$M$39,C36*$M$38),0)</f>
        <v>899</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2576</v>
      </c>
      <c r="C37" s="50">
        <f>ROUND(D5*C19*C20*C24*F37,0)</f>
        <v>3596</v>
      </c>
      <c r="D37" s="2214"/>
      <c r="E37" s="50">
        <f t="shared" si="7"/>
        <v>0</v>
      </c>
      <c r="F37" s="54">
        <f>SUMIF(修正!A45:A56,G2,修正!F45:F56)</f>
        <v>0.25</v>
      </c>
      <c r="G37" s="50">
        <f>ROUND(IF(E2="工业",C37*$M$39,C37*$M$38),0)</f>
        <v>899</v>
      </c>
      <c r="H37" s="50">
        <f t="shared" si="10"/>
        <v>0</v>
      </c>
      <c r="I37" s="50">
        <f t="shared" si="9"/>
        <v>0</v>
      </c>
      <c r="J37" s="2201"/>
      <c r="K37" s="3020"/>
      <c r="L37" s="2229" t="s">
        <v>2577</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0.25</v>
      </c>
      <c r="G38" s="50">
        <f>ROUND(IF(E2="工业",C38*$M$39,C38*$M$38),0)</f>
        <v>0</v>
      </c>
      <c r="H38" s="50">
        <f t="shared" si="10"/>
        <v>0</v>
      </c>
      <c r="I38" s="50">
        <f t="shared" si="9"/>
        <v>0</v>
      </c>
      <c r="J38" s="2201"/>
      <c r="K38" s="3020"/>
      <c r="L38" s="2230" t="s">
        <v>2579</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2580</v>
      </c>
      <c r="C39" s="2142">
        <f>ROUND(D5*C19*C41*C24*F39,0)</f>
        <v>0</v>
      </c>
      <c r="D39" s="2219"/>
      <c r="E39" s="2142">
        <f t="shared" si="7"/>
        <v>0</v>
      </c>
      <c r="F39" s="56">
        <f>SUMIF(修正!A45:A56,G2,修正!H45:H56)</f>
        <v>0.2</v>
      </c>
      <c r="G39" s="2142">
        <f>ROUND(IF(E2="工业",C39*$M$39,C39*$M$38),0)</f>
        <v>0</v>
      </c>
      <c r="H39" s="2142">
        <f t="shared" si="10"/>
        <v>0</v>
      </c>
      <c r="I39" s="2142">
        <f t="shared" si="9"/>
        <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2660</v>
      </c>
      <c r="C41" s="50">
        <f>ROUND(POWER(1+E41,H41-G41)*(POWER(1+E41,G41)-1)/(POWER(1+E41,H41)-1),4)</f>
        <v>0</v>
      </c>
      <c r="D41" s="50" t="s">
        <v>2658</v>
      </c>
      <c r="E41" s="2237">
        <f>G20</f>
        <v>0.05</v>
      </c>
      <c r="F41" s="50" t="s">
        <v>2659</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2582</v>
      </c>
      <c r="B46" s="2242">
        <f>1+E48</f>
        <v>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2597</v>
      </c>
      <c r="B48" s="2252" t="str">
        <f>估价对象房地状况!C16</f>
        <v>估价对象位于XX商圈，周边商业氛围成熟，人流量大，商业繁华度好</v>
      </c>
      <c r="C48" s="2136"/>
      <c r="D48" s="2253">
        <f t="shared" ref="D48:D56" si="11">SUMIF($J$47:$N$47,C48,J48:N48)</f>
        <v>0</v>
      </c>
      <c r="E48" s="2254">
        <f>ROUND(SUM(D48:D56),4)</f>
        <v>0</v>
      </c>
      <c r="F48" s="2255" t="str">
        <f>IF(E2="商业",SUMIF(L1:L12,G2,N1:N12),"——")</f>
        <v>——</v>
      </c>
      <c r="G48" s="2256"/>
      <c r="H48" s="2257" t="str">
        <f t="shared" ref="H48:H56" si="12">IFERROR(ROUNDDOWN($F$48*I48/2,4),"——")</f>
        <v>——</v>
      </c>
      <c r="I48" s="2258">
        <v>0.33</v>
      </c>
      <c r="J48" s="2259">
        <f t="shared" ref="J48:J56" si="13">K48+$G48</f>
        <v>0</v>
      </c>
      <c r="K48" s="2259">
        <f t="shared" ref="K48:K56" si="14">$L48+$G48</f>
        <v>0</v>
      </c>
      <c r="L48" s="2259">
        <v>0</v>
      </c>
      <c r="M48" s="2259">
        <f t="shared" ref="M48:N56" si="15">L48-$G48</f>
        <v>0</v>
      </c>
      <c r="N48" s="2259">
        <f t="shared" si="15"/>
        <v>0</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2598</v>
      </c>
      <c r="B49" s="2260" t="str">
        <f>估价对象房地状况!C18</f>
        <v>估价对象周边道路状况、公共交通通达情况、停车便捷程度，综合评价交通便捷度较好</v>
      </c>
      <c r="C49" s="2136"/>
      <c r="D49" s="2253">
        <f t="shared" si="11"/>
        <v>0</v>
      </c>
      <c r="E49" s="2261"/>
      <c r="F49" s="2255"/>
      <c r="G49" s="2256"/>
      <c r="H49" s="2257" t="str">
        <f t="shared" si="12"/>
        <v>——</v>
      </c>
      <c r="I49" s="2258">
        <v>0.25</v>
      </c>
      <c r="J49" s="2259">
        <f t="shared" si="13"/>
        <v>0</v>
      </c>
      <c r="K49" s="2259">
        <f t="shared" si="14"/>
        <v>0</v>
      </c>
      <c r="L49" s="2259">
        <v>0</v>
      </c>
      <c r="M49" s="2259">
        <f t="shared" si="15"/>
        <v>0</v>
      </c>
      <c r="N49" s="2259">
        <f t="shared" si="15"/>
        <v>0</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2599</v>
      </c>
      <c r="B50" s="2260">
        <f>估价对象房地状况!C19</f>
        <v>0</v>
      </c>
      <c r="C50" s="2136"/>
      <c r="D50" s="2253">
        <f t="shared" si="11"/>
        <v>0</v>
      </c>
      <c r="E50" s="2261"/>
      <c r="F50" s="2255"/>
      <c r="G50" s="2256"/>
      <c r="H50" s="2257" t="str">
        <f t="shared" si="12"/>
        <v>——</v>
      </c>
      <c r="I50" s="2258">
        <v>0.05</v>
      </c>
      <c r="J50" s="2259">
        <f t="shared" si="13"/>
        <v>0</v>
      </c>
      <c r="K50" s="2259">
        <f t="shared" si="14"/>
        <v>0</v>
      </c>
      <c r="L50" s="2259">
        <v>0</v>
      </c>
      <c r="M50" s="2259">
        <f t="shared" si="15"/>
        <v>0</v>
      </c>
      <c r="N50" s="2259">
        <f t="shared" si="15"/>
        <v>0</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2600</v>
      </c>
      <c r="B51" s="2262" t="s">
        <v>2601</v>
      </c>
      <c r="C51" s="2136"/>
      <c r="D51" s="2253">
        <f t="shared" si="11"/>
        <v>0</v>
      </c>
      <c r="E51" s="2261"/>
      <c r="F51" s="2255"/>
      <c r="G51" s="2256"/>
      <c r="H51" s="2257" t="str">
        <f t="shared" si="12"/>
        <v>——</v>
      </c>
      <c r="I51" s="2258">
        <v>0.05</v>
      </c>
      <c r="J51" s="2259">
        <f t="shared" si="13"/>
        <v>0</v>
      </c>
      <c r="K51" s="2259">
        <f t="shared" si="14"/>
        <v>0</v>
      </c>
      <c r="L51" s="2259">
        <v>0</v>
      </c>
      <c r="M51" s="2259">
        <f t="shared" si="15"/>
        <v>0</v>
      </c>
      <c r="N51" s="2259">
        <f t="shared" si="15"/>
        <v>0</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2602</v>
      </c>
      <c r="B52" s="2260">
        <f>估价对象房地状况!C24</f>
        <v>0</v>
      </c>
      <c r="C52" s="2136"/>
      <c r="D52" s="2253">
        <f t="shared" si="11"/>
        <v>0</v>
      </c>
      <c r="E52" s="2261"/>
      <c r="F52" s="2255"/>
      <c r="G52" s="2256"/>
      <c r="H52" s="2257" t="str">
        <f t="shared" si="12"/>
        <v>——</v>
      </c>
      <c r="I52" s="2258">
        <v>0.08</v>
      </c>
      <c r="J52" s="2259">
        <f t="shared" si="13"/>
        <v>0</v>
      </c>
      <c r="K52" s="2259">
        <f t="shared" si="14"/>
        <v>0</v>
      </c>
      <c r="L52" s="2259">
        <v>0</v>
      </c>
      <c r="M52" s="2259">
        <f t="shared" si="15"/>
        <v>0</v>
      </c>
      <c r="N52" s="2259">
        <f t="shared" si="15"/>
        <v>0</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2603</v>
      </c>
      <c r="B53" s="2263" t="s">
        <v>2604</v>
      </c>
      <c r="C53" s="2136"/>
      <c r="D53" s="2253">
        <f t="shared" si="11"/>
        <v>0</v>
      </c>
      <c r="E53" s="2261"/>
      <c r="F53" s="2255"/>
      <c r="G53" s="2256"/>
      <c r="H53" s="2257" t="str">
        <f t="shared" si="12"/>
        <v>——</v>
      </c>
      <c r="I53" s="2258">
        <v>0.03</v>
      </c>
      <c r="J53" s="2259">
        <f t="shared" si="13"/>
        <v>0</v>
      </c>
      <c r="K53" s="2259">
        <f t="shared" si="14"/>
        <v>0</v>
      </c>
      <c r="L53" s="2259">
        <v>0</v>
      </c>
      <c r="M53" s="2259">
        <f t="shared" si="15"/>
        <v>0</v>
      </c>
      <c r="N53" s="2259">
        <f t="shared" si="15"/>
        <v>0</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2605</v>
      </c>
      <c r="B54" s="2265" t="str">
        <f>估价对象房地状况!C21</f>
        <v>估价对象所在区域公共配套设施齐备情况</v>
      </c>
      <c r="C54" s="2136"/>
      <c r="D54" s="2253">
        <f t="shared" si="11"/>
        <v>0</v>
      </c>
      <c r="E54" s="2261"/>
      <c r="F54" s="2255"/>
      <c r="G54" s="2256"/>
      <c r="H54" s="2257" t="str">
        <f t="shared" si="12"/>
        <v>——</v>
      </c>
      <c r="I54" s="2258">
        <v>0.05</v>
      </c>
      <c r="J54" s="2259">
        <f t="shared" si="13"/>
        <v>0</v>
      </c>
      <c r="K54" s="2259">
        <f t="shared" si="14"/>
        <v>0</v>
      </c>
      <c r="L54" s="2259">
        <v>0</v>
      </c>
      <c r="M54" s="2259">
        <f t="shared" si="15"/>
        <v>0</v>
      </c>
      <c r="N54" s="2259">
        <f t="shared" si="15"/>
        <v>0</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2606</v>
      </c>
      <c r="B55" s="2260" t="str">
        <f>估价对象房地状况!C22</f>
        <v>估价对象所在区域基础设施水平</v>
      </c>
      <c r="C55" s="2136"/>
      <c r="D55" s="2253">
        <f t="shared" si="11"/>
        <v>0</v>
      </c>
      <c r="E55" s="2261"/>
      <c r="F55" s="2255"/>
      <c r="G55" s="2256"/>
      <c r="H55" s="2257" t="str">
        <f t="shared" si="12"/>
        <v>——</v>
      </c>
      <c r="I55" s="2258">
        <v>0.1</v>
      </c>
      <c r="J55" s="2259">
        <f t="shared" si="13"/>
        <v>0</v>
      </c>
      <c r="K55" s="2259">
        <f t="shared" si="14"/>
        <v>0</v>
      </c>
      <c r="L55" s="2259">
        <v>0</v>
      </c>
      <c r="M55" s="2259">
        <f t="shared" si="15"/>
        <v>0</v>
      </c>
      <c r="N55" s="2259">
        <f t="shared" si="15"/>
        <v>0</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2607</v>
      </c>
      <c r="B56" s="2267" t="str">
        <f>估价对象房地状况!C20</f>
        <v>区域自然环境：；人文环境；综合评价环境状况一般</v>
      </c>
      <c r="C56" s="2136"/>
      <c r="D56" s="2253">
        <f t="shared" si="11"/>
        <v>0</v>
      </c>
      <c r="E56" s="2268"/>
      <c r="F56" s="2255"/>
      <c r="G56" s="2256"/>
      <c r="H56" s="2257" t="str">
        <f t="shared" si="12"/>
        <v>——</v>
      </c>
      <c r="I56" s="2269">
        <v>0.06</v>
      </c>
      <c r="J56" s="2259">
        <f t="shared" si="13"/>
        <v>0</v>
      </c>
      <c r="K56" s="2259">
        <f t="shared" si="14"/>
        <v>0</v>
      </c>
      <c r="L56" s="2259">
        <v>0</v>
      </c>
      <c r="M56" s="2259">
        <f t="shared" si="15"/>
        <v>0</v>
      </c>
      <c r="N56" s="2259">
        <f t="shared" si="15"/>
        <v>0</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2608</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2612</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2598</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2599</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2600</v>
      </c>
      <c r="B62" s="2262" t="s">
        <v>2601</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2602</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2603</v>
      </c>
      <c r="B64" s="2263" t="s">
        <v>2604</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2605</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2606</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2607</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2614</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f>IF(E2="住宅",SUMIF(L1:L12,G2,N1:N12),"——")</f>
        <v>0.105</v>
      </c>
      <c r="G70" s="2256"/>
      <c r="H70" s="2257">
        <f t="shared" ref="H70:H78" si="22">IFERROR(ROUNDDOWN($F$70*I70/2,4),"——")</f>
        <v>7.3000000000000001E-3</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2598</v>
      </c>
      <c r="B71" s="2260" t="str">
        <f>估价对象房地状况!C18</f>
        <v>估价对象周边道路状况、公共交通通达情况、停车便捷程度，综合评价交通便捷度较好</v>
      </c>
      <c r="C71" s="2136"/>
      <c r="D71" s="2253">
        <f t="shared" si="21"/>
        <v>0</v>
      </c>
      <c r="E71" s="2261"/>
      <c r="F71" s="2255"/>
      <c r="G71" s="2256"/>
      <c r="H71" s="2257">
        <f t="shared" si="22"/>
        <v>1.5699999999999999E-2</v>
      </c>
      <c r="I71" s="2258">
        <v>0.3</v>
      </c>
      <c r="J71" s="2259">
        <f t="shared" si="23"/>
        <v>0</v>
      </c>
      <c r="K71" s="2259">
        <f t="shared" si="24"/>
        <v>0</v>
      </c>
      <c r="L71" s="2259">
        <v>0</v>
      </c>
      <c r="M71" s="2259">
        <f t="shared" si="25"/>
        <v>0</v>
      </c>
      <c r="N71" s="2259">
        <f t="shared" si="25"/>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1"/>
        <v>0</v>
      </c>
      <c r="E72" s="2261"/>
      <c r="F72" s="2255"/>
      <c r="G72" s="2256"/>
      <c r="H72" s="2257">
        <f t="shared" si="22"/>
        <v>4.1999999999999997E-3</v>
      </c>
      <c r="I72" s="2258">
        <v>0.08</v>
      </c>
      <c r="J72" s="2259">
        <f t="shared" si="23"/>
        <v>0</v>
      </c>
      <c r="K72" s="2259">
        <f t="shared" si="24"/>
        <v>0</v>
      </c>
      <c r="L72" s="2259">
        <v>0</v>
      </c>
      <c r="M72" s="2259">
        <f t="shared" si="25"/>
        <v>0</v>
      </c>
      <c r="N72" s="2259">
        <f t="shared" si="25"/>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2615</v>
      </c>
      <c r="B73" s="2260">
        <f>估价对象房地状况!C24</f>
        <v>0</v>
      </c>
      <c r="C73" s="2136"/>
      <c r="D73" s="2253">
        <f t="shared" si="21"/>
        <v>0</v>
      </c>
      <c r="E73" s="2261"/>
      <c r="F73" s="2255"/>
      <c r="G73" s="2256"/>
      <c r="H73" s="2257">
        <f t="shared" si="22"/>
        <v>2.0999999999999999E-3</v>
      </c>
      <c r="I73" s="2258">
        <v>0.04</v>
      </c>
      <c r="J73" s="2259">
        <f t="shared" si="23"/>
        <v>0</v>
      </c>
      <c r="K73" s="2259">
        <f t="shared" si="24"/>
        <v>0</v>
      </c>
      <c r="L73" s="2259">
        <v>0</v>
      </c>
      <c r="M73" s="2259">
        <f t="shared" si="25"/>
        <v>0</v>
      </c>
      <c r="N73" s="2259">
        <f t="shared" si="25"/>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2605</v>
      </c>
      <c r="B74" s="2265" t="str">
        <f>估价对象房地状况!C21</f>
        <v>估价对象所在区域公共配套设施齐备情况</v>
      </c>
      <c r="C74" s="2136"/>
      <c r="D74" s="2253">
        <f t="shared" si="21"/>
        <v>0</v>
      </c>
      <c r="E74" s="2261"/>
      <c r="F74" s="2255"/>
      <c r="G74" s="2256"/>
      <c r="H74" s="2257">
        <f t="shared" si="22"/>
        <v>4.1999999999999997E-3</v>
      </c>
      <c r="I74" s="2258">
        <v>0.08</v>
      </c>
      <c r="J74" s="2259">
        <f t="shared" si="23"/>
        <v>0</v>
      </c>
      <c r="K74" s="2259">
        <f t="shared" si="24"/>
        <v>0</v>
      </c>
      <c r="L74" s="2259">
        <v>0</v>
      </c>
      <c r="M74" s="2259">
        <f t="shared" si="25"/>
        <v>0</v>
      </c>
      <c r="N74" s="2259">
        <f t="shared" si="25"/>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2606</v>
      </c>
      <c r="B75" s="2265" t="str">
        <f>估价对象房地状况!C22</f>
        <v>估价对象所在区域基础设施水平</v>
      </c>
      <c r="C75" s="2136"/>
      <c r="D75" s="2253">
        <f t="shared" si="21"/>
        <v>0</v>
      </c>
      <c r="E75" s="2261"/>
      <c r="F75" s="2255"/>
      <c r="G75" s="2256"/>
      <c r="H75" s="2257">
        <f t="shared" si="22"/>
        <v>6.3E-3</v>
      </c>
      <c r="I75" s="2258">
        <v>0.12</v>
      </c>
      <c r="J75" s="2259">
        <f t="shared" si="23"/>
        <v>0</v>
      </c>
      <c r="K75" s="2259">
        <f t="shared" si="24"/>
        <v>0</v>
      </c>
      <c r="L75" s="2259">
        <v>0</v>
      </c>
      <c r="M75" s="2259">
        <f t="shared" si="25"/>
        <v>0</v>
      </c>
      <c r="N75" s="2259">
        <f t="shared" si="25"/>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2603</v>
      </c>
      <c r="B76" s="2263" t="s">
        <v>2604</v>
      </c>
      <c r="C76" s="2136"/>
      <c r="D76" s="2253">
        <f t="shared" si="21"/>
        <v>0</v>
      </c>
      <c r="E76" s="2261"/>
      <c r="F76" s="2255"/>
      <c r="G76" s="2256"/>
      <c r="H76" s="2257">
        <f t="shared" si="22"/>
        <v>2.5999999999999999E-3</v>
      </c>
      <c r="I76" s="2258">
        <v>0.05</v>
      </c>
      <c r="J76" s="2259">
        <f t="shared" si="23"/>
        <v>0</v>
      </c>
      <c r="K76" s="2259">
        <f t="shared" si="24"/>
        <v>0</v>
      </c>
      <c r="L76" s="2259">
        <v>0</v>
      </c>
      <c r="M76" s="2259">
        <f t="shared" si="25"/>
        <v>0</v>
      </c>
      <c r="N76" s="2259">
        <f t="shared" si="25"/>
        <v>0</v>
      </c>
      <c r="Q76" s="3028"/>
      <c r="R76" s="3028"/>
      <c r="S76" s="3028"/>
      <c r="T76" s="3028"/>
      <c r="U76" s="3028"/>
      <c r="V76" s="3028"/>
      <c r="W76" s="3028"/>
      <c r="AA76" s="1594"/>
      <c r="AG76" s="2235"/>
    </row>
    <row r="77" spans="1:33" ht="38.25">
      <c r="A77" s="2248" t="s">
        <v>2607</v>
      </c>
      <c r="B77" s="2252" t="str">
        <f>估价对象房地状况!C20</f>
        <v>区域自然环境：；人文环境；综合评价环境状况一般</v>
      </c>
      <c r="C77" s="2136"/>
      <c r="D77" s="2253">
        <f t="shared" si="21"/>
        <v>0</v>
      </c>
      <c r="E77" s="2261"/>
      <c r="F77" s="2255"/>
      <c r="G77" s="2256"/>
      <c r="H77" s="2257">
        <f t="shared" si="22"/>
        <v>7.7999999999999996E-3</v>
      </c>
      <c r="I77" s="2258">
        <v>0.15</v>
      </c>
      <c r="J77" s="2259">
        <f t="shared" si="23"/>
        <v>0</v>
      </c>
      <c r="K77" s="2259">
        <f t="shared" si="24"/>
        <v>0</v>
      </c>
      <c r="L77" s="2259">
        <v>0</v>
      </c>
      <c r="M77" s="2259">
        <f t="shared" si="25"/>
        <v>0</v>
      </c>
      <c r="N77" s="2259">
        <f t="shared" si="25"/>
        <v>0</v>
      </c>
      <c r="Q77" s="3028"/>
      <c r="R77" s="3028"/>
      <c r="S77" s="3028"/>
      <c r="T77" s="3028"/>
      <c r="U77" s="3028"/>
      <c r="V77" s="3028"/>
      <c r="W77" s="3028"/>
      <c r="AA77" s="1594"/>
      <c r="AG77" s="2235"/>
    </row>
    <row r="78" spans="1:33" ht="24.75" thickBot="1">
      <c r="A78" s="2266" t="s">
        <v>2616</v>
      </c>
      <c r="B78" s="2272"/>
      <c r="C78" s="2136"/>
      <c r="D78" s="2253">
        <f t="shared" si="21"/>
        <v>0</v>
      </c>
      <c r="E78" s="2268"/>
      <c r="F78" s="2255"/>
      <c r="G78" s="2256"/>
      <c r="H78" s="2257">
        <f t="shared" si="22"/>
        <v>2.0999999999999999E-3</v>
      </c>
      <c r="I78" s="2269">
        <v>0.04</v>
      </c>
      <c r="J78" s="2259">
        <f t="shared" si="23"/>
        <v>0</v>
      </c>
      <c r="K78" s="2259">
        <f t="shared" si="24"/>
        <v>0</v>
      </c>
      <c r="L78" s="2259">
        <v>0</v>
      </c>
      <c r="M78" s="2259">
        <f t="shared" si="25"/>
        <v>0</v>
      </c>
      <c r="N78" s="2259">
        <f t="shared" si="25"/>
        <v>0</v>
      </c>
      <c r="Q78" s="3028"/>
      <c r="R78" s="3028"/>
      <c r="S78" s="3028"/>
      <c r="T78" s="3028"/>
      <c r="U78" s="3028"/>
      <c r="V78" s="3028"/>
      <c r="W78" s="3028"/>
      <c r="AA78" s="1594"/>
      <c r="AG78" s="2235"/>
    </row>
    <row r="79" spans="1:33" ht="15">
      <c r="A79" s="2241" t="s">
        <v>2617</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2251</v>
      </c>
      <c r="K80" s="1876" t="s">
        <v>2252</v>
      </c>
      <c r="L80" s="1876" t="s">
        <v>2253</v>
      </c>
      <c r="M80" s="1876" t="s">
        <v>2254</v>
      </c>
      <c r="N80" s="1876" t="s">
        <v>2255</v>
      </c>
      <c r="Q80" s="3028"/>
      <c r="R80" s="3028"/>
      <c r="S80" s="3028"/>
      <c r="T80" s="3028"/>
      <c r="U80" s="3028"/>
      <c r="V80" s="3028"/>
      <c r="W80" s="3028"/>
      <c r="AA80" s="1594"/>
      <c r="AG80" s="2235"/>
    </row>
    <row r="81" spans="1:33" ht="38.25">
      <c r="A81" s="2248" t="s">
        <v>2618</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8"/>
      <c r="R81" s="3028"/>
      <c r="S81" s="3028"/>
      <c r="T81" s="3028"/>
      <c r="U81" s="3028"/>
      <c r="V81" s="3028"/>
      <c r="W81" s="3028"/>
      <c r="AA81" s="1594"/>
      <c r="AG81" s="2235"/>
    </row>
    <row r="82" spans="1:33" ht="51">
      <c r="A82" s="2248" t="s">
        <v>2598</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8"/>
      <c r="R82" s="3028"/>
      <c r="S82" s="3028"/>
      <c r="T82" s="3028"/>
      <c r="U82" s="3028"/>
      <c r="V82" s="3028"/>
      <c r="W82" s="3028"/>
      <c r="AA82" s="1594"/>
      <c r="AG82" s="2235"/>
    </row>
    <row r="83" spans="1:33" ht="24">
      <c r="A83" s="2248" t="s">
        <v>2599</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8"/>
      <c r="R83" s="3028"/>
      <c r="S83" s="3028"/>
      <c r="T83" s="3028"/>
      <c r="U83" s="3028"/>
      <c r="V83" s="3028"/>
      <c r="W83" s="3028"/>
      <c r="AA83" s="1594"/>
      <c r="AG83" s="2235"/>
    </row>
    <row r="84" spans="1:33" ht="14.25">
      <c r="A84" s="2248" t="s">
        <v>2615</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8"/>
      <c r="R84" s="3028"/>
      <c r="S84" s="3028"/>
      <c r="T84" s="3028"/>
      <c r="U84" s="3028"/>
      <c r="V84" s="3028"/>
      <c r="W84" s="3028"/>
      <c r="AA84" s="1594"/>
      <c r="AG84" s="2235"/>
    </row>
    <row r="85" spans="1:33" ht="25.5">
      <c r="A85" s="2248" t="s">
        <v>2605</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8"/>
      <c r="R85" s="3028"/>
      <c r="S85" s="3028"/>
      <c r="T85" s="3028"/>
      <c r="U85" s="3028"/>
      <c r="V85" s="3028"/>
      <c r="W85" s="3028"/>
      <c r="AA85" s="1594"/>
      <c r="AG85" s="2235"/>
    </row>
    <row r="86" spans="1:33" ht="25.5">
      <c r="A86" s="2248" t="s">
        <v>2606</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8"/>
      <c r="R86" s="3028"/>
      <c r="S86" s="3028"/>
      <c r="T86" s="3028"/>
      <c r="U86" s="3028"/>
      <c r="V86" s="3028"/>
      <c r="W86" s="3028"/>
      <c r="AA86" s="1594"/>
      <c r="AG86" s="2235"/>
    </row>
    <row r="87" spans="1:33" ht="24">
      <c r="A87" s="2248" t="s">
        <v>2603</v>
      </c>
      <c r="B87" s="2263" t="s">
        <v>2604</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8"/>
      <c r="R87" s="3028"/>
      <c r="S87" s="3028"/>
      <c r="T87" s="3028"/>
      <c r="U87" s="3028"/>
      <c r="V87" s="3028"/>
      <c r="W87" s="3028"/>
      <c r="AA87" s="1594"/>
      <c r="AG87" s="2235"/>
    </row>
    <row r="88" spans="1:33" ht="39" thickBot="1">
      <c r="A88" s="2266" t="s">
        <v>2619</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8"/>
      <c r="R88" s="3028"/>
      <c r="S88" s="3028"/>
      <c r="T88" s="3028"/>
      <c r="U88" s="3028"/>
      <c r="V88" s="3028"/>
      <c r="W88" s="3028"/>
      <c r="AA88" s="1594"/>
      <c r="AG88" s="2235"/>
    </row>
    <row r="89" spans="1:33">
      <c r="Q89" s="3028"/>
      <c r="R89" s="3028"/>
      <c r="S89" s="3028"/>
      <c r="T89" s="3028"/>
      <c r="U89" s="3028"/>
      <c r="V89" s="3028"/>
      <c r="W89" s="3028"/>
    </row>
    <row r="90" spans="1:33">
      <c r="A90" s="3691" t="s">
        <v>2620</v>
      </c>
      <c r="B90" s="3691"/>
      <c r="C90" s="3691"/>
      <c r="D90" s="3691"/>
      <c r="E90" s="3691"/>
      <c r="F90" s="3691"/>
      <c r="G90" s="3691"/>
      <c r="H90" s="3691"/>
      <c r="I90" s="3691"/>
      <c r="J90" s="3691"/>
      <c r="K90" s="2276"/>
      <c r="L90" s="2276"/>
      <c r="M90" s="2276"/>
      <c r="N90" s="2276"/>
      <c r="Q90" s="3028"/>
      <c r="R90" s="3028"/>
      <c r="S90" s="3028"/>
      <c r="T90" s="3028"/>
      <c r="U90" s="3028"/>
      <c r="V90" s="3028"/>
      <c r="W90" s="3028"/>
    </row>
    <row r="91" spans="1:33">
      <c r="A91" s="3693" t="s">
        <v>2621</v>
      </c>
      <c r="B91" s="3693" t="s">
        <v>2622</v>
      </c>
      <c r="C91" s="2215" t="s">
        <v>2623</v>
      </c>
      <c r="D91" s="2216"/>
      <c r="E91" s="2216"/>
      <c r="F91" s="2216"/>
      <c r="G91" s="2216"/>
      <c r="H91" s="2216"/>
      <c r="I91" s="2216"/>
      <c r="J91" s="2278"/>
      <c r="K91" s="2038"/>
      <c r="L91" s="2038"/>
      <c r="M91" s="2038"/>
      <c r="N91" s="2038"/>
      <c r="Q91" s="3028"/>
      <c r="R91" s="3028"/>
      <c r="S91" s="3028"/>
      <c r="T91" s="3028"/>
      <c r="U91" s="3028"/>
      <c r="V91" s="3028"/>
      <c r="W91" s="3028"/>
    </row>
    <row r="92" spans="1:33">
      <c r="A92" s="3693"/>
      <c r="B92" s="3693"/>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694"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95"/>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95"/>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95"/>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95"/>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95"/>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95"/>
      <c r="B99" s="2279" t="s">
        <v>2492</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28"/>
      <c r="R99" s="3028"/>
      <c r="S99" s="3028"/>
      <c r="T99" s="3028"/>
      <c r="U99" s="3028"/>
      <c r="V99" s="3028"/>
      <c r="W99" s="3028"/>
    </row>
    <row r="100" spans="1:23">
      <c r="A100" s="3696"/>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694" t="s">
        <v>2625</v>
      </c>
      <c r="B101" s="2283" t="s">
        <v>2626</v>
      </c>
      <c r="C101" s="2284">
        <f>$G$3</f>
        <v>2.5</v>
      </c>
      <c r="D101" s="2284">
        <f t="shared" ref="D101:N101" si="32">$G$3</f>
        <v>2.5</v>
      </c>
      <c r="E101" s="2284">
        <f t="shared" si="32"/>
        <v>2.5</v>
      </c>
      <c r="F101" s="2284">
        <f t="shared" si="32"/>
        <v>2.5</v>
      </c>
      <c r="G101" s="2284">
        <f t="shared" si="32"/>
        <v>2.5</v>
      </c>
      <c r="H101" s="2284">
        <f t="shared" si="32"/>
        <v>2.5</v>
      </c>
      <c r="I101" s="2284">
        <f t="shared" si="32"/>
        <v>2.5</v>
      </c>
      <c r="J101" s="2284">
        <f t="shared" si="32"/>
        <v>2.5</v>
      </c>
      <c r="K101" s="2284">
        <f t="shared" si="32"/>
        <v>2.5</v>
      </c>
      <c r="L101" s="2284">
        <f t="shared" si="32"/>
        <v>2.5</v>
      </c>
      <c r="M101" s="2284">
        <f t="shared" si="32"/>
        <v>2.5</v>
      </c>
      <c r="N101" s="2284">
        <f t="shared" si="32"/>
        <v>2.5</v>
      </c>
      <c r="Q101" s="3028"/>
      <c r="R101" s="3028"/>
      <c r="S101" s="3028"/>
      <c r="T101" s="3028"/>
      <c r="U101" s="3028"/>
      <c r="V101" s="3028"/>
      <c r="W101" s="3028"/>
    </row>
    <row r="102" spans="1:23">
      <c r="A102" s="3695"/>
      <c r="B102" s="2279">
        <v>1</v>
      </c>
      <c r="C102" s="2280">
        <f>1.9362/C101</f>
        <v>0.77447999999999995</v>
      </c>
      <c r="D102" s="2280">
        <f>1.9362/D101</f>
        <v>0.77447999999999995</v>
      </c>
      <c r="E102" s="2280">
        <f>1.8629/E101</f>
        <v>0.74516000000000004</v>
      </c>
      <c r="F102" s="2280">
        <f>1.8629/F101</f>
        <v>0.74516000000000004</v>
      </c>
      <c r="G102" s="2280">
        <f>1.8629/G101</f>
        <v>0.74516000000000004</v>
      </c>
      <c r="H102" s="2280">
        <f>1.8629/H101</f>
        <v>0.74516000000000004</v>
      </c>
      <c r="I102" s="2280">
        <f>1.8629/I101</f>
        <v>0.74516000000000004</v>
      </c>
      <c r="J102" s="2280">
        <f>1.942/J101</f>
        <v>0.77679999999999993</v>
      </c>
      <c r="K102" s="2280">
        <f>1.942/K101</f>
        <v>0.77679999999999993</v>
      </c>
      <c r="L102" s="2280">
        <f>1.942/L101</f>
        <v>0.77679999999999993</v>
      </c>
      <c r="M102" s="2280">
        <f>1.942/M101</f>
        <v>0.77679999999999993</v>
      </c>
      <c r="N102" s="2280">
        <f>1.942/N101</f>
        <v>0.77679999999999993</v>
      </c>
      <c r="Q102" s="3028"/>
      <c r="R102" s="3028"/>
      <c r="S102" s="3028"/>
      <c r="T102" s="3028"/>
      <c r="U102" s="3028"/>
      <c r="V102" s="3028"/>
      <c r="W102" s="3028"/>
    </row>
    <row r="103" spans="1:23">
      <c r="A103" s="3695"/>
      <c r="B103" s="2279">
        <v>2</v>
      </c>
      <c r="C103" s="2280">
        <f>1.4198/C101</f>
        <v>0.56791999999999998</v>
      </c>
      <c r="D103" s="2280">
        <f>1.4198/D101</f>
        <v>0.56791999999999998</v>
      </c>
      <c r="E103" s="2280">
        <f>1.3372/E101</f>
        <v>0.53488000000000002</v>
      </c>
      <c r="F103" s="2280">
        <f>1.3372/F101</f>
        <v>0.53488000000000002</v>
      </c>
      <c r="G103" s="2280">
        <f>1.3372/G101</f>
        <v>0.53488000000000002</v>
      </c>
      <c r="H103" s="2280">
        <f>1.3372/H101</f>
        <v>0.53488000000000002</v>
      </c>
      <c r="I103" s="2280">
        <f>1.3372/I101</f>
        <v>0.53488000000000002</v>
      </c>
      <c r="J103" s="2280">
        <f>1.2799/J101</f>
        <v>0.51195999999999997</v>
      </c>
      <c r="K103" s="2280">
        <f>1.2799/K101</f>
        <v>0.51195999999999997</v>
      </c>
      <c r="L103" s="2280">
        <f>1.2799/L101</f>
        <v>0.51195999999999997</v>
      </c>
      <c r="M103" s="2280">
        <f>1.2799/M101</f>
        <v>0.51195999999999997</v>
      </c>
      <c r="N103" s="2280">
        <f>1.2799/N101</f>
        <v>0.51195999999999997</v>
      </c>
      <c r="Q103" s="3028"/>
      <c r="R103" s="3028"/>
      <c r="S103" s="3028"/>
      <c r="T103" s="3028"/>
      <c r="U103" s="3028"/>
      <c r="V103" s="3028"/>
      <c r="W103" s="3028"/>
    </row>
    <row r="104" spans="1:23">
      <c r="A104" s="3695"/>
      <c r="B104" s="2279">
        <v>3</v>
      </c>
      <c r="C104" s="2280">
        <f>1.1594/C101</f>
        <v>0.46376000000000001</v>
      </c>
      <c r="D104" s="2280">
        <f>1.1594/D101</f>
        <v>0.46376000000000001</v>
      </c>
      <c r="E104" s="2280">
        <f>1.0788/E101</f>
        <v>0.43152000000000001</v>
      </c>
      <c r="F104" s="2280">
        <f>1.0788/F101</f>
        <v>0.43152000000000001</v>
      </c>
      <c r="G104" s="2280">
        <f>1.0788/G101</f>
        <v>0.43152000000000001</v>
      </c>
      <c r="H104" s="2280">
        <f>1.0788/H101</f>
        <v>0.43152000000000001</v>
      </c>
      <c r="I104" s="2280">
        <f>1.0788/I101</f>
        <v>0.43152000000000001</v>
      </c>
      <c r="J104" s="2280">
        <f>1.0072/J101</f>
        <v>0.40288000000000002</v>
      </c>
      <c r="K104" s="2280">
        <f>1.0072/K101</f>
        <v>0.40288000000000002</v>
      </c>
      <c r="L104" s="2280">
        <f>1.0072/L101</f>
        <v>0.40288000000000002</v>
      </c>
      <c r="M104" s="2280">
        <f>1.0072/M101</f>
        <v>0.40288000000000002</v>
      </c>
      <c r="N104" s="2280">
        <f>1.0072/N101</f>
        <v>0.40288000000000002</v>
      </c>
      <c r="Q104" s="3028"/>
      <c r="R104" s="3028"/>
      <c r="S104" s="3028"/>
      <c r="T104" s="3028"/>
      <c r="U104" s="3028"/>
      <c r="V104" s="3028"/>
      <c r="W104" s="3028"/>
    </row>
    <row r="105" spans="1:23">
      <c r="A105" s="3695"/>
      <c r="B105" s="2279">
        <v>4</v>
      </c>
      <c r="C105" s="2280">
        <f>0.9622/C101</f>
        <v>0.38488</v>
      </c>
      <c r="D105" s="2280">
        <f>0.9622/D101</f>
        <v>0.38488</v>
      </c>
      <c r="E105" s="2280">
        <f>0.8656/E101</f>
        <v>0.34623999999999999</v>
      </c>
      <c r="F105" s="2280">
        <f>0.8656/F101</f>
        <v>0.34623999999999999</v>
      </c>
      <c r="G105" s="2280">
        <f>0.8656/G101</f>
        <v>0.34623999999999999</v>
      </c>
      <c r="H105" s="2280">
        <f>0.8656/H101</f>
        <v>0.34623999999999999</v>
      </c>
      <c r="I105" s="2280">
        <f>0.8656/I101</f>
        <v>0.34623999999999999</v>
      </c>
      <c r="J105" s="2280">
        <f>0.7525/J101</f>
        <v>0.30099999999999999</v>
      </c>
      <c r="K105" s="2280">
        <f>0.7525/K101</f>
        <v>0.30099999999999999</v>
      </c>
      <c r="L105" s="2280">
        <f>0.7525/L101</f>
        <v>0.30099999999999999</v>
      </c>
      <c r="M105" s="2280">
        <f>0.7525/M101</f>
        <v>0.30099999999999999</v>
      </c>
      <c r="N105" s="2280">
        <f>0.7525/N101</f>
        <v>0.30099999999999999</v>
      </c>
      <c r="Q105" s="3028"/>
      <c r="R105" s="3028"/>
      <c r="S105" s="3028"/>
      <c r="T105" s="3028"/>
      <c r="U105" s="3028"/>
      <c r="V105" s="3028"/>
      <c r="W105" s="3028"/>
    </row>
    <row r="106" spans="1:23">
      <c r="A106" s="3695"/>
      <c r="B106" s="2279">
        <v>5</v>
      </c>
      <c r="C106" s="2280">
        <f>0.8417/C101</f>
        <v>0.33667999999999998</v>
      </c>
      <c r="D106" s="2280">
        <f>0.8417/D101</f>
        <v>0.33667999999999998</v>
      </c>
      <c r="E106" s="2280">
        <f>0.7371/E101</f>
        <v>0.29483999999999999</v>
      </c>
      <c r="F106" s="2280">
        <f>0.7371/F101</f>
        <v>0.29483999999999999</v>
      </c>
      <c r="G106" s="2280">
        <f>0.7371/G101</f>
        <v>0.29483999999999999</v>
      </c>
      <c r="H106" s="2280">
        <f>0.7371/H101</f>
        <v>0.29483999999999999</v>
      </c>
      <c r="I106" s="2280">
        <f>0.7371/I101</f>
        <v>0.29483999999999999</v>
      </c>
      <c r="J106" s="2280">
        <f>0.5659/J101</f>
        <v>0.22635999999999998</v>
      </c>
      <c r="K106" s="2280">
        <f>0.5659/K101</f>
        <v>0.22635999999999998</v>
      </c>
      <c r="L106" s="2280">
        <f>0.5659/L101</f>
        <v>0.22635999999999998</v>
      </c>
      <c r="M106" s="2280">
        <f>0.5659/M101</f>
        <v>0.22635999999999998</v>
      </c>
      <c r="N106" s="2280">
        <f>0.5659/N101</f>
        <v>0.22635999999999998</v>
      </c>
      <c r="Q106" s="3028"/>
      <c r="R106" s="3028"/>
      <c r="S106" s="3028"/>
      <c r="T106" s="3028"/>
      <c r="U106" s="3028"/>
      <c r="V106" s="3028"/>
      <c r="W106" s="3028"/>
    </row>
    <row r="107" spans="1:23">
      <c r="A107" s="3695"/>
      <c r="B107" s="2279">
        <v>6</v>
      </c>
      <c r="C107" s="2280">
        <f>0.7608/C101</f>
        <v>0.30432000000000003</v>
      </c>
      <c r="D107" s="2280">
        <f>0.7608/D101</f>
        <v>0.30432000000000003</v>
      </c>
      <c r="E107" s="2280">
        <f>0.6482/E101</f>
        <v>0.25928000000000001</v>
      </c>
      <c r="F107" s="2280">
        <f>0.6482/F101</f>
        <v>0.25928000000000001</v>
      </c>
      <c r="G107" s="2280">
        <f>0.6482/G101</f>
        <v>0.25928000000000001</v>
      </c>
      <c r="H107" s="2280">
        <f>0.6482/H101</f>
        <v>0.25928000000000001</v>
      </c>
      <c r="I107" s="2280">
        <f>0.6482/I101</f>
        <v>0.25928000000000001</v>
      </c>
      <c r="J107" s="2280">
        <f>0.4525/J101</f>
        <v>0.18099999999999999</v>
      </c>
      <c r="K107" s="2280">
        <f>0.4525/K101</f>
        <v>0.18099999999999999</v>
      </c>
      <c r="L107" s="2280">
        <f>0.4525/L101</f>
        <v>0.18099999999999999</v>
      </c>
      <c r="M107" s="2280">
        <f>0.4525/M101</f>
        <v>0.18099999999999999</v>
      </c>
      <c r="N107" s="2280">
        <f>0.4525/N101</f>
        <v>0.18099999999999999</v>
      </c>
      <c r="Q107" s="3028"/>
      <c r="R107" s="3028"/>
      <c r="S107" s="3028"/>
      <c r="T107" s="3028"/>
      <c r="U107" s="3028"/>
      <c r="V107" s="3028"/>
      <c r="W107" s="3028"/>
    </row>
    <row r="108" spans="1:23">
      <c r="A108" s="3695"/>
      <c r="B108" s="3697" t="s">
        <v>2627</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28"/>
      <c r="R108" s="3028"/>
      <c r="S108" s="3028"/>
      <c r="T108" s="3028"/>
      <c r="U108" s="3028"/>
      <c r="V108" s="3028"/>
      <c r="W108" s="3028"/>
    </row>
    <row r="109" spans="1:23">
      <c r="A109" s="3696"/>
      <c r="B109" s="3698"/>
      <c r="C109" s="2282">
        <f>(-0.163*(C108^2)-0.59*C108+7617)*(10^(-4))/C101</f>
        <v>0.30468000000000001</v>
      </c>
      <c r="D109" s="2282">
        <f>(-0.163*(D108^2)-0.59*D108+7617)*(10^(-4))/D101</f>
        <v>0.30468000000000001</v>
      </c>
      <c r="E109" s="2282">
        <f>(-0.161*(E108^2)-7.509*E108+6533)*(10^(-4))/E101</f>
        <v>0.26132</v>
      </c>
      <c r="F109" s="2282">
        <f>(-0.161*(F108^2)-7.509*F108+6533)*(10^(-4))/F101</f>
        <v>0.26132</v>
      </c>
      <c r="G109" s="2282">
        <f>(-0.161*(G108^2)-7.509*G108+6533)*(10^(-4))/G101</f>
        <v>0.26132</v>
      </c>
      <c r="H109" s="2282">
        <f>(-0.161*(H108^2)-7.509*H108+6533)*(10^(-4))/H101</f>
        <v>0.26132</v>
      </c>
      <c r="I109" s="2282">
        <f>(-0.161*(I108^2)-7.509*I108+6533)*(10^(-4))/I101</f>
        <v>0.26132</v>
      </c>
      <c r="J109" s="2282">
        <f>(-0.214*(J108^2)-21.991*J108+4665)*(10^(-4))/J101</f>
        <v>0.18660000000000002</v>
      </c>
      <c r="K109" s="2282">
        <f>(-0.214*(K108^2)-21.991*K108+4665)*(10^(-4))/K101</f>
        <v>0.18660000000000002</v>
      </c>
      <c r="L109" s="2282">
        <f>(-0.214*(L108^2)-21.991*L108+4665)*(10^(-4))/L101</f>
        <v>0.18660000000000002</v>
      </c>
      <c r="M109" s="2282">
        <f>(-0.214*(M108^2)-21.991*M108+4665)*(10^(-4))/M101</f>
        <v>0.18660000000000002</v>
      </c>
      <c r="N109" s="2282">
        <f>(-0.214*(N108^2)-21.991*N108+4665)*(10^(-4))/N101</f>
        <v>0.18660000000000002</v>
      </c>
      <c r="Q109" s="3028"/>
      <c r="R109" s="3028"/>
      <c r="S109" s="3028"/>
      <c r="T109" s="3028"/>
      <c r="U109" s="3028"/>
      <c r="V109" s="3028"/>
      <c r="W109" s="3028"/>
    </row>
    <row r="110" spans="1:23">
      <c r="A110" s="3692" t="s">
        <v>2628</v>
      </c>
      <c r="B110" s="3692"/>
      <c r="C110" s="3692"/>
      <c r="D110" s="3692"/>
      <c r="E110" s="3692"/>
      <c r="F110" s="3692"/>
      <c r="G110" s="3692"/>
      <c r="H110" s="3692"/>
      <c r="I110" s="3692"/>
      <c r="J110" s="3692"/>
      <c r="K110" s="2050"/>
      <c r="L110" s="2050"/>
      <c r="M110" s="2050"/>
      <c r="N110" s="2050"/>
      <c r="Q110" s="3028"/>
      <c r="R110" s="3028"/>
      <c r="S110" s="3028"/>
      <c r="T110" s="3028"/>
      <c r="U110" s="3028"/>
      <c r="V110" s="3028"/>
      <c r="W110" s="3028"/>
    </row>
    <row r="112" spans="1:23" ht="13.5" thickBot="1"/>
    <row r="113" spans="1:13" ht="25.5" thickBot="1">
      <c r="A113" s="2285" t="s">
        <v>2629</v>
      </c>
      <c r="B113" s="2286">
        <f>G3</f>
        <v>2.5</v>
      </c>
      <c r="C113" s="2287" t="s">
        <v>2630</v>
      </c>
      <c r="D113" s="2288">
        <f>SUMPRODUCT((A115:A118=F113)*(B114:M114=H113)*B115:M118)</f>
        <v>0.8548</v>
      </c>
      <c r="E113" s="1572" t="s">
        <v>2516</v>
      </c>
      <c r="F113" s="2289" t="str">
        <f>E2</f>
        <v>住宅</v>
      </c>
      <c r="G113" s="1572" t="s">
        <v>2450</v>
      </c>
      <c r="H113" s="2289" t="str">
        <f>G2</f>
        <v>六级</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2517</v>
      </c>
      <c r="B115" s="2298">
        <f>ROUND(0.9335-0.0094*B113,4)</f>
        <v>0.91</v>
      </c>
      <c r="C115" s="2298">
        <f>B115</f>
        <v>0.91</v>
      </c>
      <c r="D115" s="2298">
        <f>ROUND(0.8331-0.0109*B113,4)</f>
        <v>0.80589999999999995</v>
      </c>
      <c r="E115" s="2298">
        <f>D115</f>
        <v>0.80589999999999995</v>
      </c>
      <c r="F115" s="2298">
        <f>E115</f>
        <v>0.80589999999999995</v>
      </c>
      <c r="G115" s="2298">
        <f>F115</f>
        <v>0.80589999999999995</v>
      </c>
      <c r="H115" s="2298">
        <f>G115</f>
        <v>0.80589999999999995</v>
      </c>
      <c r="I115" s="2298">
        <f>ROUND(0.689-0.0155*B113,4)</f>
        <v>0.65029999999999999</v>
      </c>
      <c r="J115" s="2298">
        <f t="shared" ref="J115:M118" si="34">I115</f>
        <v>0.65029999999999999</v>
      </c>
      <c r="K115" s="2298">
        <f t="shared" si="34"/>
        <v>0.65029999999999999</v>
      </c>
      <c r="L115" s="2298">
        <f t="shared" si="34"/>
        <v>0.65029999999999999</v>
      </c>
      <c r="M115" s="2299">
        <f t="shared" si="34"/>
        <v>0.65029999999999999</v>
      </c>
    </row>
    <row r="116" spans="1:13">
      <c r="A116" s="2297" t="s">
        <v>2518</v>
      </c>
      <c r="B116" s="2298">
        <f>ROUND(0.949-0.012*B113,4)</f>
        <v>0.91900000000000004</v>
      </c>
      <c r="C116" s="2298">
        <f>B116</f>
        <v>0.91900000000000004</v>
      </c>
      <c r="D116" s="2298">
        <f>ROUND(0.8567-0.013*B113,4)</f>
        <v>0.82420000000000004</v>
      </c>
      <c r="E116" s="2298">
        <f t="shared" ref="E116:H117" si="35">D116</f>
        <v>0.82420000000000004</v>
      </c>
      <c r="F116" s="2298">
        <f t="shared" si="35"/>
        <v>0.82420000000000004</v>
      </c>
      <c r="G116" s="2298">
        <f t="shared" si="35"/>
        <v>0.82420000000000004</v>
      </c>
      <c r="H116" s="2298">
        <f t="shared" si="35"/>
        <v>0.82420000000000004</v>
      </c>
      <c r="I116" s="2298">
        <f>ROUND(0.7694-0.014*B113,4)</f>
        <v>0.73440000000000005</v>
      </c>
      <c r="J116" s="2298">
        <f t="shared" si="34"/>
        <v>0.73440000000000005</v>
      </c>
      <c r="K116" s="2298">
        <f t="shared" si="34"/>
        <v>0.73440000000000005</v>
      </c>
      <c r="L116" s="2298">
        <f t="shared" si="34"/>
        <v>0.73440000000000005</v>
      </c>
      <c r="M116" s="2299">
        <f t="shared" si="34"/>
        <v>0.73440000000000005</v>
      </c>
    </row>
    <row r="117" spans="1:13">
      <c r="A117" s="2297" t="s">
        <v>2519</v>
      </c>
      <c r="B117" s="2298">
        <f>ROUND(0.8808-0.006*B113,4)</f>
        <v>0.86580000000000001</v>
      </c>
      <c r="C117" s="2298">
        <f>B117</f>
        <v>0.86580000000000001</v>
      </c>
      <c r="D117" s="2298">
        <f>ROUND(0.8748-0.008*B113,4)</f>
        <v>0.8548</v>
      </c>
      <c r="E117" s="2298">
        <f t="shared" si="35"/>
        <v>0.8548</v>
      </c>
      <c r="F117" s="2298">
        <f t="shared" si="35"/>
        <v>0.8548</v>
      </c>
      <c r="G117" s="2298">
        <f t="shared" si="35"/>
        <v>0.8548</v>
      </c>
      <c r="H117" s="2298">
        <f t="shared" si="35"/>
        <v>0.8548</v>
      </c>
      <c r="I117" s="2298">
        <f>ROUND(0.7412-0.0095*B113,4)</f>
        <v>0.71750000000000003</v>
      </c>
      <c r="J117" s="2298">
        <f t="shared" si="34"/>
        <v>0.71750000000000003</v>
      </c>
      <c r="K117" s="2298">
        <f t="shared" si="34"/>
        <v>0.71750000000000003</v>
      </c>
      <c r="L117" s="2298">
        <f t="shared" si="34"/>
        <v>0.71750000000000003</v>
      </c>
      <c r="M117" s="2299">
        <f t="shared" si="34"/>
        <v>0.71750000000000003</v>
      </c>
    </row>
    <row r="118" spans="1:13" ht="13.5" thickBot="1">
      <c r="A118" s="2300" t="s">
        <v>2520</v>
      </c>
      <c r="B118" s="2301">
        <f>ROUND(0.7275-0.01*B113,4)</f>
        <v>0.70250000000000001</v>
      </c>
      <c r="C118" s="2301">
        <f>B118</f>
        <v>0.70250000000000001</v>
      </c>
      <c r="D118" s="2301">
        <f>ROUND(0.7043-0.012*B113,4)</f>
        <v>0.67430000000000001</v>
      </c>
      <c r="E118" s="2301">
        <f>D118</f>
        <v>0.67430000000000001</v>
      </c>
      <c r="F118" s="2301">
        <f>E118</f>
        <v>0.67430000000000001</v>
      </c>
      <c r="G118" s="2301">
        <f>ROUND(0.6299-0.0122*B113,4)</f>
        <v>0.59940000000000004</v>
      </c>
      <c r="H118" s="2301">
        <f>G118</f>
        <v>0.59940000000000004</v>
      </c>
      <c r="I118" s="2301">
        <f>ROUND(0.5667-0.0136*B113,4)</f>
        <v>0.53269999999999995</v>
      </c>
      <c r="J118" s="2301">
        <f t="shared" si="34"/>
        <v>0.53269999999999995</v>
      </c>
      <c r="K118" s="2301">
        <f t="shared" si="34"/>
        <v>0.53269999999999995</v>
      </c>
      <c r="L118" s="2301">
        <f t="shared" si="34"/>
        <v>0.53269999999999995</v>
      </c>
      <c r="M118" s="2302">
        <f t="shared" si="34"/>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04" t="s">
        <v>779</v>
      </c>
      <c r="B1" s="3704"/>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0.105</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4" t="s">
        <v>105</v>
      </c>
      <c r="B1" s="3704"/>
      <c r="C1" s="3704"/>
      <c r="D1" s="3704"/>
      <c r="E1" s="3704"/>
      <c r="F1" s="3704"/>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5" t="s">
        <v>118</v>
      </c>
      <c r="B2" s="3705"/>
      <c r="C2" s="3705"/>
      <c r="D2" s="3705"/>
      <c r="E2" s="3705"/>
      <c r="F2" s="3705"/>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6"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7"/>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9660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8" t="s">
        <v>132</v>
      </c>
      <c r="B18" s="768" t="s">
        <v>517</v>
      </c>
      <c r="C18" s="769" t="s">
        <v>518</v>
      </c>
      <c r="D18" s="770"/>
      <c r="E18" s="768">
        <v>1</v>
      </c>
      <c r="F18" s="771" t="s">
        <v>519</v>
      </c>
      <c r="G18" s="772"/>
      <c r="H18" s="764"/>
      <c r="I18" s="764"/>
    </row>
    <row r="19" spans="1:9" s="773" customFormat="1" ht="19.5" customHeight="1">
      <c r="A19" s="3708"/>
      <c r="B19" s="3708" t="s">
        <v>520</v>
      </c>
      <c r="C19" s="769" t="s">
        <v>521</v>
      </c>
      <c r="D19" s="770"/>
      <c r="E19" s="768">
        <v>0.9</v>
      </c>
      <c r="F19" s="771" t="s">
        <v>522</v>
      </c>
      <c r="G19" s="772"/>
      <c r="H19" s="764"/>
      <c r="I19" s="764"/>
    </row>
    <row r="20" spans="1:9" s="773" customFormat="1" ht="19.5" customHeight="1">
      <c r="A20" s="3708"/>
      <c r="B20" s="3708"/>
      <c r="C20" s="769" t="s">
        <v>523</v>
      </c>
      <c r="D20" s="770"/>
      <c r="E20" s="768">
        <v>1.1000000000000001</v>
      </c>
      <c r="F20" s="771" t="s">
        <v>524</v>
      </c>
      <c r="G20" s="772"/>
      <c r="H20" s="764"/>
      <c r="I20" s="764"/>
    </row>
    <row r="21" spans="1:9" s="773" customFormat="1" ht="19.5" customHeight="1">
      <c r="A21" s="3708"/>
      <c r="B21" s="3708"/>
      <c r="C21" s="769" t="s">
        <v>525</v>
      </c>
      <c r="D21" s="770"/>
      <c r="E21" s="768">
        <v>0.8</v>
      </c>
      <c r="F21" s="771" t="s">
        <v>526</v>
      </c>
      <c r="G21" s="772"/>
      <c r="H21" s="764"/>
      <c r="I21" s="764"/>
    </row>
    <row r="22" spans="1:9" s="773" customFormat="1" ht="19.5" customHeight="1">
      <c r="A22" s="3708"/>
      <c r="B22" s="3708"/>
      <c r="C22" s="769" t="s">
        <v>527</v>
      </c>
      <c r="D22" s="770"/>
      <c r="E22" s="768">
        <v>0.5</v>
      </c>
      <c r="F22" s="771"/>
      <c r="G22" s="772"/>
      <c r="H22" s="764"/>
      <c r="I22" s="764"/>
    </row>
    <row r="23" spans="1:9" s="773" customFormat="1" ht="19.5" customHeight="1">
      <c r="A23" s="3708" t="s">
        <v>133</v>
      </c>
      <c r="B23" s="768" t="s">
        <v>517</v>
      </c>
      <c r="C23" s="769" t="s">
        <v>528</v>
      </c>
      <c r="D23" s="770"/>
      <c r="E23" s="768">
        <v>1</v>
      </c>
      <c r="F23" s="771" t="s">
        <v>529</v>
      </c>
      <c r="G23" s="772"/>
      <c r="H23" s="764"/>
      <c r="I23" s="764"/>
    </row>
    <row r="24" spans="1:9" s="773" customFormat="1" ht="19.5" customHeight="1">
      <c r="A24" s="3708"/>
      <c r="B24" s="3708" t="s">
        <v>520</v>
      </c>
      <c r="C24" s="769" t="s">
        <v>530</v>
      </c>
      <c r="D24" s="770"/>
      <c r="E24" s="768">
        <v>0.5</v>
      </c>
      <c r="F24" s="771"/>
      <c r="G24" s="772"/>
      <c r="H24" s="764"/>
      <c r="I24" s="764"/>
    </row>
    <row r="25" spans="1:9" s="773" customFormat="1" ht="19.5" customHeight="1">
      <c r="A25" s="3708"/>
      <c r="B25" s="3708"/>
      <c r="C25" s="769" t="s">
        <v>531</v>
      </c>
      <c r="D25" s="770"/>
      <c r="E25" s="768">
        <v>1.1000000000000001</v>
      </c>
      <c r="F25" s="771"/>
      <c r="G25" s="772"/>
      <c r="H25" s="764"/>
      <c r="I25" s="764"/>
    </row>
    <row r="26" spans="1:9" s="773" customFormat="1" ht="19.5" customHeight="1">
      <c r="A26" s="3708"/>
      <c r="B26" s="3708"/>
      <c r="C26" s="769" t="s">
        <v>532</v>
      </c>
      <c r="D26" s="770"/>
      <c r="E26" s="768">
        <v>1.1000000000000001</v>
      </c>
      <c r="F26" s="771"/>
      <c r="G26" s="772"/>
      <c r="H26" s="764"/>
      <c r="I26" s="764"/>
    </row>
    <row r="27" spans="1:9" s="773" customFormat="1" ht="19.5" customHeight="1">
      <c r="A27" s="3708"/>
      <c r="B27" s="3708"/>
      <c r="C27" s="769" t="s">
        <v>533</v>
      </c>
      <c r="D27" s="770"/>
      <c r="E27" s="768">
        <v>0.9</v>
      </c>
      <c r="F27" s="771" t="s">
        <v>534</v>
      </c>
      <c r="G27" s="772"/>
      <c r="H27" s="764"/>
      <c r="I27" s="764"/>
    </row>
    <row r="28" spans="1:9" s="773" customFormat="1" ht="19.5" customHeight="1">
      <c r="A28" s="3708"/>
      <c r="B28" s="3708"/>
      <c r="C28" s="769" t="s">
        <v>535</v>
      </c>
      <c r="D28" s="770"/>
      <c r="E28" s="768">
        <v>0.9</v>
      </c>
      <c r="F28" s="771" t="s">
        <v>536</v>
      </c>
      <c r="G28" s="772"/>
      <c r="H28" s="764"/>
      <c r="I28" s="764"/>
    </row>
    <row r="29" spans="1:9" s="773" customFormat="1" ht="19.5" customHeight="1">
      <c r="A29" s="3708"/>
      <c r="B29" s="3708"/>
      <c r="C29" s="769" t="s">
        <v>537</v>
      </c>
      <c r="D29" s="770"/>
      <c r="E29" s="768">
        <v>0.9</v>
      </c>
      <c r="F29" s="771" t="s">
        <v>538</v>
      </c>
      <c r="G29" s="772"/>
      <c r="H29" s="764"/>
      <c r="I29" s="764"/>
    </row>
    <row r="30" spans="1:9" s="773" customFormat="1" ht="19.5" customHeight="1">
      <c r="A30" s="3708"/>
      <c r="B30" s="3708"/>
      <c r="C30" s="769" t="s">
        <v>539</v>
      </c>
      <c r="D30" s="770"/>
      <c r="E30" s="768">
        <v>0.9</v>
      </c>
      <c r="F30" s="771" t="s">
        <v>540</v>
      </c>
      <c r="G30" s="772"/>
      <c r="H30" s="764"/>
      <c r="I30" s="764"/>
    </row>
    <row r="31" spans="1:9" s="773" customFormat="1" ht="19.5" customHeight="1">
      <c r="A31" s="3708"/>
      <c r="B31" s="3708"/>
      <c r="C31" s="769" t="s">
        <v>541</v>
      </c>
      <c r="D31" s="770"/>
      <c r="E31" s="768">
        <v>0.8</v>
      </c>
      <c r="F31" s="771" t="s">
        <v>542</v>
      </c>
      <c r="G31" s="772"/>
      <c r="H31" s="764"/>
      <c r="I31" s="764"/>
    </row>
    <row r="32" spans="1:9" s="773" customFormat="1" ht="19.5" customHeight="1">
      <c r="A32" s="3708"/>
      <c r="B32" s="3708"/>
      <c r="C32" s="769" t="s">
        <v>543</v>
      </c>
      <c r="D32" s="770"/>
      <c r="E32" s="768">
        <v>0.8</v>
      </c>
      <c r="F32" s="771" t="s">
        <v>544</v>
      </c>
      <c r="G32" s="772"/>
      <c r="H32" s="764"/>
      <c r="I32" s="764"/>
    </row>
    <row r="33" spans="1:9" s="773" customFormat="1" ht="19.5" customHeight="1">
      <c r="A33" s="3708" t="s">
        <v>134</v>
      </c>
      <c r="B33" s="768" t="s">
        <v>517</v>
      </c>
      <c r="C33" s="769" t="s">
        <v>545</v>
      </c>
      <c r="D33" s="770"/>
      <c r="E33" s="768">
        <v>1</v>
      </c>
      <c r="F33" s="771" t="s">
        <v>546</v>
      </c>
      <c r="G33" s="772"/>
      <c r="H33" s="764"/>
      <c r="I33" s="764"/>
    </row>
    <row r="34" spans="1:9" s="773" customFormat="1" ht="19.5" customHeight="1">
      <c r="A34" s="3708"/>
      <c r="B34" s="768" t="s">
        <v>520</v>
      </c>
      <c r="C34" s="769" t="s">
        <v>547</v>
      </c>
      <c r="D34" s="770"/>
      <c r="E34" s="768">
        <v>1.5</v>
      </c>
      <c r="F34" s="771" t="s">
        <v>548</v>
      </c>
      <c r="G34" s="772"/>
      <c r="H34" s="764"/>
      <c r="I34" s="764"/>
    </row>
    <row r="35" spans="1:9" s="773" customFormat="1" ht="19.5" customHeight="1">
      <c r="A35" s="3708" t="s">
        <v>135</v>
      </c>
      <c r="B35" s="768" t="s">
        <v>517</v>
      </c>
      <c r="C35" s="769" t="s">
        <v>549</v>
      </c>
      <c r="D35" s="770"/>
      <c r="E35" s="768">
        <v>1</v>
      </c>
      <c r="F35" s="771" t="s">
        <v>550</v>
      </c>
      <c r="G35" s="772"/>
      <c r="H35" s="764"/>
      <c r="I35" s="764"/>
    </row>
    <row r="36" spans="1:9" s="773" customFormat="1" ht="19.5" customHeight="1">
      <c r="A36" s="3708"/>
      <c r="B36" s="3708" t="s">
        <v>520</v>
      </c>
      <c r="C36" s="769" t="s">
        <v>551</v>
      </c>
      <c r="D36" s="770"/>
      <c r="E36" s="768">
        <v>1</v>
      </c>
      <c r="F36" s="771" t="s">
        <v>552</v>
      </c>
      <c r="G36" s="772"/>
      <c r="H36" s="764"/>
      <c r="I36" s="764"/>
    </row>
    <row r="37" spans="1:9" s="773" customFormat="1" ht="19.5" customHeight="1">
      <c r="A37" s="3708"/>
      <c r="B37" s="3708"/>
      <c r="C37" s="769" t="s">
        <v>553</v>
      </c>
      <c r="D37" s="770"/>
      <c r="E37" s="768">
        <v>1.5</v>
      </c>
      <c r="F37" s="771" t="s">
        <v>554</v>
      </c>
      <c r="G37" s="772"/>
      <c r="H37" s="764"/>
      <c r="I37" s="764"/>
    </row>
    <row r="38" spans="1:9" s="773" customFormat="1" ht="19.5" customHeight="1">
      <c r="A38" s="3708"/>
      <c r="B38" s="3708"/>
      <c r="C38" s="769" t="s">
        <v>555</v>
      </c>
      <c r="D38" s="770"/>
      <c r="E38" s="768">
        <v>1</v>
      </c>
      <c r="F38" s="771" t="s">
        <v>556</v>
      </c>
      <c r="G38" s="772"/>
      <c r="H38" s="764"/>
      <c r="I38" s="764"/>
    </row>
    <row r="39" spans="1:9" s="773" customFormat="1" ht="19.5" customHeight="1">
      <c r="A39" s="3708"/>
      <c r="B39" s="3708"/>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8" t="s">
        <v>571</v>
      </c>
      <c r="C61" s="682" t="s">
        <v>572</v>
      </c>
      <c r="D61" s="682" t="s">
        <v>573</v>
      </c>
      <c r="E61" s="781">
        <v>0.5</v>
      </c>
      <c r="F61" s="768">
        <v>80</v>
      </c>
    </row>
    <row r="62" spans="1:8" s="764" customFormat="1" ht="24">
      <c r="A62" s="768">
        <v>2</v>
      </c>
      <c r="B62" s="3708"/>
      <c r="C62" s="682" t="s">
        <v>574</v>
      </c>
      <c r="D62" s="682" t="s">
        <v>575</v>
      </c>
      <c r="E62" s="781">
        <v>0.5</v>
      </c>
      <c r="F62" s="768">
        <v>80</v>
      </c>
    </row>
    <row r="63" spans="1:8" s="764" customFormat="1" ht="36">
      <c r="A63" s="768">
        <v>3</v>
      </c>
      <c r="B63" s="3708"/>
      <c r="C63" s="682" t="s">
        <v>576</v>
      </c>
      <c r="D63" s="682" t="s">
        <v>577</v>
      </c>
      <c r="E63" s="781">
        <v>0.5</v>
      </c>
      <c r="F63" s="768">
        <v>80</v>
      </c>
    </row>
    <row r="64" spans="1:8" s="764" customFormat="1" ht="36">
      <c r="A64" s="768">
        <v>4</v>
      </c>
      <c r="B64" s="3708"/>
      <c r="C64" s="682" t="s">
        <v>578</v>
      </c>
      <c r="D64" s="682" t="s">
        <v>579</v>
      </c>
      <c r="E64" s="781">
        <v>0.4</v>
      </c>
      <c r="F64" s="768">
        <v>60</v>
      </c>
    </row>
    <row r="65" spans="1:6" s="764" customFormat="1" ht="36">
      <c r="A65" s="768">
        <v>5</v>
      </c>
      <c r="B65" s="3708"/>
      <c r="C65" s="682" t="s">
        <v>580</v>
      </c>
      <c r="D65" s="682" t="s">
        <v>581</v>
      </c>
      <c r="E65" s="781">
        <v>0.2</v>
      </c>
      <c r="F65" s="768">
        <v>30</v>
      </c>
    </row>
    <row r="66" spans="1:6" s="764" customFormat="1" ht="36">
      <c r="A66" s="768">
        <v>6</v>
      </c>
      <c r="B66" s="3708"/>
      <c r="C66" s="682" t="s">
        <v>582</v>
      </c>
      <c r="D66" s="682" t="s">
        <v>583</v>
      </c>
      <c r="E66" s="781">
        <v>0.3</v>
      </c>
      <c r="F66" s="768">
        <v>50</v>
      </c>
    </row>
    <row r="67" spans="1:6" s="764" customFormat="1" ht="36">
      <c r="A67" s="768">
        <v>7</v>
      </c>
      <c r="B67" s="3708"/>
      <c r="C67" s="682" t="s">
        <v>584</v>
      </c>
      <c r="D67" s="682" t="s">
        <v>585</v>
      </c>
      <c r="E67" s="781">
        <v>0.2</v>
      </c>
      <c r="F67" s="768">
        <v>30</v>
      </c>
    </row>
    <row r="68" spans="1:6" s="764" customFormat="1" ht="36">
      <c r="A68" s="768">
        <v>8</v>
      </c>
      <c r="B68" s="3708"/>
      <c r="C68" s="682" t="s">
        <v>586</v>
      </c>
      <c r="D68" s="682" t="s">
        <v>587</v>
      </c>
      <c r="E68" s="781">
        <v>0.2</v>
      </c>
      <c r="F68" s="768">
        <v>30</v>
      </c>
    </row>
    <row r="69" spans="1:6" s="764" customFormat="1" ht="36">
      <c r="A69" s="768">
        <v>9</v>
      </c>
      <c r="B69" s="3708"/>
      <c r="C69" s="682" t="s">
        <v>588</v>
      </c>
      <c r="D69" s="682" t="s">
        <v>589</v>
      </c>
      <c r="E69" s="781">
        <v>0.2</v>
      </c>
      <c r="F69" s="768">
        <v>30</v>
      </c>
    </row>
    <row r="70" spans="1:6" s="764" customFormat="1" ht="48">
      <c r="A70" s="768">
        <v>10</v>
      </c>
      <c r="B70" s="3708"/>
      <c r="C70" s="682" t="s">
        <v>590</v>
      </c>
      <c r="D70" s="682" t="s">
        <v>591</v>
      </c>
      <c r="E70" s="781">
        <v>0.2</v>
      </c>
      <c r="F70" s="768">
        <v>30</v>
      </c>
    </row>
    <row r="71" spans="1:6" s="764" customFormat="1" ht="48">
      <c r="A71" s="768">
        <v>11</v>
      </c>
      <c r="B71" s="3708"/>
      <c r="C71" s="682" t="s">
        <v>592</v>
      </c>
      <c r="D71" s="682" t="s">
        <v>593</v>
      </c>
      <c r="E71" s="781">
        <v>0.2</v>
      </c>
      <c r="F71" s="768">
        <v>30</v>
      </c>
    </row>
    <row r="72" spans="1:6" s="764" customFormat="1" ht="36">
      <c r="A72" s="768">
        <v>12</v>
      </c>
      <c r="B72" s="3708"/>
      <c r="C72" s="682" t="s">
        <v>594</v>
      </c>
      <c r="D72" s="682" t="s">
        <v>595</v>
      </c>
      <c r="E72" s="781">
        <v>0.5</v>
      </c>
      <c r="F72" s="768">
        <v>80</v>
      </c>
    </row>
    <row r="73" spans="1:6" s="764" customFormat="1" ht="24">
      <c r="A73" s="768">
        <v>13</v>
      </c>
      <c r="B73" s="3708"/>
      <c r="C73" s="682" t="s">
        <v>596</v>
      </c>
      <c r="D73" s="682" t="s">
        <v>597</v>
      </c>
      <c r="E73" s="781">
        <v>0.4</v>
      </c>
      <c r="F73" s="768">
        <v>60</v>
      </c>
    </row>
    <row r="74" spans="1:6" s="764" customFormat="1" ht="24">
      <c r="A74" s="768">
        <v>14</v>
      </c>
      <c r="B74" s="3708"/>
      <c r="C74" s="682" t="s">
        <v>598</v>
      </c>
      <c r="D74" s="682" t="s">
        <v>599</v>
      </c>
      <c r="E74" s="781">
        <v>0.2</v>
      </c>
      <c r="F74" s="768">
        <v>30</v>
      </c>
    </row>
    <row r="75" spans="1:6" s="764" customFormat="1" ht="24">
      <c r="A75" s="768">
        <v>15</v>
      </c>
      <c r="B75" s="3708"/>
      <c r="C75" s="682" t="s">
        <v>600</v>
      </c>
      <c r="D75" s="682" t="s">
        <v>601</v>
      </c>
      <c r="E75" s="781">
        <v>0.2</v>
      </c>
      <c r="F75" s="768">
        <v>30</v>
      </c>
    </row>
    <row r="76" spans="1:6" s="764" customFormat="1" ht="24">
      <c r="A76" s="768">
        <v>16</v>
      </c>
      <c r="B76" s="3708" t="s">
        <v>602</v>
      </c>
      <c r="C76" s="682" t="s">
        <v>603</v>
      </c>
      <c r="D76" s="682" t="s">
        <v>604</v>
      </c>
      <c r="E76" s="781">
        <v>0.5</v>
      </c>
      <c r="F76" s="768">
        <v>80</v>
      </c>
    </row>
    <row r="77" spans="1:6" s="764" customFormat="1" ht="24">
      <c r="A77" s="768">
        <v>17</v>
      </c>
      <c r="B77" s="3708"/>
      <c r="C77" s="682" t="s">
        <v>605</v>
      </c>
      <c r="D77" s="682" t="s">
        <v>606</v>
      </c>
      <c r="E77" s="781">
        <v>0.5</v>
      </c>
      <c r="F77" s="768">
        <v>80</v>
      </c>
    </row>
    <row r="78" spans="1:6" s="764" customFormat="1" ht="24">
      <c r="A78" s="768">
        <v>18</v>
      </c>
      <c r="B78" s="3708"/>
      <c r="C78" s="682" t="s">
        <v>607</v>
      </c>
      <c r="D78" s="682" t="s">
        <v>608</v>
      </c>
      <c r="E78" s="781">
        <v>0.2</v>
      </c>
      <c r="F78" s="768">
        <v>30</v>
      </c>
    </row>
    <row r="79" spans="1:6" s="764" customFormat="1" ht="24">
      <c r="A79" s="768">
        <v>19</v>
      </c>
      <c r="B79" s="3708"/>
      <c r="C79" s="682" t="s">
        <v>609</v>
      </c>
      <c r="D79" s="682" t="s">
        <v>610</v>
      </c>
      <c r="E79" s="781">
        <v>0.5</v>
      </c>
      <c r="F79" s="768">
        <v>80</v>
      </c>
    </row>
    <row r="80" spans="1:6" s="764" customFormat="1" ht="36">
      <c r="A80" s="768">
        <v>20</v>
      </c>
      <c r="B80" s="3708"/>
      <c r="C80" s="682" t="s">
        <v>611</v>
      </c>
      <c r="D80" s="682" t="s">
        <v>612</v>
      </c>
      <c r="E80" s="781">
        <v>0.2</v>
      </c>
      <c r="F80" s="768">
        <v>30</v>
      </c>
    </row>
    <row r="81" spans="1:6" s="764" customFormat="1" ht="36">
      <c r="A81" s="768">
        <v>21</v>
      </c>
      <c r="B81" s="3708"/>
      <c r="C81" s="682" t="s">
        <v>613</v>
      </c>
      <c r="D81" s="682" t="s">
        <v>614</v>
      </c>
      <c r="E81" s="781">
        <v>0.2</v>
      </c>
      <c r="F81" s="768">
        <v>30</v>
      </c>
    </row>
    <row r="82" spans="1:6" s="764" customFormat="1" ht="48">
      <c r="A82" s="768">
        <v>22</v>
      </c>
      <c r="B82" s="3708"/>
      <c r="C82" s="682" t="s">
        <v>615</v>
      </c>
      <c r="D82" s="682" t="s">
        <v>616</v>
      </c>
      <c r="E82" s="781">
        <v>0.2</v>
      </c>
      <c r="F82" s="768">
        <v>30</v>
      </c>
    </row>
    <row r="83" spans="1:6" s="764" customFormat="1" ht="48">
      <c r="A83" s="768">
        <v>23</v>
      </c>
      <c r="B83" s="3708"/>
      <c r="C83" s="682" t="s">
        <v>617</v>
      </c>
      <c r="D83" s="682" t="s">
        <v>618</v>
      </c>
      <c r="E83" s="781">
        <v>0.2</v>
      </c>
      <c r="F83" s="768">
        <v>30</v>
      </c>
    </row>
    <row r="84" spans="1:6" s="764" customFormat="1" ht="36">
      <c r="A84" s="768">
        <v>24</v>
      </c>
      <c r="B84" s="3708"/>
      <c r="C84" s="682" t="s">
        <v>619</v>
      </c>
      <c r="D84" s="682" t="s">
        <v>620</v>
      </c>
      <c r="E84" s="781">
        <v>0.2</v>
      </c>
      <c r="F84" s="768">
        <v>30</v>
      </c>
    </row>
    <row r="85" spans="1:6" s="764" customFormat="1" ht="36">
      <c r="A85" s="768">
        <v>25</v>
      </c>
      <c r="B85" s="3708"/>
      <c r="C85" s="682" t="s">
        <v>621</v>
      </c>
      <c r="D85" s="682" t="s">
        <v>622</v>
      </c>
      <c r="E85" s="781">
        <v>0.5</v>
      </c>
      <c r="F85" s="768">
        <v>80</v>
      </c>
    </row>
    <row r="86" spans="1:6" s="764" customFormat="1" ht="36">
      <c r="A86" s="768">
        <v>26</v>
      </c>
      <c r="B86" s="3708"/>
      <c r="C86" s="682" t="s">
        <v>623</v>
      </c>
      <c r="D86" s="682" t="s">
        <v>624</v>
      </c>
      <c r="E86" s="781">
        <v>0.2</v>
      </c>
      <c r="F86" s="768">
        <v>30</v>
      </c>
    </row>
    <row r="87" spans="1:6" s="764" customFormat="1" ht="36">
      <c r="A87" s="768">
        <v>27</v>
      </c>
      <c r="B87" s="3708"/>
      <c r="C87" s="682" t="s">
        <v>625</v>
      </c>
      <c r="D87" s="682" t="s">
        <v>626</v>
      </c>
      <c r="E87" s="781">
        <v>0.2</v>
      </c>
      <c r="F87" s="768">
        <v>30</v>
      </c>
    </row>
    <row r="88" spans="1:6" s="764" customFormat="1" ht="36">
      <c r="A88" s="768">
        <v>28</v>
      </c>
      <c r="B88" s="3708"/>
      <c r="C88" s="682" t="s">
        <v>627</v>
      </c>
      <c r="D88" s="682" t="s">
        <v>628</v>
      </c>
      <c r="E88" s="781">
        <v>0.2</v>
      </c>
      <c r="F88" s="768">
        <v>30</v>
      </c>
    </row>
    <row r="89" spans="1:6" s="764" customFormat="1" ht="24">
      <c r="A89" s="768">
        <v>29</v>
      </c>
      <c r="B89" s="3708"/>
      <c r="C89" s="682" t="s">
        <v>629</v>
      </c>
      <c r="D89" s="682" t="s">
        <v>630</v>
      </c>
      <c r="E89" s="781">
        <v>0.2</v>
      </c>
      <c r="F89" s="768">
        <v>30</v>
      </c>
    </row>
    <row r="90" spans="1:6" s="764" customFormat="1" ht="24">
      <c r="A90" s="768">
        <v>30</v>
      </c>
      <c r="B90" s="3708"/>
      <c r="C90" s="682" t="s">
        <v>631</v>
      </c>
      <c r="D90" s="682" t="s">
        <v>632</v>
      </c>
      <c r="E90" s="781">
        <v>0.2</v>
      </c>
      <c r="F90" s="768">
        <v>30</v>
      </c>
    </row>
    <row r="91" spans="1:6" s="764" customFormat="1" ht="36">
      <c r="A91" s="768">
        <v>31</v>
      </c>
      <c r="B91" s="3708"/>
      <c r="C91" s="682" t="s">
        <v>633</v>
      </c>
      <c r="D91" s="682" t="s">
        <v>634</v>
      </c>
      <c r="E91" s="781">
        <v>0.2</v>
      </c>
      <c r="F91" s="768">
        <v>30</v>
      </c>
    </row>
    <row r="92" spans="1:6" s="764" customFormat="1" ht="24">
      <c r="A92" s="768">
        <v>32</v>
      </c>
      <c r="B92" s="3708" t="s">
        <v>635</v>
      </c>
      <c r="C92" s="768" t="s">
        <v>636</v>
      </c>
      <c r="D92" s="682" t="s">
        <v>637</v>
      </c>
      <c r="E92" s="781">
        <v>0.2</v>
      </c>
      <c r="F92" s="768">
        <v>30</v>
      </c>
    </row>
    <row r="93" spans="1:6" s="764" customFormat="1" ht="36">
      <c r="A93" s="768">
        <v>33</v>
      </c>
      <c r="B93" s="3708"/>
      <c r="C93" s="768" t="s">
        <v>638</v>
      </c>
      <c r="D93" s="682" t="s">
        <v>639</v>
      </c>
      <c r="E93" s="781">
        <v>0.2</v>
      </c>
      <c r="F93" s="768">
        <v>30</v>
      </c>
    </row>
    <row r="94" spans="1:6" s="764" customFormat="1" ht="48">
      <c r="A94" s="768">
        <v>34</v>
      </c>
      <c r="B94" s="3708"/>
      <c r="C94" s="768" t="s">
        <v>640</v>
      </c>
      <c r="D94" s="682" t="s">
        <v>641</v>
      </c>
      <c r="E94" s="781">
        <v>0.2</v>
      </c>
      <c r="F94" s="768">
        <v>30</v>
      </c>
    </row>
    <row r="95" spans="1:6" s="764" customFormat="1" ht="36">
      <c r="A95" s="768">
        <v>35</v>
      </c>
      <c r="B95" s="3708"/>
      <c r="C95" s="768" t="s">
        <v>642</v>
      </c>
      <c r="D95" s="682" t="s">
        <v>643</v>
      </c>
      <c r="E95" s="781">
        <v>0.2</v>
      </c>
      <c r="F95" s="768">
        <v>30</v>
      </c>
    </row>
    <row r="96" spans="1:6" s="764" customFormat="1" ht="48">
      <c r="A96" s="768">
        <v>36</v>
      </c>
      <c r="B96" s="3708"/>
      <c r="C96" s="682" t="s">
        <v>644</v>
      </c>
      <c r="D96" s="682" t="s">
        <v>645</v>
      </c>
      <c r="E96" s="781">
        <v>0.2</v>
      </c>
      <c r="F96" s="768">
        <v>30</v>
      </c>
    </row>
    <row r="97" spans="1:6" s="764" customFormat="1" ht="36">
      <c r="A97" s="768">
        <v>37</v>
      </c>
      <c r="B97" s="3708"/>
      <c r="C97" s="768" t="s">
        <v>646</v>
      </c>
      <c r="D97" s="682" t="s">
        <v>647</v>
      </c>
      <c r="E97" s="781">
        <v>0.2</v>
      </c>
      <c r="F97" s="768">
        <v>30</v>
      </c>
    </row>
    <row r="98" spans="1:6" s="764" customFormat="1" ht="36">
      <c r="A98" s="768">
        <v>38</v>
      </c>
      <c r="B98" s="3708"/>
      <c r="C98" s="768" t="s">
        <v>648</v>
      </c>
      <c r="D98" s="682" t="s">
        <v>649</v>
      </c>
      <c r="E98" s="781">
        <v>0.2</v>
      </c>
      <c r="F98" s="768">
        <v>30</v>
      </c>
    </row>
    <row r="99" spans="1:6" s="764" customFormat="1" ht="36">
      <c r="A99" s="768">
        <v>39</v>
      </c>
      <c r="B99" s="3708" t="s">
        <v>650</v>
      </c>
      <c r="C99" s="768" t="s">
        <v>651</v>
      </c>
      <c r="D99" s="682" t="s">
        <v>652</v>
      </c>
      <c r="E99" s="781">
        <v>0.3</v>
      </c>
      <c r="F99" s="768">
        <v>50</v>
      </c>
    </row>
    <row r="100" spans="1:6" s="764" customFormat="1" ht="24">
      <c r="A100" s="768">
        <v>40</v>
      </c>
      <c r="B100" s="3708"/>
      <c r="C100" s="768" t="s">
        <v>653</v>
      </c>
      <c r="D100" s="682" t="s">
        <v>654</v>
      </c>
      <c r="E100" s="781">
        <v>0.2</v>
      </c>
      <c r="F100" s="768">
        <v>30</v>
      </c>
    </row>
    <row r="101" spans="1:6" s="764" customFormat="1" ht="36">
      <c r="A101" s="768">
        <v>41</v>
      </c>
      <c r="B101" s="3708"/>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8" t="s">
        <v>665</v>
      </c>
      <c r="C105" s="768" t="s">
        <v>666</v>
      </c>
      <c r="D105" s="682" t="s">
        <v>667</v>
      </c>
      <c r="E105" s="781">
        <v>0.2</v>
      </c>
      <c r="F105" s="768">
        <v>30</v>
      </c>
    </row>
    <row r="106" spans="1:6" s="764" customFormat="1" ht="36">
      <c r="A106" s="768">
        <v>46</v>
      </c>
      <c r="B106" s="3708"/>
      <c r="C106" s="768" t="s">
        <v>668</v>
      </c>
      <c r="D106" s="682" t="s">
        <v>669</v>
      </c>
      <c r="E106" s="781">
        <v>0.2</v>
      </c>
      <c r="F106" s="768">
        <v>30</v>
      </c>
    </row>
    <row r="107" spans="1:6" s="764" customFormat="1" ht="36">
      <c r="A107" s="768">
        <v>47</v>
      </c>
      <c r="B107" s="3708" t="s">
        <v>670</v>
      </c>
      <c r="C107" s="768" t="s">
        <v>671</v>
      </c>
      <c r="D107" s="682" t="s">
        <v>672</v>
      </c>
      <c r="E107" s="781">
        <v>0.3</v>
      </c>
      <c r="F107" s="768">
        <v>50</v>
      </c>
    </row>
    <row r="108" spans="1:6" s="764" customFormat="1" ht="36">
      <c r="A108" s="768">
        <v>48</v>
      </c>
      <c r="B108" s="3708"/>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8" t="s">
        <v>681</v>
      </c>
      <c r="C111" s="768" t="s">
        <v>682</v>
      </c>
      <c r="D111" s="682" t="s">
        <v>683</v>
      </c>
      <c r="E111" s="781">
        <v>0.2</v>
      </c>
      <c r="F111" s="768">
        <v>30</v>
      </c>
    </row>
    <row r="112" spans="1:6" s="764" customFormat="1" ht="24">
      <c r="A112" s="768">
        <v>52</v>
      </c>
      <c r="B112" s="3708"/>
      <c r="C112" s="768" t="s">
        <v>684</v>
      </c>
      <c r="D112" s="682" t="s">
        <v>685</v>
      </c>
      <c r="E112" s="781">
        <v>0.2</v>
      </c>
      <c r="F112" s="768">
        <v>30</v>
      </c>
    </row>
    <row r="113" spans="1:6" s="764" customFormat="1" ht="24">
      <c r="A113" s="768">
        <v>53</v>
      </c>
      <c r="B113" s="3708"/>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8" t="s">
        <v>694</v>
      </c>
      <c r="C116" s="768" t="s">
        <v>695</v>
      </c>
      <c r="D116" s="682" t="s">
        <v>696</v>
      </c>
      <c r="E116" s="781">
        <v>0.2</v>
      </c>
      <c r="F116" s="768">
        <v>30</v>
      </c>
    </row>
    <row r="117" spans="1:6" ht="36">
      <c r="A117" s="768">
        <v>57</v>
      </c>
      <c r="B117" s="3708"/>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4" t="s">
        <v>964</v>
      </c>
      <c r="C1" s="3714"/>
      <c r="D1" s="3714"/>
      <c r="E1" s="3714"/>
      <c r="F1" s="3714"/>
      <c r="G1" s="3710" t="s">
        <v>965</v>
      </c>
      <c r="H1" s="3710"/>
      <c r="I1" s="3710"/>
      <c r="J1" s="3710"/>
      <c r="K1" s="3710"/>
      <c r="L1" s="3710"/>
      <c r="N1" s="3710" t="s">
        <v>966</v>
      </c>
      <c r="O1" s="3710"/>
      <c r="P1" s="3710"/>
      <c r="Q1" s="3710"/>
      <c r="S1" s="3710" t="s">
        <v>967</v>
      </c>
      <c r="T1" s="3710"/>
      <c r="U1" s="3710"/>
      <c r="V1" s="3710"/>
      <c r="X1" s="3709" t="s">
        <v>968</v>
      </c>
      <c r="Y1" s="3710"/>
      <c r="Z1" s="3710"/>
      <c r="AA1" s="3710"/>
      <c r="AB1" s="3710"/>
      <c r="AD1" s="3709" t="s">
        <v>969</v>
      </c>
      <c r="AE1" s="3710"/>
      <c r="AF1" s="3710"/>
      <c r="AG1" s="3710"/>
      <c r="AH1" s="3710"/>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2981</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2980</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2834</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2833</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2832</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2826</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2825</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2677</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2674</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2672</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2669</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2663</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2664</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2661</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12">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2656</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12"/>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2655</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12"/>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9"/>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15">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12"/>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12"/>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9"/>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5">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12"/>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12"/>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13"/>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11">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12"/>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12"/>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13"/>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11">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12"/>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12"/>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13"/>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6">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7"/>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7"/>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8"/>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11">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12"/>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12"/>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13"/>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11">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12">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12">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13">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11">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12">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12">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13">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11">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12">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12">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13">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11">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12">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12">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13">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11">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12">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12">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13">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11">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12">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12">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13">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11">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12">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12">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13">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11">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12">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12">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13">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11">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12">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12">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13">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11">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12">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12">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13">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44610</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2827</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4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0"/>
      <c r="C2" s="3340"/>
      <c r="D2" s="3340"/>
      <c r="E2" s="3340"/>
    </row>
    <row r="3" spans="1:5" ht="13.5" customHeight="1">
      <c r="A3" s="1332"/>
      <c r="B3" s="1332"/>
      <c r="C3" s="1332"/>
      <c r="D3" s="1332"/>
      <c r="E3" s="1332"/>
    </row>
    <row r="4" spans="1:5" ht="19.5" thickBot="1">
      <c r="A4" s="3341" t="str">
        <f>IF(项目基本情况!D5="房地产市场价值","估价结果一览表（市场价值不需本页表格)","估价结果一览表")</f>
        <v>估价结果一览表</v>
      </c>
      <c r="B4" s="3341"/>
      <c r="C4" s="3341"/>
      <c r="D4" s="3341"/>
      <c r="E4" s="3341"/>
    </row>
    <row r="5" spans="1:5" ht="14.25" customHeight="1" thickTop="1">
      <c r="A5" s="1329"/>
      <c r="B5" s="1333" t="s">
        <v>742</v>
      </c>
      <c r="C5" s="3342" t="s">
        <v>775</v>
      </c>
      <c r="D5" s="3343"/>
      <c r="E5" s="1329"/>
    </row>
    <row r="6" spans="1:5" ht="14.25">
      <c r="A6" s="1329"/>
      <c r="B6" s="1334" t="str">
        <f>项目基本情况!I1</f>
        <v>北京市房地产</v>
      </c>
      <c r="C6" s="3344">
        <f>项目基本情况!C12</f>
        <v>63</v>
      </c>
      <c r="D6" s="3344"/>
      <c r="E6" s="1329"/>
    </row>
    <row r="7" spans="1:5" ht="14.25">
      <c r="A7" s="1329"/>
      <c r="B7" s="3338" t="s">
        <v>776</v>
      </c>
      <c r="C7" s="1335" t="str">
        <f>IF('数据-取费表'!B3="万元","总价（万元）","总价（元）")</f>
        <v>总价（万元）</v>
      </c>
      <c r="D7" s="1336">
        <f ca="1">IF('数据-取费表'!E3="否",结果表!I102,'结果表 (1修多)'!I104)</f>
        <v>186</v>
      </c>
      <c r="E7" s="1329"/>
    </row>
    <row r="8" spans="1:5" ht="14.25">
      <c r="A8" s="1329"/>
      <c r="B8" s="3338"/>
      <c r="C8" s="1337" t="s">
        <v>1106</v>
      </c>
      <c r="D8" s="1338" t="str">
        <f ca="1">IF('数据-取费表'!B3="万元",NUMBERSTRING(INT(D7*10000),2)&amp;"元整",NUMBERSTRING(INT(D7),2)&amp;"元整")</f>
        <v>壹佰捌拾陆万元整</v>
      </c>
      <c r="E8" s="1329"/>
    </row>
    <row r="9" spans="1:5" ht="14.25">
      <c r="A9" s="1329"/>
      <c r="B9" s="3338"/>
      <c r="C9" s="1339" t="s">
        <v>1202</v>
      </c>
      <c r="D9" s="1336">
        <f ca="1">IF('数据-取费表'!E3="否",结果表!I103,'结果表 (1修多)'!I105)</f>
        <v>29524</v>
      </c>
      <c r="E9" s="1329"/>
    </row>
    <row r="10" spans="1:5" ht="14.25">
      <c r="A10" s="1329"/>
      <c r="B10" s="3345"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45"/>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45" t="str">
        <f>IF('数据-取费表'!E3="否",结果表!F110,'结果表 (1修多)'!F112)</f>
        <v>3.房地产抵押价值</v>
      </c>
      <c r="C15" s="1330" t="str">
        <f>C7</f>
        <v>总价（万元）</v>
      </c>
      <c r="D15" s="1336">
        <f ca="1">IF('数据-取费表'!E3="否",结果表!I110,'结果表 (1修多)'!I112)</f>
        <v>186</v>
      </c>
      <c r="E15" s="1329"/>
    </row>
    <row r="16" spans="1:5" ht="14.25">
      <c r="A16" s="1329"/>
      <c r="B16" s="3345"/>
      <c r="C16" s="1337" t="s">
        <v>1106</v>
      </c>
      <c r="D16" s="1336" t="str">
        <f ca="1">IF('数据-取费表'!B3="万元",NUMBERSTRING(INT(D15*10000),2)&amp;"元整",NUMBERSTRING(INT(D15),2)&amp;"元整")</f>
        <v>壹佰捌拾陆万元整</v>
      </c>
      <c r="E16" s="1329"/>
    </row>
    <row r="17" spans="1:5" ht="14.25">
      <c r="A17" s="1329"/>
      <c r="B17" s="3345"/>
      <c r="C17" s="1339" t="s">
        <v>1202</v>
      </c>
      <c r="D17" s="1336">
        <f ca="1">IF('数据-取费表'!E3="否",结果表!I111,'结果表 (1修多)'!I113)</f>
        <v>29524</v>
      </c>
      <c r="E17" s="1329"/>
    </row>
    <row r="18" spans="1:5" ht="14.25">
      <c r="A18" s="1329"/>
      <c r="B18" s="3345" t="str">
        <f>IF('数据-取费表'!E3="否",结果表!F112,'结果表 (1修多)'!F114)</f>
        <v>——</v>
      </c>
      <c r="C18" s="1330" t="str">
        <f>C7</f>
        <v>总价（万元）</v>
      </c>
      <c r="D18" s="1336" t="str">
        <f>IF('数据-取费表'!E3="否",结果表!I112,'结果表 (1修多)'!I114)</f>
        <v>——</v>
      </c>
      <c r="E18" s="1329"/>
    </row>
    <row r="19" spans="1:5" ht="14.25">
      <c r="A19" s="1329"/>
      <c r="B19" s="3345"/>
      <c r="C19" s="1337" t="s">
        <v>1106</v>
      </c>
      <c r="D19" s="1336" t="e">
        <f>IF('数据-取费表'!B3="万元",NUMBERSTRING(INT(D18*10000),2)&amp;"元整",NUMBERSTRING(INT(D18),2)&amp;"元整")</f>
        <v>#VALUE!</v>
      </c>
      <c r="E19" s="1329"/>
    </row>
    <row r="20" spans="1:5" ht="14.25">
      <c r="A20" s="1329"/>
      <c r="B20" s="3345"/>
      <c r="C20" s="1339" t="s">
        <v>1202</v>
      </c>
      <c r="D20" s="1336" t="str">
        <f>IF('数据-取费表'!E3="否",结果表!I113,'结果表 (1修多)'!I115)</f>
        <v>——</v>
      </c>
      <c r="E20" s="1329"/>
    </row>
    <row r="21" spans="1:5" ht="14.25">
      <c r="A21" s="1329"/>
      <c r="B21" s="3338" t="str">
        <f>IF('数据-取费表'!E3="否",结果表!F114,'结果表 (1修多)'!F116)</f>
        <v>——</v>
      </c>
      <c r="C21" s="1335" t="str">
        <f>C7</f>
        <v>总价（万元）</v>
      </c>
      <c r="D21" s="1336" t="str">
        <f>IF('数据-取费表'!E3="否",结果表!I114,'结果表 (1修多)'!I116)</f>
        <v>——</v>
      </c>
      <c r="E21" s="1329"/>
    </row>
    <row r="22" spans="1:5" ht="14.25">
      <c r="A22" s="1329"/>
      <c r="B22" s="3338"/>
      <c r="C22" s="1337" t="s">
        <v>1106</v>
      </c>
      <c r="D22" s="1338" t="e">
        <f>IF('数据-取费表'!B3="万元",NUMBERSTRING(INT(D21*10000),2)&amp;"元整",NUMBERSTRING(INT(D21),2)&amp;"元整")</f>
        <v>#VALUE!</v>
      </c>
      <c r="E22" s="1329"/>
    </row>
    <row r="23" spans="1:5" ht="15" thickBot="1">
      <c r="A23" s="1329"/>
      <c r="B23" s="3339"/>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0" t="s">
        <v>1203</v>
      </c>
      <c r="C25" s="3330"/>
      <c r="D25" s="3330"/>
      <c r="E25" s="1329"/>
    </row>
    <row r="26" spans="1:5" ht="18.75" customHeight="1" thickTop="1">
      <c r="A26" s="1329"/>
      <c r="B26" s="3333" t="s">
        <v>1105</v>
      </c>
      <c r="C26" s="3334"/>
      <c r="D26" s="3331" t="s">
        <v>1104</v>
      </c>
      <c r="E26" s="1329"/>
    </row>
    <row r="27" spans="1:5" ht="18.75" customHeight="1">
      <c r="A27" s="1329"/>
      <c r="B27" s="3335"/>
      <c r="C27" s="3336"/>
      <c r="D27" s="3332"/>
      <c r="E27" s="1329"/>
    </row>
    <row r="28" spans="1:5" ht="14.25">
      <c r="A28" s="1329"/>
      <c r="B28" s="3323" t="s">
        <v>776</v>
      </c>
      <c r="C28" s="1346" t="s">
        <v>1107</v>
      </c>
      <c r="D28" s="1347">
        <f ca="1">IF('数据-取费表'!E3="否",结果表!I102,'结果表 (1修多)'!I104)</f>
        <v>186</v>
      </c>
      <c r="E28" s="1329"/>
    </row>
    <row r="29" spans="1:5" ht="14.25">
      <c r="A29" s="1329"/>
      <c r="B29" s="3324"/>
      <c r="C29" s="1348" t="s">
        <v>1106</v>
      </c>
      <c r="D29" s="1349" t="str">
        <f ca="1">IF('数据-取费表'!B3="万元",NUMBERSTRING(INT(D28*10000),2)&amp;"元整",NUMBERSTRING(INT(D28),2)&amp;"元整")</f>
        <v>壹佰捌拾陆万元整</v>
      </c>
      <c r="E29" s="1329"/>
    </row>
    <row r="30" spans="1:5" ht="14.25">
      <c r="A30" s="1329"/>
      <c r="B30" s="3325"/>
      <c r="C30" s="1339" t="s">
        <v>1109</v>
      </c>
      <c r="D30" s="1350">
        <f ca="1">IF('数据-取费表'!E3="否",结果表!I103,'结果表 (1修多)'!I105)</f>
        <v>29524</v>
      </c>
      <c r="E30" s="1329"/>
    </row>
    <row r="31" spans="1:5" ht="14.25">
      <c r="A31" s="1329"/>
      <c r="B31" s="3328" t="str">
        <f>B10</f>
        <v>2.估价师所知悉的法定优先受偿款</v>
      </c>
      <c r="C31" s="1351" t="s">
        <v>1108</v>
      </c>
      <c r="D31" s="1352">
        <f>IF('数据-取费表'!E3="否",结果表!I105,'结果表 (1修多)'!I107)</f>
        <v>0</v>
      </c>
      <c r="E31" s="1329"/>
    </row>
    <row r="32" spans="1:5" ht="14.25">
      <c r="A32" s="1329"/>
      <c r="B32" s="3337"/>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6" t="str">
        <f>B15</f>
        <v>3.房地产抵押价值</v>
      </c>
      <c r="C36" s="1351" t="str">
        <f>C28</f>
        <v>总价</v>
      </c>
      <c r="D36" s="1352">
        <f ca="1">IF('数据-取费表'!E3="否",结果表!I110,'结果表 (1修多)'!I112)</f>
        <v>186</v>
      </c>
      <c r="E36" s="1329"/>
    </row>
    <row r="37" spans="1:5" ht="14.25">
      <c r="A37" s="1329"/>
      <c r="B37" s="3326"/>
      <c r="C37" s="1348" t="s">
        <v>1106</v>
      </c>
      <c r="D37" s="1353" t="str">
        <f ca="1">IF('数据-取费表'!B3="万元",NUMBERSTRING(INT(D36*10000),2)&amp;"元整",NUMBERSTRING(INT(D36),2)&amp;"元整")</f>
        <v>壹佰捌拾陆万元整</v>
      </c>
      <c r="E37" s="1329"/>
    </row>
    <row r="38" spans="1:5" ht="14.25">
      <c r="A38" s="1329"/>
      <c r="B38" s="3326"/>
      <c r="C38" s="1339" t="s">
        <v>1110</v>
      </c>
      <c r="D38" s="1350">
        <f ca="1">IF('数据-取费表'!E3="否",结果表!D113,'结果表 (1修多)'!D117)</f>
        <v>29524</v>
      </c>
      <c r="E38" s="1329"/>
    </row>
    <row r="39" spans="1:5" ht="14.25">
      <c r="A39" s="1329"/>
      <c r="B39" s="3327" t="str">
        <f>B18</f>
        <v>——</v>
      </c>
      <c r="C39" s="1351" t="str">
        <f>C28</f>
        <v>总价</v>
      </c>
      <c r="D39" s="1352" t="str">
        <f>IF('数据-取费表'!E3="否",结果表!I112,'结果表 (1修多)'!I114)</f>
        <v>——</v>
      </c>
      <c r="E39" s="1329"/>
    </row>
    <row r="40" spans="1:5" ht="14.25">
      <c r="A40" s="1329"/>
      <c r="B40" s="3327"/>
      <c r="C40" s="1348" t="s">
        <v>1106</v>
      </c>
      <c r="D40" s="1353" t="e">
        <f>IF('数据-取费表'!B3="万元",NUMBERSTRING(INT(D39*10000),2)&amp;"元整",NUMBERSTRING(INT(D39),2)&amp;"元整")</f>
        <v>#VALUE!</v>
      </c>
      <c r="E40" s="1329"/>
    </row>
    <row r="41" spans="1:5" ht="14.25">
      <c r="A41" s="1329"/>
      <c r="B41" s="3327"/>
      <c r="C41" s="1339" t="s">
        <v>1110</v>
      </c>
      <c r="D41" s="1350" t="str">
        <f>IF('数据-取费表'!E3="否",结果表!D115,'结果表 (1修多)'!D119)</f>
        <v>——</v>
      </c>
      <c r="E41" s="1329"/>
    </row>
    <row r="42" spans="1:5" ht="14.25">
      <c r="A42" s="1329"/>
      <c r="B42" s="3326" t="str">
        <f>B21</f>
        <v>——</v>
      </c>
      <c r="C42" s="1351" t="str">
        <f>C28</f>
        <v>总价</v>
      </c>
      <c r="D42" s="1352" t="str">
        <f>IF('数据-取费表'!E3="否",结果表!I114,'结果表 (1修多)'!I116)</f>
        <v>——</v>
      </c>
      <c r="E42" s="1329"/>
    </row>
    <row r="43" spans="1:5" ht="14.25">
      <c r="A43" s="1329"/>
      <c r="B43" s="3328"/>
      <c r="C43" s="1348" t="s">
        <v>1106</v>
      </c>
      <c r="D43" s="1354" t="e">
        <f>IF('数据-取费表'!B3="万元",NUMBERSTRING(INT(D42*10000),2)&amp;"元整",NUMBERSTRING(INT(D42),2)&amp;"元整")</f>
        <v>#VALUE!</v>
      </c>
      <c r="E43" s="1329"/>
    </row>
    <row r="44" spans="1:5" ht="15" thickBot="1">
      <c r="A44" s="1329"/>
      <c r="B44" s="3329"/>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2" t="str">
        <f>IF(项目基本情况!D5="房地产市场价值","估价结果一览表","结果表-2")</f>
        <v>结果表-2</v>
      </c>
      <c r="B1" s="3352"/>
      <c r="C1" s="3352"/>
      <c r="D1" s="3352"/>
      <c r="E1" s="3352"/>
      <c r="F1" s="3352"/>
      <c r="G1" s="3352"/>
      <c r="H1" s="3352"/>
      <c r="I1" s="3352"/>
    </row>
    <row r="2" spans="1:9" ht="30" customHeight="1" thickTop="1">
      <c r="A2" s="3353" t="s">
        <v>1204</v>
      </c>
      <c r="B2" s="3353" t="s">
        <v>1205</v>
      </c>
      <c r="C2" s="3353" t="s">
        <v>1206</v>
      </c>
      <c r="D2" s="3353" t="str">
        <f>IF('数据-取费表'!E3="否",结果表!D119,'结果表 (1修多)'!D123)</f>
        <v>出让国有建设用地使用权价值</v>
      </c>
      <c r="E2" s="3353"/>
      <c r="F2" s="3353" t="s">
        <v>1207</v>
      </c>
      <c r="G2" s="3353"/>
      <c r="H2" s="3353" t="s">
        <v>1208</v>
      </c>
      <c r="I2" s="3353"/>
    </row>
    <row r="3" spans="1:9" ht="15">
      <c r="A3" s="3346"/>
      <c r="B3" s="3346"/>
      <c r="C3" s="3346"/>
      <c r="D3" s="818" t="s">
        <v>1209</v>
      </c>
      <c r="E3" s="818" t="s">
        <v>1210</v>
      </c>
      <c r="F3" s="818" t="s">
        <v>1209</v>
      </c>
      <c r="G3" s="818" t="s">
        <v>1211</v>
      </c>
      <c r="H3" s="818" t="s">
        <v>1209</v>
      </c>
      <c r="I3" s="818" t="s">
        <v>1211</v>
      </c>
    </row>
    <row r="4" spans="1:9" ht="46.5" customHeight="1">
      <c r="A4" s="818" t="str">
        <f>项目基本情况!I1</f>
        <v>北京市房地产</v>
      </c>
      <c r="B4" s="818">
        <f>结果表!B121</f>
        <v>63</v>
      </c>
      <c r="C4" s="818">
        <f>结果表!C121</f>
        <v>0</v>
      </c>
      <c r="D4" s="818">
        <f ca="1">IF('数据-取费表'!E3="否",结果表!D121,'结果表 (1修多)'!D125)</f>
        <v>186</v>
      </c>
      <c r="E4" s="818">
        <f ca="1">IF('数据-取费表'!E3="否",结果表!E121,'结果表 (1修多)'!E125)</f>
        <v>29524</v>
      </c>
      <c r="F4" s="818">
        <f ca="1">IF('数据-取费表'!E3="否",结果表!F121,'结果表 (1修多)'!F125)</f>
        <v>0</v>
      </c>
      <c r="G4" s="818">
        <f ca="1">IF('数据-取费表'!E3="否",结果表!G121,'结果表 (1修多)'!G125)</f>
        <v>0</v>
      </c>
      <c r="H4" s="818">
        <f ca="1">IF('数据-取费表'!E3="否",结果表!H121,'结果表 (1修多)'!H125)</f>
        <v>186</v>
      </c>
      <c r="I4" s="818">
        <f ca="1">IF('数据-取费表'!E3="否",结果表!I121,'结果表 (1修多)'!I125)</f>
        <v>29524</v>
      </c>
    </row>
    <row r="5" spans="1:9" ht="15">
      <c r="A5" s="3346" t="s">
        <v>1212</v>
      </c>
      <c r="B5" s="3346"/>
      <c r="C5" s="3346"/>
      <c r="D5" s="3347" t="str">
        <f ca="1">IF('数据-取费表'!E3="否",结果表!D122,'结果表 (1修多)'!D126)</f>
        <v>壹佰捌拾陆万元整</v>
      </c>
      <c r="E5" s="3347"/>
      <c r="F5" s="3347" t="str">
        <f ca="1">IF('数据-取费表'!E3="否",结果表!F122,'结果表 (1修多)'!F126)</f>
        <v>零元整</v>
      </c>
      <c r="G5" s="3347"/>
      <c r="H5" s="3347" t="str">
        <f ca="1">IF('数据-取费表'!E3="否",结果表!H122,'结果表 (1修多)'!H126)</f>
        <v>壹佰捌拾陆万元整</v>
      </c>
      <c r="I5" s="3347"/>
    </row>
    <row r="6" spans="1:9" ht="15.75">
      <c r="A6" s="3348" t="str">
        <f>IF('数据-取费表'!E3="否",结果表!A123,'结果表 (1修多)'!A127)</f>
        <v>估价师所知悉的法定优先受偿款</v>
      </c>
      <c r="B6" s="3348"/>
      <c r="C6" s="3348"/>
      <c r="D6" s="3348">
        <f>IF('数据-取费表'!E3="否",结果表!D123,'结果表 (1修多)'!D127)</f>
        <v>0</v>
      </c>
      <c r="E6" s="3348"/>
      <c r="F6" s="3348"/>
      <c r="G6" s="3348"/>
      <c r="H6" s="3348"/>
      <c r="I6" s="3348"/>
    </row>
    <row r="7" spans="1:9" ht="15">
      <c r="A7" s="3346" t="s">
        <v>1212</v>
      </c>
      <c r="B7" s="3346"/>
      <c r="C7" s="3346"/>
      <c r="D7" s="3354">
        <f>IF('数据-取费表'!E3="否",结果表!D124,'结果表 (1修多)'!D128)</f>
        <v>0</v>
      </c>
      <c r="E7" s="3355"/>
      <c r="F7" s="3355"/>
      <c r="G7" s="3355"/>
      <c r="H7" s="3355"/>
      <c r="I7" s="3356"/>
    </row>
    <row r="8" spans="1:9" ht="15.75">
      <c r="A8" s="3348" t="str">
        <f>IF('数据-取费表'!E3="否",结果表!A125,'结果表 (1修多)'!A129)</f>
        <v>房地产抵押价值</v>
      </c>
      <c r="B8" s="3348"/>
      <c r="C8" s="3348"/>
      <c r="D8" s="3348">
        <f ca="1">IF('数据-取费表'!E3="否",结果表!D125,'结果表 (1修多)'!D129)</f>
        <v>186</v>
      </c>
      <c r="E8" s="3348"/>
      <c r="F8" s="3348"/>
      <c r="G8" s="3348"/>
      <c r="H8" s="3348"/>
      <c r="I8" s="3348"/>
    </row>
    <row r="9" spans="1:9" ht="15">
      <c r="A9" s="3346" t="s">
        <v>1212</v>
      </c>
      <c r="B9" s="3346"/>
      <c r="C9" s="3346"/>
      <c r="D9" s="3347">
        <f ca="1">IF('数据-取费表'!E3="否",结果表!D126,'结果表 (1修多)'!D130)</f>
        <v>29524</v>
      </c>
      <c r="E9" s="3347"/>
      <c r="F9" s="3347"/>
      <c r="G9" s="3347"/>
      <c r="H9" s="3347"/>
      <c r="I9" s="3347"/>
    </row>
    <row r="10" spans="1:9" ht="15.75">
      <c r="A10" s="3348" t="str">
        <f>IF('数据-取费表'!E3="否",结果表!A127,'结果表 (1修多)'!A131)</f>
        <v/>
      </c>
      <c r="B10" s="3348"/>
      <c r="C10" s="3348"/>
      <c r="D10" s="3348" t="str">
        <f>IF('数据-取费表'!E3="否",结果表!D127,'结果表 (1修多)'!D130)</f>
        <v>——</v>
      </c>
      <c r="E10" s="3348"/>
      <c r="F10" s="3348"/>
      <c r="G10" s="3348"/>
      <c r="H10" s="3348"/>
      <c r="I10" s="3348"/>
    </row>
    <row r="11" spans="1:9" ht="15">
      <c r="A11" s="3346" t="s">
        <v>1212</v>
      </c>
      <c r="B11" s="3346"/>
      <c r="C11" s="3346"/>
      <c r="D11" s="3347" t="str">
        <f>IF('数据-取费表'!E3="否",结果表!D128,'结果表 (1修多)'!D132)</f>
        <v>——</v>
      </c>
      <c r="E11" s="3347"/>
      <c r="F11" s="3347"/>
      <c r="G11" s="3347"/>
      <c r="H11" s="3347"/>
      <c r="I11" s="3347"/>
    </row>
    <row r="12" spans="1:9" ht="15.75">
      <c r="A12" s="3348" t="str">
        <f>IF('数据-取费表'!E3="否",结果表!A129,'结果表 (1修多)'!A133)</f>
        <v/>
      </c>
      <c r="B12" s="3348"/>
      <c r="C12" s="3348"/>
      <c r="D12" s="3348" t="str">
        <f>IF('数据-取费表'!E3="否",结果表!D129,'结果表 (1修多)'!D133)</f>
        <v>——</v>
      </c>
      <c r="E12" s="3348"/>
      <c r="F12" s="3348"/>
      <c r="G12" s="3348"/>
      <c r="H12" s="3348"/>
      <c r="I12" s="3348"/>
    </row>
    <row r="13" spans="1:9" ht="15.75" thickBot="1">
      <c r="A13" s="3349" t="s">
        <v>1212</v>
      </c>
      <c r="B13" s="3349"/>
      <c r="C13" s="3349"/>
      <c r="D13" s="3350">
        <f>IF('数据-取费表'!E3="否",结果表!D130,'结果表 (1修多)'!D134)</f>
        <v>0</v>
      </c>
      <c r="E13" s="3350"/>
      <c r="F13" s="3350"/>
      <c r="G13" s="3350"/>
      <c r="H13" s="3350"/>
      <c r="I13" s="3350"/>
    </row>
    <row r="14" spans="1:9" ht="15" thickTop="1">
      <c r="A14" s="3351" t="str">
        <f>IF('数据-取费表'!E3="否",结果表!A131,'结果表 (1修多)'!A135)</f>
        <v>单位：平方米、万元、元/平方米（币种：人民币）</v>
      </c>
      <c r="B14" s="3351"/>
      <c r="C14" s="3351"/>
      <c r="D14" s="3351"/>
      <c r="E14" s="3351"/>
      <c r="F14" s="3351"/>
      <c r="G14" s="3351"/>
      <c r="H14" s="3351"/>
      <c r="I14" s="3351"/>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8" t="s">
        <v>1225</v>
      </c>
      <c r="B1" s="3358"/>
      <c r="C1" s="3358"/>
      <c r="D1" s="3358"/>
    </row>
    <row r="2" spans="1:4" ht="18">
      <c r="A2" s="3357" t="s">
        <v>1214</v>
      </c>
      <c r="B2" s="3357"/>
      <c r="C2" s="3357"/>
      <c r="D2" s="3357"/>
    </row>
    <row r="3" spans="1:4" ht="18.75">
      <c r="A3" s="1358" t="s">
        <v>1215</v>
      </c>
      <c r="B3" s="1358" t="s">
        <v>1216</v>
      </c>
      <c r="C3" s="1358" t="s">
        <v>1217</v>
      </c>
      <c r="D3" s="1358" t="s">
        <v>1218</v>
      </c>
    </row>
    <row r="4" spans="1:4" ht="56.25" customHeight="1">
      <c r="A4" s="1359" t="str">
        <f>项目基本情况!B3</f>
        <v>吴薇</v>
      </c>
      <c r="B4" s="1360">
        <f ca="1">项目基本情况!C3</f>
        <v>1419970001</v>
      </c>
      <c r="C4" s="1361"/>
      <c r="D4" s="1362" t="s">
        <v>1226</v>
      </c>
    </row>
    <row r="5" spans="1:4" ht="56.25" customHeight="1">
      <c r="A5" s="1359" t="str">
        <f>项目基本情况!D3</f>
        <v>郑燚</v>
      </c>
      <c r="B5" s="1360">
        <f ca="1">项目基本情况!E3</f>
        <v>1120070131</v>
      </c>
      <c r="C5" s="1363"/>
      <c r="D5" s="1362" t="s">
        <v>1226</v>
      </c>
    </row>
    <row r="6" spans="1:4" ht="12" customHeight="1">
      <c r="A6" s="1359"/>
      <c r="B6" s="1360"/>
      <c r="C6" s="1364"/>
      <c r="D6" s="1362"/>
    </row>
    <row r="7" spans="1:4" ht="18">
      <c r="A7" s="3357" t="s">
        <v>1219</v>
      </c>
      <c r="B7" s="3357"/>
      <c r="C7" s="3357"/>
      <c r="D7" s="3357"/>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9" t="s">
        <v>2678</v>
      </c>
      <c r="B12" s="3360"/>
      <c r="C12" s="3360"/>
      <c r="D12" s="3360"/>
    </row>
    <row r="13" spans="1:4" ht="15.75">
      <c r="A13" s="335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0"/>
      <c r="C13" s="3360"/>
      <c r="D13" s="3360"/>
    </row>
    <row r="14" spans="1:4" ht="30" customHeight="1">
      <c r="A14" s="335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0"/>
      <c r="C14" s="3360"/>
      <c r="D14" s="3360"/>
    </row>
    <row r="15" spans="1:4" ht="15.75" customHeight="1">
      <c r="A15" s="3359" t="str">
        <f>IF(项目基本情况!D4="抵押","4.本次评估估价师所知悉的法定优先受偿款情况说明如下：","——")</f>
        <v>4.本次评估估价师所知悉的法定优先受偿款情况说明如下：</v>
      </c>
      <c r="B15" s="3360"/>
      <c r="C15" s="3360"/>
      <c r="D15" s="3360"/>
    </row>
    <row r="16" spans="1:4" ht="75" customHeight="1">
      <c r="A16" s="335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9"/>
      <c r="C16" s="3359"/>
      <c r="D16" s="3359"/>
    </row>
    <row r="17" spans="1:4" ht="63.75" customHeight="1">
      <c r="A17" s="3361" t="s">
        <v>1227</v>
      </c>
      <c r="B17" s="3361"/>
      <c r="C17" s="3361"/>
      <c r="D17" s="3361"/>
    </row>
    <row r="18" spans="1:4" ht="15.75" customHeight="1">
      <c r="A18" s="3359" t="str">
        <f>IF(项目基本情况!D4="抵押",结果表!L106,"——")</f>
        <v>本次评估不存在估价师所知悉的法定优先受偿款。</v>
      </c>
      <c r="B18" s="3359"/>
      <c r="C18" s="3359"/>
      <c r="D18" s="3359"/>
    </row>
    <row r="19" spans="1:4" ht="46.5" customHeight="1">
      <c r="A19" s="335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9"/>
      <c r="C19" s="3359"/>
      <c r="D19" s="3359"/>
    </row>
    <row r="20" spans="1:4" ht="15">
      <c r="A20" s="3361" t="s">
        <v>2679</v>
      </c>
      <c r="B20" s="3361"/>
      <c r="C20" s="3361"/>
      <c r="D20" s="3361"/>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7" t="s">
        <v>1306</v>
      </c>
      <c r="B15" s="3362" t="s">
        <v>1307</v>
      </c>
      <c r="C15" s="3363"/>
    </row>
    <row r="16" spans="1:7" ht="14.25">
      <c r="A16" s="3368"/>
      <c r="B16" s="3362" t="s">
        <v>1308</v>
      </c>
      <c r="C16" s="3363"/>
    </row>
    <row r="17" spans="1:3" ht="14.25">
      <c r="A17" s="3368"/>
      <c r="B17" s="3362" t="s">
        <v>1309</v>
      </c>
      <c r="C17" s="3363"/>
    </row>
    <row r="18" spans="1:3" ht="14.25">
      <c r="A18" s="3369"/>
      <c r="B18" s="3364" t="s">
        <v>1310</v>
      </c>
      <c r="C18" s="3363"/>
    </row>
    <row r="19" spans="1:3" ht="14.25">
      <c r="A19" s="1382" t="s">
        <v>1311</v>
      </c>
      <c r="B19" s="1383"/>
      <c r="C19" s="1384"/>
    </row>
    <row r="20" spans="1:3" ht="14.25">
      <c r="A20" s="3365" t="s">
        <v>1312</v>
      </c>
      <c r="B20" s="3364" t="s">
        <v>1313</v>
      </c>
      <c r="C20" s="3363"/>
    </row>
    <row r="21" spans="1:3" ht="14.25">
      <c r="A21" s="3365"/>
      <c r="B21" s="3364" t="s">
        <v>1314</v>
      </c>
      <c r="C21" s="3363"/>
    </row>
    <row r="22" spans="1:3" ht="14.25">
      <c r="A22" s="3365"/>
      <c r="B22" s="3364" t="s">
        <v>1315</v>
      </c>
      <c r="C22" s="3363"/>
    </row>
    <row r="23" spans="1:3" ht="14.25">
      <c r="A23" s="3365"/>
      <c r="B23" s="3366" t="s">
        <v>1316</v>
      </c>
      <c r="C23" s="1385" t="s">
        <v>1317</v>
      </c>
    </row>
    <row r="24" spans="1:3" ht="14.25">
      <c r="A24" s="3365"/>
      <c r="B24" s="3366"/>
      <c r="C24" s="1385" t="s">
        <v>1318</v>
      </c>
    </row>
    <row r="25" spans="1:3" ht="14.25">
      <c r="A25" s="3365"/>
      <c r="B25" s="3366"/>
      <c r="C25" s="1385" t="s">
        <v>1319</v>
      </c>
    </row>
    <row r="26" spans="1:3" ht="14.25">
      <c r="A26" s="3365"/>
      <c r="B26" s="3366"/>
      <c r="C26" s="1385" t="s">
        <v>1320</v>
      </c>
    </row>
    <row r="27" spans="1:3" ht="14.25">
      <c r="A27" s="3365"/>
      <c r="B27" s="3366"/>
      <c r="C27" s="1385" t="s">
        <v>1321</v>
      </c>
    </row>
    <row r="28" spans="1:3" ht="14.25">
      <c r="A28" s="3365"/>
      <c r="B28" s="3366"/>
      <c r="C28" s="1385" t="s">
        <v>1322</v>
      </c>
    </row>
    <row r="29" spans="1:3" ht="14.25">
      <c r="A29" s="3365"/>
      <c r="B29" s="3366"/>
      <c r="C29" s="1385" t="s">
        <v>1323</v>
      </c>
    </row>
    <row r="30" spans="1:3" ht="14.25">
      <c r="A30" s="3365"/>
      <c r="B30" s="3366"/>
      <c r="C30" s="1385" t="s">
        <v>1324</v>
      </c>
    </row>
    <row r="31" spans="1:3" ht="14.25">
      <c r="A31" s="3365"/>
      <c r="B31" s="3366"/>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44614</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2657</v>
      </c>
      <c r="B12" s="1272">
        <f ca="1">IF(C12&lt;B2,"已过期",1120040230)</f>
        <v>1120040230</v>
      </c>
      <c r="C12" s="3043">
        <v>44864</v>
      </c>
      <c r="D12" s="3051" t="str">
        <f t="shared" ca="1" si="0"/>
        <v>苏海（注册号：1120040230）</v>
      </c>
      <c r="E12" s="3053" t="s">
        <v>2657</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2671</v>
      </c>
      <c r="B14" s="1272">
        <f ca="1">IF(C14&lt;B2,"已过期",1119980106)</f>
        <v>1119980106</v>
      </c>
      <c r="C14" s="3043">
        <v>44969</v>
      </c>
      <c r="D14" s="3051" t="str">
        <f t="shared" ca="1" si="0"/>
        <v>刘俊财（注册号：1119980106）</v>
      </c>
      <c r="E14" s="3053" t="s">
        <v>2771</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2775</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70" t="s">
        <v>762</v>
      </c>
      <c r="B17" s="3370"/>
      <c r="C17" s="3370"/>
      <c r="D17" s="3370"/>
      <c r="E17" s="3370"/>
      <c r="F17" s="3370"/>
      <c r="G17" s="3370"/>
      <c r="H17" s="3370"/>
    </row>
    <row r="18" spans="1:8" ht="24" customHeight="1">
      <c r="A18" s="3371" t="s">
        <v>763</v>
      </c>
      <c r="B18" s="3371"/>
      <c r="C18" s="3371"/>
      <c r="D18" s="3039"/>
      <c r="E18" s="3372" t="s">
        <v>764</v>
      </c>
      <c r="F18" s="3371"/>
      <c r="G18" s="3371"/>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2772</v>
      </c>
      <c r="B20" s="3046" t="s">
        <v>2773</v>
      </c>
      <c r="C20" s="3041">
        <v>44820</v>
      </c>
      <c r="D20" s="3054"/>
      <c r="E20" s="3056" t="s">
        <v>768</v>
      </c>
      <c r="F20" s="3046" t="s">
        <v>769</v>
      </c>
      <c r="G20" s="3047">
        <v>44377</v>
      </c>
    </row>
    <row r="21" spans="1:8" s="3029" customFormat="1" ht="24" customHeight="1">
      <c r="A21" s="3046"/>
      <c r="B21" s="3046"/>
      <c r="C21" s="3048"/>
      <c r="D21" s="3055"/>
      <c r="E21" s="3056" t="s">
        <v>770</v>
      </c>
      <c r="F21" s="3049" t="s">
        <v>2670</v>
      </c>
      <c r="G21" s="3050">
        <v>44012</v>
      </c>
    </row>
    <row r="22" spans="1:8" ht="24" customHeight="1">
      <c r="C22" s="3032"/>
      <c r="D22" s="3032"/>
      <c r="E22" s="3057"/>
      <c r="F22" s="3058"/>
      <c r="G22" s="3059" t="s">
        <v>2774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2975</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3"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本次估价的“房地产价值”是指在正常市场情况下，在价值时点2022年2月18日，估价对象规划用途为，假定未设立法定优先受偿款下的房地产市场价值。</v>
      </c>
    </row>
    <row r="54" spans="1:4">
      <c r="A54" s="3373"/>
      <c r="B54" s="9" t="s">
        <v>1462</v>
      </c>
      <c r="C54" s="9" t="s">
        <v>1463</v>
      </c>
    </row>
    <row r="55" spans="1:4">
      <c r="A55" s="3373"/>
      <c r="B55" s="9" t="s">
        <v>1464</v>
      </c>
      <c r="C55" s="9" t="s">
        <v>1465</v>
      </c>
    </row>
    <row r="56" spans="1:4">
      <c r="A56" s="3373"/>
      <c r="B56" s="9" t="s">
        <v>1466</v>
      </c>
      <c r="C56" s="9" t="s">
        <v>1467</v>
      </c>
    </row>
    <row r="57" spans="1:4">
      <c r="A57" s="3373"/>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收益法-酒店模型</vt:lpstr>
      <vt:lpstr>典型户型修正</vt:lpstr>
      <vt:lpstr>比较法-住宅</vt:lpstr>
      <vt:lpstr>比较法-商业</vt:lpstr>
      <vt:lpstr>比较法-办公</vt:lpstr>
      <vt:lpstr>案例情况</vt:lpstr>
      <vt:lpstr>收益法</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cp:lastModifiedBy>
  <cp:lastPrinted>2020-08-03T08:20:51Z</cp:lastPrinted>
  <dcterms:created xsi:type="dcterms:W3CDTF">2015-07-13T07:17:23Z</dcterms:created>
  <dcterms:modified xsi:type="dcterms:W3CDTF">2022-02-22T15:50:07Z</dcterms:modified>
</cp:coreProperties>
</file>