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95" windowWidth="11625" windowHeight="1068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汇总" sheetId="80" state="hidden" r:id="rId18"/>
    <sheet name="结果表" sheetId="9" r:id="rId19"/>
    <sheet name="成本法" sheetId="68" state="hidden" r:id="rId20"/>
    <sheet name="成本法 (元)" sheetId="69" state="hidden" r:id="rId21"/>
    <sheet name="假设开发法" sheetId="12"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收益法" sheetId="15" r:id="rId38"/>
    <sheet name="收益法 (元)" sheetId="67" state="hidden" r:id="rId39"/>
    <sheet name="典型户型修正" sheetId="3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state="hidden" r:id="rId47"/>
  </sheets>
  <externalReferences>
    <externalReference r:id="rId48"/>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8">结果表!$A$1:$I$127</definedName>
    <definedName name="_xlnm.Print_Area" localSheetId="37">收益法!$A$1:$F$43,收益法!$H$3:$M$29,收益法!$A$46:$F$71,收益法!$I$46:$N$65</definedName>
    <definedName name="_xlnm.Print_Area" localSheetId="38">'收益法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19" i="1" l="1"/>
  <c r="N6" i="1"/>
  <c r="A3" i="3"/>
  <c r="F105" i="34" l="1"/>
  <c r="G105" i="34" s="1"/>
  <c r="H105" i="34" s="1"/>
  <c r="C14" i="74" l="1"/>
  <c r="E105" i="34" l="1"/>
  <c r="U21" i="1" l="1"/>
  <c r="U20" i="1"/>
  <c r="F3" i="81" l="1"/>
  <c r="F4" i="81"/>
  <c r="H4" i="81" s="1"/>
  <c r="F2" i="81"/>
  <c r="A4" i="81"/>
  <c r="H3" i="81"/>
  <c r="H2" i="81"/>
  <c r="C11" i="4" l="1"/>
  <c r="E11" i="80" l="1"/>
  <c r="C7" i="80"/>
  <c r="D7" i="80" s="1"/>
  <c r="B7" i="80"/>
  <c r="D6" i="80"/>
  <c r="C6" i="80"/>
  <c r="B6" i="80"/>
  <c r="D5" i="80"/>
  <c r="D8" i="80" s="1"/>
  <c r="C5" i="80"/>
  <c r="C8" i="80" s="1"/>
  <c r="B5" i="80"/>
  <c r="T5" i="31" l="1"/>
  <c r="J118" i="9" l="1"/>
  <c r="D3" i="4" l="1"/>
  <c r="B25" i="31" l="1"/>
  <c r="B26" i="31"/>
  <c r="B24" i="31"/>
  <c r="A25" i="31"/>
  <c r="A26" i="31"/>
  <c r="A24" i="31"/>
  <c r="G51" i="34"/>
  <c r="G48" i="34" s="1"/>
  <c r="I51" i="34" l="1"/>
  <c r="Y6" i="1"/>
  <c r="C37" i="34" s="1"/>
  <c r="E37" i="34" s="1"/>
  <c r="G37" i="34" s="1"/>
  <c r="I37" i="34" s="1"/>
  <c r="O21" i="1"/>
  <c r="F19" i="6" l="1"/>
  <c r="C34" i="34" s="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B14" i="74" s="1"/>
  <c r="N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7" i="31"/>
  <c r="S27" i="31" s="1"/>
  <c r="R28" i="31"/>
  <c r="S28" i="31" s="1"/>
  <c r="R29" i="31"/>
  <c r="R30" i="31"/>
  <c r="R31" i="31"/>
  <c r="R32" i="31"/>
  <c r="S32" i="31" s="1"/>
  <c r="R33" i="31"/>
  <c r="R34" i="31"/>
  <c r="S34" i="31" s="1"/>
  <c r="R35" i="31"/>
  <c r="R36" i="31"/>
  <c r="S36" i="31" s="1"/>
  <c r="R37" i="31"/>
  <c r="R38" i="31"/>
  <c r="R39" i="31"/>
  <c r="R40" i="31"/>
  <c r="S40" i="31" s="1"/>
  <c r="R41" i="31"/>
  <c r="R42" i="31"/>
  <c r="S42" i="31" s="1"/>
  <c r="R43" i="31"/>
  <c r="R44" i="31"/>
  <c r="S44" i="31" s="1"/>
  <c r="R45" i="31"/>
  <c r="R46" i="31"/>
  <c r="R47" i="31"/>
  <c r="R48" i="31"/>
  <c r="S48" i="31" s="1"/>
  <c r="R49" i="31"/>
  <c r="R50" i="31"/>
  <c r="S50" i="31" s="1"/>
  <c r="R51" i="31"/>
  <c r="R52" i="31"/>
  <c r="S52" i="31" s="1"/>
  <c r="R53" i="31"/>
  <c r="R54" i="3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R73" i="31"/>
  <c r="R74" i="31"/>
  <c r="R75" i="31"/>
  <c r="S75" i="31" s="1"/>
  <c r="R76" i="31"/>
  <c r="S76" i="31" s="1"/>
  <c r="R77" i="31"/>
  <c r="R78" i="3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S102" i="31" s="1"/>
  <c r="R103" i="31"/>
  <c r="R104" i="31"/>
  <c r="S104" i="31" s="1"/>
  <c r="R105" i="31"/>
  <c r="R106" i="31"/>
  <c r="R107" i="31"/>
  <c r="R108" i="31"/>
  <c r="S108" i="31" s="1"/>
  <c r="R109" i="31"/>
  <c r="R110" i="31"/>
  <c r="S110" i="31" s="1"/>
  <c r="R111" i="31"/>
  <c r="R112" i="31"/>
  <c r="S112" i="31" s="1"/>
  <c r="R113" i="31"/>
  <c r="R114" i="31"/>
  <c r="S114" i="31" s="1"/>
  <c r="R115" i="31"/>
  <c r="S115" i="31" s="1"/>
  <c r="R116" i="31"/>
  <c r="S116" i="31" s="1"/>
  <c r="R117" i="31"/>
  <c r="R118" i="31"/>
  <c r="S118" i="31" s="1"/>
  <c r="R119" i="31"/>
  <c r="S119" i="31" s="1"/>
  <c r="R120" i="31"/>
  <c r="R121" i="31"/>
  <c r="R122" i="3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R445" i="31"/>
  <c r="R446" i="31"/>
  <c r="S446" i="31" s="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S464" i="31" s="1"/>
  <c r="R465" i="31"/>
  <c r="R466" i="31"/>
  <c r="S466" i="31" s="1"/>
  <c r="R467" i="31"/>
  <c r="S467" i="31" s="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S503" i="31" s="1"/>
  <c r="R504" i="31"/>
  <c r="S504" i="31" s="1"/>
  <c r="R505" i="31"/>
  <c r="R506" i="31"/>
  <c r="S506" i="31" s="1"/>
  <c r="R507" i="31"/>
  <c r="S507" i="31" s="1"/>
  <c r="R508" i="31"/>
  <c r="R509" i="31"/>
  <c r="R510" i="31"/>
  <c r="R511" i="31"/>
  <c r="S511" i="31" s="1"/>
  <c r="R512" i="31"/>
  <c r="S512" i="31" s="1"/>
  <c r="R513" i="31"/>
  <c r="R514" i="31"/>
  <c r="S514" i="31" s="1"/>
  <c r="R515" i="31"/>
  <c r="R516" i="31"/>
  <c r="R517" i="31"/>
  <c r="R518" i="31"/>
  <c r="S518" i="31" s="1"/>
  <c r="R519" i="31"/>
  <c r="R520" i="31"/>
  <c r="S520" i="31" s="1"/>
  <c r="R521" i="31"/>
  <c r="R522" i="31"/>
  <c r="S522" i="31" s="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2" i="31"/>
  <c r="S400" i="31"/>
  <c r="S390" i="31"/>
  <c r="S380" i="31"/>
  <c r="S368" i="31"/>
  <c r="S358" i="31"/>
  <c r="S342" i="31"/>
  <c r="S326" i="31"/>
  <c r="S318" i="31"/>
  <c r="S306" i="31"/>
  <c r="S296" i="31"/>
  <c r="S288" i="31"/>
  <c r="S266" i="31"/>
  <c r="S253" i="31"/>
  <c r="S251" i="31"/>
  <c r="S249" i="31"/>
  <c r="S247" i="31"/>
  <c r="S245" i="31"/>
  <c r="S243" i="31"/>
  <c r="S241" i="31"/>
  <c r="S239" i="31"/>
  <c r="S237" i="31"/>
  <c r="S235" i="31"/>
  <c r="S233" i="31"/>
  <c r="S231" i="31"/>
  <c r="S229" i="31"/>
  <c r="S227" i="31"/>
  <c r="S225" i="31"/>
  <c r="S223" i="31"/>
  <c r="S429" i="31"/>
  <c r="S425" i="31"/>
  <c r="S221" i="31"/>
  <c r="S218" i="31"/>
  <c r="S217" i="31"/>
  <c r="S214" i="31"/>
  <c r="S213" i="31"/>
  <c r="S210" i="31"/>
  <c r="S209" i="31"/>
  <c r="S206" i="31"/>
  <c r="S205" i="31"/>
  <c r="S204" i="31"/>
  <c r="S201" i="31"/>
  <c r="S197" i="31"/>
  <c r="S193" i="31"/>
  <c r="S189" i="31"/>
  <c r="S185" i="31"/>
  <c r="S181" i="31"/>
  <c r="S177" i="31"/>
  <c r="S173" i="31"/>
  <c r="S169" i="31"/>
  <c r="S165" i="31"/>
  <c r="S161" i="31"/>
  <c r="S157" i="31"/>
  <c r="S154" i="31"/>
  <c r="S153" i="31"/>
  <c r="S150" i="31"/>
  <c r="S149" i="31"/>
  <c r="S146" i="31"/>
  <c r="S145" i="31"/>
  <c r="S142" i="31"/>
  <c r="S141" i="31"/>
  <c r="S140" i="31"/>
  <c r="S137" i="31"/>
  <c r="S133" i="31"/>
  <c r="S129" i="31"/>
  <c r="S125" i="31"/>
  <c r="S497" i="31"/>
  <c r="S495" i="31"/>
  <c r="S493" i="31"/>
  <c r="S491" i="31"/>
  <c r="S489" i="31"/>
  <c r="S487" i="31"/>
  <c r="S485" i="31"/>
  <c r="S483" i="31"/>
  <c r="S481" i="31"/>
  <c r="S479" i="31"/>
  <c r="S477" i="31"/>
  <c r="S475" i="31"/>
  <c r="S473" i="31"/>
  <c r="S471" i="31"/>
  <c r="S469" i="31"/>
  <c r="S444" i="31"/>
  <c r="S441" i="31"/>
  <c r="S437" i="31"/>
  <c r="S433" i="31"/>
  <c r="S122" i="31"/>
  <c r="S121" i="31"/>
  <c r="S120" i="31"/>
  <c r="S117" i="31"/>
  <c r="S113" i="31"/>
  <c r="S465" i="31"/>
  <c r="S461" i="31"/>
  <c r="S460" i="31"/>
  <c r="S457" i="31"/>
  <c r="S456" i="31"/>
  <c r="S453" i="31"/>
  <c r="S452" i="31"/>
  <c r="S54" i="31"/>
  <c r="S53" i="31"/>
  <c r="S51" i="31"/>
  <c r="S49" i="31"/>
  <c r="S47" i="31"/>
  <c r="S46" i="31"/>
  <c r="S45" i="31"/>
  <c r="S43" i="31"/>
  <c r="S41" i="31"/>
  <c r="S39" i="31"/>
  <c r="S38" i="31"/>
  <c r="S37" i="31"/>
  <c r="S35" i="31"/>
  <c r="S33" i="31"/>
  <c r="S77" i="31"/>
  <c r="S74" i="31"/>
  <c r="S73" i="31"/>
  <c r="S72" i="31"/>
  <c r="S69" i="31"/>
  <c r="S65" i="31"/>
  <c r="S61" i="31"/>
  <c r="S57" i="31"/>
  <c r="S97" i="31"/>
  <c r="S93" i="31"/>
  <c r="S89" i="31"/>
  <c r="S85" i="31"/>
  <c r="S82" i="31"/>
  <c r="S81" i="31"/>
  <c r="S78" i="31"/>
  <c r="S31" i="31"/>
  <c r="S30" i="31"/>
  <c r="S29" i="31"/>
  <c r="S98" i="31"/>
  <c r="S99" i="31"/>
  <c r="S101" i="31"/>
  <c r="S103" i="31"/>
  <c r="S105" i="31"/>
  <c r="S106" i="31"/>
  <c r="S107" i="31"/>
  <c r="S109" i="31"/>
  <c r="S111" i="31"/>
  <c r="S445" i="31"/>
  <c r="S448" i="31"/>
  <c r="S449" i="31"/>
  <c r="S508"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9" i="31"/>
  <c r="S521"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D92" i="34"/>
  <c r="E92" i="34"/>
  <c r="F92" i="34"/>
  <c r="G92" i="34"/>
  <c r="H92" i="34"/>
  <c r="I92" i="34"/>
  <c r="J92" i="34"/>
  <c r="K92" i="34"/>
  <c r="L92" i="34"/>
  <c r="M92" i="34"/>
  <c r="B91" i="34"/>
  <c r="B89" i="34"/>
  <c r="J27" i="34"/>
  <c r="W27" i="34" s="1"/>
  <c r="D88" i="34"/>
  <c r="E88" i="34" s="1"/>
  <c r="F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H9" i="34"/>
  <c r="U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H36" i="34"/>
  <c r="U36" i="34" s="1"/>
  <c r="F28" i="34"/>
  <c r="AA28" i="34"/>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F114" i="34"/>
  <c r="G114" i="34"/>
  <c r="H114" i="34"/>
  <c r="I114" i="34"/>
  <c r="J114" i="34"/>
  <c r="K114" i="34"/>
  <c r="L114" i="34"/>
  <c r="M114" i="34"/>
  <c r="H38" i="34"/>
  <c r="AB38" i="34" s="1"/>
  <c r="J36" i="34"/>
  <c r="W36"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AC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F106" i="33"/>
  <c r="G106" i="33"/>
  <c r="H106" i="33"/>
  <c r="I106" i="33"/>
  <c r="J106" i="33"/>
  <c r="K106" i="33"/>
  <c r="L106" i="33"/>
  <c r="M106" i="33"/>
  <c r="J34" i="33"/>
  <c r="W34" i="33"/>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F32" i="37"/>
  <c r="AA32" i="37"/>
  <c r="G96" i="37"/>
  <c r="H96" i="37"/>
  <c r="I96" i="37"/>
  <c r="J96" i="37"/>
  <c r="K96" i="37"/>
  <c r="L96" i="37"/>
  <c r="M96" i="37"/>
  <c r="F20" i="36"/>
  <c r="AA20" i="36"/>
  <c r="H23" i="39"/>
  <c r="U23" i="3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C42" i="34"/>
  <c r="U39" i="34"/>
  <c r="AA45" i="34"/>
  <c r="U28"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15"/>
  <c r="F9" i="67"/>
  <c r="B7" i="76"/>
  <c r="L47" i="67"/>
  <c r="B10" i="76"/>
  <c r="F13" i="67"/>
  <c r="L47" i="15"/>
  <c r="M8" i="15"/>
  <c r="M24" i="67"/>
  <c r="D6" i="73"/>
  <c r="M9" i="15"/>
  <c r="F13" i="15"/>
  <c r="F6" i="73"/>
  <c r="F26" i="15"/>
  <c r="D3" i="73"/>
  <c r="E2" i="69"/>
  <c r="F38" i="67"/>
  <c r="F36" i="67"/>
  <c r="E2" i="68"/>
  <c r="F7" i="73"/>
  <c r="J15" i="67"/>
  <c r="B13" i="76"/>
  <c r="F40" i="67"/>
  <c r="M23" i="15"/>
  <c r="F16" i="67"/>
  <c r="M28" i="67"/>
  <c r="M22" i="67"/>
  <c r="F20" i="31"/>
  <c r="L48" i="67"/>
  <c r="J15" i="15"/>
  <c r="E8" i="76"/>
  <c r="AO13" i="1"/>
  <c r="E13" i="76"/>
  <c r="C76" i="15"/>
  <c r="F4" i="73"/>
  <c r="F8" i="15"/>
  <c r="E11" i="76"/>
  <c r="F37" i="15"/>
  <c r="M6" i="15"/>
  <c r="F9" i="15"/>
  <c r="E9" i="76"/>
  <c r="M29" i="15"/>
  <c r="M29" i="67"/>
  <c r="M8" i="67"/>
  <c r="M26" i="15"/>
  <c r="F26" i="67"/>
  <c r="F3" i="73"/>
  <c r="M9" i="67"/>
  <c r="L48" i="15"/>
  <c r="D5" i="73"/>
  <c r="M26" i="67"/>
  <c r="F37" i="67"/>
  <c r="F6" i="67"/>
  <c r="E7" i="76"/>
  <c r="E10" i="76"/>
  <c r="M22" i="15"/>
  <c r="M6" i="67"/>
  <c r="B11" i="76"/>
  <c r="F5" i="73"/>
  <c r="D4" i="73"/>
  <c r="F42" i="15"/>
  <c r="F8" i="67"/>
  <c r="F36" i="15"/>
  <c r="B12" i="76"/>
  <c r="F42" i="67"/>
  <c r="F7" i="67"/>
  <c r="M28" i="15"/>
  <c r="C76" i="67"/>
  <c r="M23" i="67"/>
  <c r="E12" i="76"/>
  <c r="D7" i="73"/>
  <c r="F43" i="67"/>
  <c r="F7" i="15"/>
  <c r="F6" i="15"/>
  <c r="F43" i="15"/>
  <c r="F16" i="15"/>
  <c r="M24" i="15"/>
  <c r="B8" i="76"/>
  <c r="B9" i="76"/>
  <c r="F40" i="15"/>
  <c r="J51" i="15" l="1"/>
  <c r="H27" i="34"/>
  <c r="AB27" i="34" s="1"/>
  <c r="C18" i="9"/>
  <c r="D18" i="9" s="1"/>
  <c r="G13" i="3"/>
  <c r="BA5" i="3"/>
  <c r="C40" i="68"/>
  <c r="F27" i="34"/>
  <c r="S27" i="34" s="1"/>
  <c r="B77" i="43"/>
  <c r="H50" i="43"/>
  <c r="K56" i="9"/>
  <c r="U43" i="34"/>
  <c r="AC27" i="34"/>
  <c r="BL15" i="3"/>
  <c r="AZ15" i="3" s="1"/>
  <c r="C28" i="67"/>
  <c r="H40" i="34"/>
  <c r="U40" i="34" s="1"/>
  <c r="F40" i="34"/>
  <c r="AA40" i="34" s="1"/>
  <c r="F118" i="34"/>
  <c r="G118" i="34" s="1"/>
  <c r="J40" i="34"/>
  <c r="AC40" i="34" s="1"/>
  <c r="H37" i="34"/>
  <c r="U37" i="34" s="1"/>
  <c r="G112" i="34"/>
  <c r="H112" i="34" s="1"/>
  <c r="I112" i="34" s="1"/>
  <c r="J112" i="34" s="1"/>
  <c r="K112" i="34" s="1"/>
  <c r="L112" i="34" s="1"/>
  <c r="M112" i="34" s="1"/>
  <c r="F37" i="34"/>
  <c r="S35" i="34"/>
  <c r="J33" i="34"/>
  <c r="AC33" i="34" s="1"/>
  <c r="H33" i="34"/>
  <c r="U33" i="34" s="1"/>
  <c r="H102" i="34"/>
  <c r="I102" i="34" s="1"/>
  <c r="J102" i="34" s="1"/>
  <c r="K102" i="34" s="1"/>
  <c r="L102" i="34" s="1"/>
  <c r="M102" i="34" s="1"/>
  <c r="F33" i="34"/>
  <c r="AA33" i="34" s="1"/>
  <c r="F78" i="34"/>
  <c r="G78" i="34" s="1"/>
  <c r="H15" i="34"/>
  <c r="AB15" i="34" s="1"/>
  <c r="F15" i="34"/>
  <c r="S15" i="34" s="1"/>
  <c r="J15" i="34"/>
  <c r="AC15" i="34" s="1"/>
  <c r="F82" i="34"/>
  <c r="G82" i="34" s="1"/>
  <c r="J19" i="34"/>
  <c r="W19" i="34" s="1"/>
  <c r="F19" i="34"/>
  <c r="H19" i="34"/>
  <c r="AB19" i="34" s="1"/>
  <c r="F86" i="34"/>
  <c r="G86" i="34" s="1"/>
  <c r="H23" i="34"/>
  <c r="AB23" i="34" s="1"/>
  <c r="J23" i="34"/>
  <c r="W23" i="34" s="1"/>
  <c r="F23" i="34"/>
  <c r="S23" i="34" s="1"/>
  <c r="G88" i="34"/>
  <c r="H88" i="34" s="1"/>
  <c r="I88" i="34" s="1"/>
  <c r="J88" i="34" s="1"/>
  <c r="K88" i="34" s="1"/>
  <c r="L88" i="34" s="1"/>
  <c r="M88" i="34" s="1"/>
  <c r="H25" i="34"/>
  <c r="AB25" i="34" s="1"/>
  <c r="J25" i="34"/>
  <c r="AC25" i="34" s="1"/>
  <c r="F25" i="34"/>
  <c r="S25" i="34" s="1"/>
  <c r="W44" i="34"/>
  <c r="AC38" i="34"/>
  <c r="AA44" i="34"/>
  <c r="AB44" i="34"/>
  <c r="AC43" i="34"/>
  <c r="AB40" i="34"/>
  <c r="S36" i="34"/>
  <c r="U27" i="34"/>
  <c r="W41" i="34"/>
  <c r="AB41" i="34"/>
  <c r="AA41" i="34"/>
  <c r="S40" i="34"/>
  <c r="AC39" i="34"/>
  <c r="AA39" i="34"/>
  <c r="U38" i="34"/>
  <c r="S43" i="34"/>
  <c r="AC36" i="34"/>
  <c r="AB36" i="34"/>
  <c r="AC35" i="34"/>
  <c r="AB35" i="34"/>
  <c r="W33" i="34"/>
  <c r="AA25" i="34"/>
  <c r="AC23" i="34"/>
  <c r="U23" i="34"/>
  <c r="U21" i="34"/>
  <c r="S21" i="34"/>
  <c r="AB17" i="34"/>
  <c r="S17" i="34"/>
  <c r="AC17" i="34"/>
  <c r="W15" i="34"/>
  <c r="AB9" i="34"/>
  <c r="J9" i="34"/>
  <c r="W8" i="34"/>
  <c r="B73" i="43"/>
  <c r="B76" i="43"/>
  <c r="B68" i="43"/>
  <c r="B57" i="43"/>
  <c r="B79" i="43"/>
  <c r="B75" i="43"/>
  <c r="C40" i="69"/>
  <c r="C21" i="68"/>
  <c r="G5" i="3"/>
  <c r="B3" i="3" s="1"/>
  <c r="E156" i="3" s="1"/>
  <c r="BL5" i="3"/>
  <c r="BB5" i="3"/>
  <c r="E12" i="6" s="1"/>
  <c r="E57" i="40" s="1"/>
  <c r="G29" i="6"/>
  <c r="G30" i="6" s="1"/>
  <c r="G31" i="6" s="1"/>
  <c r="G28" i="6"/>
  <c r="F29" i="6"/>
  <c r="E29" i="6" s="1"/>
  <c r="K15" i="1" s="1"/>
  <c r="A15" i="62"/>
  <c r="B61"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38" i="3"/>
  <c r="E314" i="3"/>
  <c r="E511" i="3"/>
  <c r="E99" i="3"/>
  <c r="E45" i="3"/>
  <c r="E193" i="3"/>
  <c r="E519" i="3"/>
  <c r="E573" i="3"/>
  <c r="E458" i="3"/>
  <c r="E527" i="3"/>
  <c r="E457" i="3"/>
  <c r="E562" i="3"/>
  <c r="E571" i="3"/>
  <c r="E450" i="3"/>
  <c r="E433" i="3"/>
  <c r="E72" i="3"/>
  <c r="E111" i="3"/>
  <c r="E150" i="3"/>
  <c r="E279"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4" i="6"/>
  <c r="E63" i="39" s="1"/>
  <c r="I4" i="6"/>
  <c r="G3" i="43" s="1"/>
  <c r="G26" i="43" s="1"/>
  <c r="F30" i="6"/>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1" i="6"/>
  <c r="E60" i="39" s="1"/>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15"/>
  <c r="C16" i="67"/>
  <c r="AA27" i="34" l="1"/>
  <c r="E59" i="40"/>
  <c r="E10" i="6"/>
  <c r="E15" i="6"/>
  <c r="E64" i="39" s="1"/>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41" i="3"/>
  <c r="E29" i="3"/>
  <c r="E44" i="3"/>
  <c r="AM6" i="3"/>
  <c r="E384" i="3"/>
  <c r="E317" i="3"/>
  <c r="E331" i="3"/>
  <c r="E291" i="3"/>
  <c r="E210" i="3"/>
  <c r="E272" i="3"/>
  <c r="E186" i="3"/>
  <c r="E126" i="3"/>
  <c r="E162" i="3"/>
  <c r="E92" i="3"/>
  <c r="E27" i="3"/>
  <c r="E71" i="3"/>
  <c r="E447" i="3"/>
  <c r="E546" i="3"/>
  <c r="E476" i="3"/>
  <c r="E403" i="3"/>
  <c r="AS6" i="3"/>
  <c r="E547" i="3"/>
  <c r="E505" i="3"/>
  <c r="E367" i="3"/>
  <c r="E477" i="3"/>
  <c r="E432" i="3"/>
  <c r="E414" i="3"/>
  <c r="E548" i="3"/>
  <c r="E478" i="3"/>
  <c r="E411" i="3"/>
  <c r="E515" i="3"/>
  <c r="U6" i="3"/>
  <c r="E585" i="3"/>
  <c r="E379" i="3"/>
  <c r="E107" i="3"/>
  <c r="E145" i="3"/>
  <c r="E271" i="3"/>
  <c r="E207" i="3"/>
  <c r="E269" i="3"/>
  <c r="E196" i="3"/>
  <c r="E549" i="3"/>
  <c r="E397" i="3"/>
  <c r="E567" i="3"/>
  <c r="E93" i="3"/>
  <c r="E31" i="3"/>
  <c r="E14" i="3"/>
  <c r="E318" i="3"/>
  <c r="E357" i="3"/>
  <c r="E351" i="3"/>
  <c r="E257" i="3"/>
  <c r="E208" i="3"/>
  <c r="E168" i="3"/>
  <c r="E54" i="3"/>
  <c r="E475" i="3"/>
  <c r="E471" i="3"/>
  <c r="E537" i="3"/>
  <c r="W6" i="3"/>
  <c r="E288" i="3"/>
  <c r="E438" i="3"/>
  <c r="E474" i="3"/>
  <c r="E529" i="3"/>
  <c r="E532" i="3"/>
  <c r="E313" i="3"/>
  <c r="E224" i="3"/>
  <c r="E157" i="3"/>
  <c r="E306" i="3"/>
  <c r="E352" i="3"/>
  <c r="E136" i="3"/>
  <c r="E453"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85" i="3"/>
  <c r="E461" i="3"/>
  <c r="E253" i="3"/>
  <c r="K84" i="9"/>
  <c r="U25" i="34"/>
  <c r="AZ5" i="3"/>
  <c r="E3" i="6" s="1"/>
  <c r="W40" i="34"/>
  <c r="AA37" i="34"/>
  <c r="S37" i="34"/>
  <c r="AB33" i="34"/>
  <c r="S33" i="34"/>
  <c r="AA15" i="34"/>
  <c r="U15" i="34"/>
  <c r="AC19" i="34"/>
  <c r="S19" i="34"/>
  <c r="AA19" i="34"/>
  <c r="U19" i="34"/>
  <c r="AA23" i="34"/>
  <c r="W25" i="34"/>
  <c r="AC9" i="34"/>
  <c r="W9" i="34"/>
  <c r="N94" i="46"/>
  <c r="E181" i="3"/>
  <c r="E568" i="3"/>
  <c r="E77" i="3"/>
  <c r="N370" i="46"/>
  <c r="F26" i="43"/>
  <c r="E26" i="43"/>
  <c r="H26" i="43"/>
  <c r="J26" i="4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140" i="3"/>
  <c r="E173" i="3"/>
  <c r="E525" i="3"/>
  <c r="T6" i="3"/>
  <c r="E456" i="3"/>
  <c r="E487" i="3"/>
  <c r="E430" i="3"/>
  <c r="E451" i="3"/>
  <c r="E374" i="3"/>
  <c r="AP6" i="3"/>
  <c r="E13" i="3"/>
  <c r="E413" i="3"/>
  <c r="E491" i="3"/>
  <c r="E420" i="3"/>
  <c r="E39" i="3"/>
  <c r="E37" i="3"/>
  <c r="E115" i="3"/>
  <c r="E187" i="3"/>
  <c r="E192" i="3"/>
  <c r="E281" i="3"/>
  <c r="E259" i="3"/>
  <c r="E363" i="3"/>
  <c r="E356" i="3"/>
  <c r="E504" i="3"/>
  <c r="E76" i="3"/>
  <c r="E75" i="3"/>
  <c r="E462" i="3"/>
  <c r="E425" i="3"/>
  <c r="E18" i="3"/>
  <c r="E98" i="3"/>
  <c r="E103" i="3"/>
  <c r="E190" i="3"/>
  <c r="E163" i="3"/>
  <c r="E267" i="3"/>
  <c r="E235" i="3"/>
  <c r="E307" i="3"/>
  <c r="E310" i="3"/>
  <c r="E522" i="3"/>
  <c r="E66" i="3"/>
  <c r="E67" i="3"/>
  <c r="E49" i="3"/>
  <c r="E127" i="3"/>
  <c r="E233" i="3"/>
  <c r="E370" i="3"/>
  <c r="Y6" i="3"/>
  <c r="E63" i="3"/>
  <c r="E113" i="3"/>
  <c r="E179" i="3"/>
  <c r="E283" i="3"/>
  <c r="E326" i="3"/>
  <c r="E82" i="3"/>
  <c r="E34" i="3"/>
  <c r="E184" i="3"/>
  <c r="E341" i="3"/>
  <c r="E80" i="3"/>
  <c r="E154" i="3"/>
  <c r="E308" i="3"/>
  <c r="E373" i="3"/>
  <c r="E296" i="3"/>
  <c r="E197" i="3"/>
  <c r="E369" i="3"/>
  <c r="E405" i="3"/>
  <c r="E466" i="3"/>
  <c r="E512" i="3"/>
  <c r="E255" i="3"/>
  <c r="E500" i="3"/>
  <c r="E517" i="3"/>
  <c r="E520" i="3"/>
  <c r="E104" i="3"/>
  <c r="E57" i="3"/>
  <c r="E240" i="3"/>
  <c r="E332" i="3"/>
  <c r="E378" i="3"/>
  <c r="E42" i="3"/>
  <c r="E409" i="3"/>
  <c r="E446" i="3"/>
  <c r="E64" i="3"/>
  <c r="E138" i="3"/>
  <c r="E142" i="3"/>
  <c r="E209" i="3"/>
  <c r="E383" i="3"/>
  <c r="E354" i="3"/>
  <c r="E86" i="3"/>
  <c r="E144" i="3"/>
  <c r="E165" i="3"/>
  <c r="E149" i="3"/>
  <c r="E141" i="3"/>
  <c r="AD6" i="3"/>
  <c r="E552" i="3"/>
  <c r="E464" i="3"/>
  <c r="E541" i="3"/>
  <c r="E408" i="3"/>
  <c r="E459" i="3"/>
  <c r="I3" i="6"/>
  <c r="E497" i="3"/>
  <c r="E582" i="3"/>
  <c r="E435" i="3"/>
  <c r="E470" i="3"/>
  <c r="E436" i="3"/>
  <c r="E56" i="3"/>
  <c r="E41" i="3"/>
  <c r="E131" i="3"/>
  <c r="E132" i="3"/>
  <c r="E225" i="3"/>
  <c r="E297" i="3"/>
  <c r="E292" i="3"/>
  <c r="E391" i="3"/>
  <c r="E375" i="3"/>
  <c r="E544" i="3"/>
  <c r="E94" i="3"/>
  <c r="E488" i="3"/>
  <c r="E484" i="3"/>
  <c r="E412" i="3"/>
  <c r="E47" i="3"/>
  <c r="E46" i="3"/>
  <c r="E129" i="3"/>
  <c r="E195" i="3"/>
  <c r="E200" i="3"/>
  <c r="E275" i="3"/>
  <c r="E266" i="3"/>
  <c r="E371" i="3"/>
  <c r="E342" i="3"/>
  <c r="E584" i="3"/>
  <c r="E84" i="3"/>
  <c r="E87" i="3"/>
  <c r="E251" i="3"/>
  <c r="E68" i="3"/>
  <c r="E264" i="3"/>
  <c r="E21" i="3"/>
  <c r="E534" i="3"/>
  <c r="E416" i="3"/>
  <c r="E556" i="3"/>
  <c r="E452" i="3"/>
  <c r="E479" i="3"/>
  <c r="E152" i="3"/>
  <c r="E241" i="3"/>
  <c r="E389" i="3"/>
  <c r="E110" i="3"/>
  <c r="E482" i="3"/>
  <c r="E78" i="3"/>
  <c r="E220" i="3"/>
  <c r="E300" i="3"/>
  <c r="E23" i="3"/>
  <c r="E48" i="3"/>
  <c r="E244" i="3"/>
  <c r="E421" i="3"/>
  <c r="E360" i="3"/>
  <c r="E460" i="3"/>
  <c r="E95" i="3"/>
  <c r="E258" i="3"/>
  <c r="AL6" i="3"/>
  <c r="E521" i="3"/>
  <c r="E160" i="3"/>
  <c r="E324" i="3"/>
  <c r="E24" i="3"/>
  <c r="E250" i="3"/>
  <c r="AF6" i="3"/>
  <c r="E81" i="3"/>
  <c r="E222" i="3"/>
  <c r="E22" i="3"/>
  <c r="E554" i="3"/>
  <c r="E139" i="3"/>
  <c r="E59" i="3"/>
  <c r="E492" i="3"/>
  <c r="E355" i="3"/>
  <c r="E309" i="3"/>
  <c r="E542" i="3"/>
  <c r="E449" i="3"/>
  <c r="E494" i="3"/>
  <c r="E90" i="3"/>
  <c r="E155" i="3"/>
  <c r="E349" i="3"/>
  <c r="E428" i="3"/>
  <c r="E65" i="3"/>
  <c r="E249" i="3"/>
  <c r="E35" i="3"/>
  <c r="E232" i="3"/>
  <c r="E381" i="3"/>
  <c r="E19" i="3"/>
  <c r="E287" i="3"/>
  <c r="E513" i="3"/>
  <c r="E167" i="3"/>
  <c r="E469" i="3"/>
  <c r="E566" i="3"/>
  <c r="E417" i="3"/>
  <c r="E198" i="3"/>
  <c r="E243" i="3"/>
  <c r="E58" i="3"/>
  <c r="E467" i="3"/>
  <c r="E174" i="3"/>
  <c r="E386" i="3"/>
  <c r="E33" i="3"/>
  <c r="E284" i="3"/>
  <c r="E102" i="3"/>
  <c r="E118" i="3"/>
  <c r="E323" i="3"/>
  <c r="E83" i="3"/>
  <c r="E398" i="3"/>
  <c r="E348" i="3"/>
  <c r="E96" i="3"/>
  <c r="E206" i="3"/>
  <c r="E51" i="3"/>
  <c r="E312" i="3"/>
  <c r="E26" i="3"/>
  <c r="E248" i="3"/>
  <c r="E158" i="3"/>
  <c r="K16" i="1"/>
  <c r="B29" i="1" s="1"/>
  <c r="C8" i="68" s="1"/>
  <c r="C5" i="68" s="1"/>
  <c r="P6" i="1"/>
  <c r="C13" i="12" s="1"/>
  <c r="D18" i="53"/>
  <c r="B35" i="72" s="1"/>
  <c r="C7" i="74"/>
  <c r="E61" i="43"/>
  <c r="B59" i="43" s="1"/>
  <c r="C28" i="43" s="1"/>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AY6" i="3"/>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H6" i="3" l="1"/>
  <c r="E16" i="6"/>
  <c r="AC6" i="3"/>
  <c r="E6" i="3" s="1"/>
  <c r="D26" i="43"/>
  <c r="C25" i="43" s="1"/>
  <c r="C33" i="43" s="1"/>
  <c r="J37" i="34"/>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B1" i="74" l="1"/>
  <c r="F69" i="67"/>
  <c r="AC37" i="34"/>
  <c r="W37" i="34"/>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67"/>
  <c r="C17" i="15"/>
  <c r="C25" i="11" l="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C20" i="67"/>
  <c r="C26" i="67" s="1"/>
  <c r="L85" i="9"/>
  <c r="C88" i="9" s="1"/>
  <c r="D7" i="71"/>
  <c r="C6" i="7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89" i="9"/>
  <c r="C87" i="9" s="1"/>
  <c r="I91" i="9"/>
  <c r="C91" i="9" s="1"/>
  <c r="D6" i="71"/>
  <c r="C5" i="7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C57" i="67" l="1"/>
  <c r="C64" i="67" s="1"/>
  <c r="J14" i="67"/>
  <c r="J13" i="67" s="1"/>
  <c r="J23" i="67" s="1"/>
  <c r="C13" i="67"/>
  <c r="Q70" i="67" s="1"/>
  <c r="C36" i="67"/>
  <c r="Q49" i="67"/>
  <c r="C94" i="9"/>
  <c r="C92" i="9"/>
  <c r="D5" i="71"/>
  <c r="M24" i="43" s="1"/>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J22" i="67" l="1"/>
  <c r="J16" i="67" s="1"/>
  <c r="J25" i="67" s="1"/>
  <c r="J26" i="67" s="1"/>
  <c r="J29" i="67" s="1"/>
  <c r="C37" i="67"/>
  <c r="C30" i="67" s="1"/>
  <c r="C39" i="67" s="1"/>
  <c r="Q69" i="67" s="1"/>
  <c r="Q68" i="67" s="1"/>
  <c r="C56" i="67"/>
  <c r="C65" i="67" s="1"/>
  <c r="C58" i="67" s="1"/>
  <c r="C67" i="67" s="1"/>
  <c r="C68" i="67" s="1"/>
  <c r="C71" i="67" s="1"/>
  <c r="C75" i="67"/>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7" i="67" l="1"/>
  <c r="L60" i="67" s="1"/>
  <c r="L46" i="67" s="1"/>
  <c r="C80" i="67"/>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C79" i="67" l="1"/>
  <c r="F20" i="80" s="1"/>
  <c r="F21" i="80"/>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5"/>
  <c r="D2" i="36"/>
  <c r="D2" i="37"/>
  <c r="D2" i="34"/>
  <c r="E21" i="80" l="1"/>
  <c r="E20" i="80" s="1"/>
  <c r="Q75" i="67"/>
  <c r="Q62" i="67"/>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D19" i="9"/>
  <c r="AO10" i="1"/>
  <c r="AO11" i="1"/>
  <c r="AO9" i="1"/>
  <c r="AO8" i="1"/>
  <c r="AO7" i="1"/>
  <c r="AO12" i="1"/>
  <c r="AO6" i="1"/>
  <c r="D34" i="9"/>
  <c r="D35" i="9"/>
  <c r="D102" i="9" l="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J34" i="34" l="1"/>
  <c r="H34" i="34"/>
  <c r="F34" i="34"/>
  <c r="U34" i="34" l="1"/>
  <c r="AB34" i="34"/>
  <c r="T49" i="34" s="1"/>
  <c r="G49" i="34" s="1"/>
  <c r="S34" i="34"/>
  <c r="AA34" i="34"/>
  <c r="R49" i="34" s="1"/>
  <c r="W34" i="34"/>
  <c r="AC34" i="34"/>
  <c r="V49" i="34" s="1"/>
  <c r="I49" i="34" s="1"/>
  <c r="G54" i="34" l="1"/>
  <c r="H54" i="34" s="1"/>
  <c r="G53" i="34"/>
  <c r="H53" i="34" s="1"/>
  <c r="I53" i="34"/>
  <c r="J53" i="34" s="1"/>
  <c r="E49" i="34"/>
  <c r="R50" i="34"/>
  <c r="C49" i="34" l="1"/>
  <c r="C50" i="34"/>
  <c r="E53" i="34"/>
  <c r="F53" i="34" s="1"/>
  <c r="E54" i="34"/>
  <c r="F54" i="34" s="1"/>
  <c r="I54" i="34"/>
  <c r="J54" i="34" s="1"/>
  <c r="B2" i="34" l="1"/>
  <c r="B3" i="34"/>
  <c r="C20" i="9"/>
  <c r="C19" i="9"/>
  <c r="G20" i="9" l="1"/>
  <c r="C103" i="9"/>
  <c r="C21" i="9"/>
  <c r="D22" i="9"/>
  <c r="C102" i="9"/>
  <c r="G19" i="9"/>
  <c r="D45" i="9" s="1"/>
  <c r="G21" i="9" l="1"/>
  <c r="D14" i="74"/>
  <c r="J20" i="9"/>
  <c r="R24" i="31"/>
  <c r="J5" i="80" s="1"/>
  <c r="C32" i="9"/>
  <c r="I5" i="80" l="1"/>
  <c r="H5" i="80"/>
  <c r="R25" i="31"/>
  <c r="S24" i="31"/>
  <c r="R26" i="31"/>
  <c r="I118" i="9"/>
  <c r="C35" i="9"/>
  <c r="G118" i="9" s="1"/>
  <c r="F5" i="80" l="1"/>
  <c r="G5" i="80"/>
  <c r="S26" i="31"/>
  <c r="J7" i="80"/>
  <c r="I7" i="80" s="1"/>
  <c r="S25" i="31"/>
  <c r="J6" i="80"/>
  <c r="I6" i="80" s="1"/>
  <c r="I8" i="80" s="1"/>
  <c r="H6" i="80"/>
  <c r="G4" i="52"/>
  <c r="B52" i="72" s="1"/>
  <c r="F118" i="9"/>
  <c r="C34" i="9"/>
  <c r="E14" i="74"/>
  <c r="E118" i="9"/>
  <c r="H102" i="9"/>
  <c r="D7" i="53" s="1"/>
  <c r="B21" i="72" s="1"/>
  <c r="I4" i="52"/>
  <c r="C105" i="9"/>
  <c r="H118" i="9"/>
  <c r="S22" i="31" l="1"/>
  <c r="E5" i="80"/>
  <c r="G6" i="80"/>
  <c r="E6" i="80" s="1"/>
  <c r="F6" i="80"/>
  <c r="H7" i="80"/>
  <c r="E12" i="80"/>
  <c r="E13" i="80" s="1"/>
  <c r="I9" i="80"/>
  <c r="F4" i="52"/>
  <c r="B51" i="72" s="1"/>
  <c r="F119" i="9"/>
  <c r="F5" i="52" s="1"/>
  <c r="B53" i="72" s="1"/>
  <c r="H4" i="52"/>
  <c r="H119" i="9"/>
  <c r="H5" i="52" s="1"/>
  <c r="H101" i="9"/>
  <c r="C104" i="9"/>
  <c r="E4" i="52"/>
  <c r="B48" i="72" s="1"/>
  <c r="D118" i="9"/>
  <c r="B20" i="31" l="1"/>
  <c r="B21" i="31" s="1"/>
  <c r="U22" i="31"/>
  <c r="F14" i="74"/>
  <c r="R22" i="31"/>
  <c r="G7" i="80"/>
  <c r="E7" i="80" s="1"/>
  <c r="E8" i="80" s="1"/>
  <c r="E9" i="80" s="1"/>
  <c r="F7" i="80"/>
  <c r="D5" i="53"/>
  <c r="H107" i="9"/>
  <c r="M48" i="9" s="1"/>
  <c r="M49" i="9" s="1"/>
  <c r="G14" i="74"/>
  <c r="B6" i="74" s="1"/>
  <c r="D119" i="9"/>
  <c r="D5" i="52" s="1"/>
  <c r="B49" i="72" s="1"/>
  <c r="D4" i="52"/>
  <c r="B47" i="72" s="1"/>
  <c r="G8" i="80" l="1"/>
  <c r="G9" i="80" s="1"/>
  <c r="B5" i="74"/>
  <c r="D5" i="74" s="1"/>
  <c r="D122" i="9"/>
  <c r="H108" i="9"/>
  <c r="D15" i="53" s="1"/>
  <c r="B31" i="72" s="1"/>
  <c r="D13" i="53"/>
  <c r="B20" i="72"/>
  <c r="D6" i="53"/>
  <c r="B22" i="72" s="1"/>
  <c r="C5" i="74"/>
  <c r="D6" i="74"/>
  <c r="D52" i="9"/>
  <c r="C64" i="9"/>
  <c r="C63" i="9" s="1"/>
  <c r="C67" i="9" s="1"/>
  <c r="C93" i="9"/>
  <c r="C86" i="9" s="1"/>
  <c r="C72" i="9"/>
  <c r="C85" i="9"/>
  <c r="D53" i="9"/>
  <c r="D48" i="9" s="1"/>
  <c r="M52" i="9" s="1"/>
  <c r="D55" i="9"/>
  <c r="M53" i="9" s="1"/>
  <c r="C78" i="9"/>
  <c r="C73" i="9" s="1"/>
  <c r="C6" i="74" l="1"/>
  <c r="C95" i="9"/>
  <c r="B30" i="72"/>
  <c r="D14" i="53"/>
  <c r="B32" i="72" s="1"/>
  <c r="L65" i="9"/>
  <c r="M65" i="9" s="1"/>
  <c r="L64" i="9"/>
  <c r="M64" i="9" s="1"/>
  <c r="L67" i="9"/>
  <c r="M67" i="9" s="1"/>
  <c r="L68" i="9"/>
  <c r="M68" i="9" s="1"/>
  <c r="L66" i="9"/>
  <c r="M66" i="9" s="1"/>
  <c r="L63" i="9"/>
  <c r="M63" i="9" s="1"/>
  <c r="C79" i="9"/>
  <c r="D59" i="9"/>
  <c r="M55" i="9" s="1"/>
  <c r="C68" i="9"/>
  <c r="D54" i="9" s="1"/>
  <c r="C96" i="9"/>
  <c r="E96" i="9" s="1"/>
  <c r="E97" i="9" s="1"/>
  <c r="D8" i="52"/>
  <c r="D123" i="9"/>
  <c r="D9" i="52" s="1"/>
  <c r="C97" i="9" l="1"/>
  <c r="D58" i="9" s="1"/>
  <c r="D56" i="9" s="1"/>
  <c r="M54" i="9" s="1"/>
  <c r="N57" i="9" s="1"/>
  <c r="N58" i="9" s="1"/>
  <c r="C80" i="9"/>
  <c r="E80" i="9" s="1"/>
  <c r="E81" i="9" s="1"/>
  <c r="M69" i="9"/>
  <c r="N69" i="9" s="1"/>
  <c r="P57" i="9" l="1"/>
  <c r="N59" i="9"/>
  <c r="C81" i="9"/>
  <c r="N61" i="9" l="1"/>
  <c r="H112" i="9" s="1"/>
  <c r="H111" i="9"/>
  <c r="N60" i="9"/>
  <c r="D126" i="9" l="1"/>
  <c r="D19" i="53"/>
  <c r="C8" i="74"/>
  <c r="D21" i="53"/>
  <c r="B39" i="72" s="1"/>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<sst xmlns="http://schemas.openxmlformats.org/spreadsheetml/2006/main" count="7975" uniqueCount="3501">
  <si>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</si>
  <si>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</si>
  <si>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</si>
  <si>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</si>
  <si>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</si>
  <si>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</si>
  <si>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</si>
  <si>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</si>
  <si>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</si>
  <si>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</si>
  <si>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</si>
  <si>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</si>
  <si>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</si>
  <si>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</si>
  <si>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</si>
  <si>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</si>
  <si>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</si>
  <si>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</si>
  <si>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</si>
  <si>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</si>
  <si>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</si>
  <si>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</si>
  <si>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</si>
  <si>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</si>
  <si>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</si>
  <si>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</si>
  <si>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</si>
  <si>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</si>
  <si>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</si>
  <si>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</si>
  <si>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</si>
  <si>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</si>
  <si>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</si>
  <si>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</si>
  <si>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</si>
  <si>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</si>
  <si>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</si>
  <si>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</si>
  <si>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</si>
  <si>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</si>
  <si>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</si>
  <si>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</si>
  <si>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</si>
  <si>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</si>
  <si>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</si>
  <si>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</si>
  <si>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</si>
  <si>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</si>
  <si>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</si>
  <si>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</si>
  <si>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</si>
  <si>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</si>
  <si>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</si>
  <si>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</si>
  <si>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</si>
  <si>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</si>
  <si>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</si>
  <si>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</si>
  <si>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</si>
  <si>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</si>
  <si>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</si>
  <si>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</si>
  <si>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</si>
  <si>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</si>
  <si>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</si>
  <si>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</si>
  <si>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</si>
  <si>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</si>
  <si>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</si>
  <si>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</si>
  <si>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</si>
  <si>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</si>
  <si>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</si>
  <si>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</si>
  <si>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</si>
  <si>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</si>
  <si>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</si>
  <si>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</si>
  <si>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</si>
  <si>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</si>
  <si>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</si>
  <si>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</si>
  <si>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</si>
  <si>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</si>
  <si>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</si>
  <si>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</si>
  <si>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</si>
  <si>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</si>
  <si>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</si>
  <si>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</si>
  <si>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</si>
  <si>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</si>
  <si>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</si>
  <si>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</si>
  <si>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</si>
  <si>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</si>
  <si>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</si>
  <si>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</si>
  <si>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</si>
  <si>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</si>
  <si>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</si>
  <si>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</si>
  <si>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</si>
  <si>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</si>
  <si>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</si>
  <si>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</si>
  <si>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</si>
  <si>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</si>
  <si>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</si>
  <si>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</si>
  <si>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</si>
  <si>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</si>
  <si>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</si>
  <si>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</si>
  <si>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</si>
  <si>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</si>
  <si>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</si>
  <si>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</si>
  <si>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</si>
  <si>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</si>
  <si>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</si>
  <si>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</si>
  <si>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</si>
  <si>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</si>
  <si>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</si>
  <si>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</si>
  <si>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</si>
  <si>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</si>
  <si>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</si>
  <si>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</si>
  <si>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</si>
  <si>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</si>
  <si>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</si>
  <si>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</si>
  <si>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</si>
  <si>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</si>
  <si>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</si>
  <si>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</si>
  <si>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</si>
  <si>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</si>
  <si>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</si>
  <si>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</si>
  <si>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</si>
  <si>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</si>
  <si>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</si>
  <si>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</si>
  <si>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</si>
  <si>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</si>
  <si>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</si>
  <si>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</si>
  <si>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</si>
  <si>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</si>
  <si>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</si>
  <si>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</si>
  <si>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</si>
  <si>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</si>
  <si>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</si>
  <si>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</si>
  <si>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</si>
  <si>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</si>
  <si>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</si>
  <si>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</si>
  <si>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</si>
  <si>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</si>
  <si>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</si>
  <si>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</si>
  <si>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</si>
  <si>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</si>
  <si>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</si>
  <si>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</si>
  <si>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</si>
  <si>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</si>
  <si>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</si>
  <si>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</si>
  <si>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</si>
  <si>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</si>
  <si>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</si>
  <si>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</si>
  <si>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</si>
  <si>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</si>
  <si>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</si>
  <si>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</si>
  <si>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</si>
  <si>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</si>
  <si>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</si>
  <si>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</si>
  <si>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</si>
  <si>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</si>
  <si>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</si>
  <si>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</si>
  <si>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</si>
  <si>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</si>
  <si>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</si>
  <si>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</si>
  <si>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</si>
  <si>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</si>
  <si>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</si>
  <si>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</si>
  <si>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</si>
  <si>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</si>
  <si>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</si>
  <si>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</si>
  <si>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</si>
  <si>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</si>
  <si>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</si>
  <si>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</si>
  <si>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</si>
  <si>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</si>
  <si>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</si>
  <si>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</si>
  <si>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</si>
  <si>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</si>
  <si>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</si>
  <si>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</si>
  <si>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</si>
  <si>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</si>
  <si>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</si>
  <si>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</si>
  <si>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</si>
  <si>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</si>
  <si>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</si>
  <si>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</si>
  <si>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</si>
  <si>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</si>
  <si>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</si>
  <si>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</si>
  <si>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</si>
  <si>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</si>
  <si>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</si>
  <si>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</si>
  <si>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</si>
  <si>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</si>
  <si>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</si>
  <si>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</si>
  <si>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</si>
  <si>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</si>
  <si>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</si>
  <si>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</si>
  <si>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</si>
  <si>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</si>
  <si>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</si>
  <si>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</si>
  <si>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</si>
  <si>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</si>
  <si>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</si>
  <si>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</si>
  <si>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</si>
  <si>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</si>
  <si>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</si>
  <si>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</si>
  <si>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</si>
  <si>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</si>
  <si>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</si>
  <si>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</si>
  <si>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</si>
  <si>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</si>
  <si>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</si>
  <si>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</si>
  <si>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</si>
  <si>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</si>
  <si>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</si>
  <si>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</si>
  <si>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</si>
  <si>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</si>
  <si>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</si>
  <si>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</si>
  <si>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</si>
  <si>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</si>
  <si>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</si>
  <si>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</si>
  <si>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</si>
  <si>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</si>
  <si>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</si>
  <si>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</si>
  <si>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</si>
  <si>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</si>
  <si>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</si>
  <si>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</si>
  <si>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</si>
  <si>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</si>
  <si>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</si>
  <si>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</si>
  <si>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</si>
  <si>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</si>
  <si>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</si>
  <si>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</si>
  <si>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</si>
  <si>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</si>
  <si>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</si>
  <si>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</si>
  <si>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</si>
  <si>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</si>
  <si>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</si>
  <si>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</si>
  <si>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</si>
  <si>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</si>
  <si>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</si>
  <si>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</si>
  <si>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</si>
  <si>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</si>
  <si>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</si>
  <si>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</si>
  <si>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</si>
  <si>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</si>
  <si>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</si>
  <si>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</si>
  <si>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</si>
  <si>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</si>
  <si>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</si>
  <si>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</si>
  <si>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</si>
  <si>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</si>
  <si>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</si>
  <si>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</si>
  <si>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</si>
  <si>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</si>
  <si>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</si>
  <si>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</si>
  <si>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</si>
  <si>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</si>
  <si>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</si>
  <si>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</si>
  <si>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</si>
  <si>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</si>
  <si>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</si>
  <si>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</si>
  <si>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</si>
  <si>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</si>
  <si>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</si>
  <si>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</si>
  <si>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</si>
  <si>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</si>
  <si>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</si>
  <si>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</si>
  <si>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</si>
  <si>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</si>
  <si>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</si>
  <si>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</si>
  <si>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</si>
  <si>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</si>
  <si>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</si>
  <si>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</si>
  <si>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</si>
  <si>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</si>
  <si>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</si>
  <si>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</si>
  <si>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</si>
  <si>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</si>
  <si>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</si>
  <si>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</si>
  <si>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</si>
  <si>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</si>
  <si>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</si>
  <si>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</si>
  <si>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</si>
  <si>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</si>
  <si>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</si>
  <si>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</si>
  <si>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</si>
  <si>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</si>
  <si>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</si>
  <si>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</si>
  <si>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</si>
  <si>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</si>
  <si>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</si>
  <si>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</si>
  <si>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</si>
  <si>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</si>
  <si>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</si>
  <si>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</si>
  <si>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</si>
  <si>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</si>
  <si>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</si>
  <si>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</si>
  <si>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</si>
  <si>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</si>
  <si>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</si>
  <si>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</si>
  <si>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</si>
  <si>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</si>
  <si>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</si>
  <si>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</si>
  <si>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</si>
  <si>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</si>
  <si>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</si>
  <si>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</si>
  <si>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</si>
  <si>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</si>
  <si>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</si>
  <si>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</si>
  <si>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</si>
  <si>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</si>
  <si>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</si>
  <si>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</si>
  <si>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</si>
  <si>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</si>
  <si>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</si>
  <si>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</si>
  <si>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</si>
  <si>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</si>
  <si>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</si>
  <si>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</si>
  <si>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</si>
  <si>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</si>
  <si>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</si>
  <si>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</si>
  <si>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</si>
  <si>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</si>
  <si>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</si>
  <si>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</si>
  <si>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</si>
  <si>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</si>
  <si>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</si>
  <si>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</si>
  <si>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</si>
  <si>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</si>
  <si>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</si>
  <si>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</si>
  <si>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</si>
  <si>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</si>
  <si>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</si>
  <si>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</si>
  <si>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</si>
  <si>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</si>
  <si>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</si>
  <si>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</si>
  <si>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</si>
  <si>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</si>
  <si>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</si>
  <si>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</si>
  <si>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</si>
  <si>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</si>
  <si>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</si>
  <si>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</si>
  <si>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</si>
  <si>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</si>
  <si>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</si>
  <si>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</si>
  <si>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</si>
  <si>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</si>
  <si>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</si>
  <si>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</si>
  <si>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</si>
  <si>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</si>
  <si>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</si>
  <si>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</si>
  <si>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</si>
  <si>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</si>
  <si>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</si>
  <si>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</si>
  <si>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</si>
  <si>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</si>
  <si>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</si>
  <si>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</si>
  <si>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</si>
  <si>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</si>
  <si>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</si>
  <si>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</si>
  <si>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</si>
  <si>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</si>
  <si>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</si>
  <si>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</si>
  <si>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</si>
  <si>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</si>
  <si>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</si>
  <si>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</si>
  <si>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</si>
  <si>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</si>
  <si>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</si>
  <si>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</si>
  <si>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</si>
  <si>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</si>
  <si>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</si>
  <si>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</si>
  <si>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</si>
  <si>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</si>
  <si>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</si>
  <si>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</si>
  <si>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</si>
  <si>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</si>
  <si>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</si>
  <si>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</si>
  <si>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</si>
  <si>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</si>
  <si>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</si>
  <si>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</si>
  <si>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</si>
  <si>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</si>
  <si>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</si>
  <si>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</si>
  <si>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</si>
  <si>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</si>
  <si>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</si>
  <si>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</si>
  <si>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</si>
  <si>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</si>
  <si>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</si>
  <si>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</si>
  <si>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</si>
  <si>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</si>
  <si>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</si>
  <si>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</si>
  <si>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</si>
  <si>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</si>
  <si>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</si>
  <si>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</si>
  <si>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</si>
  <si>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</si>
  <si>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</si>
  <si>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</si>
  <si>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</si>
  <si>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</si>
  <si>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</si>
  <si>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</si>
  <si>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</si>
  <si>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</si>
  <si>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</si>
  <si>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</si>
  <si>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</si>
  <si>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</si>
  <si>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</si>
  <si>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</si>
  <si>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</si>
  <si>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</si>
  <si>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</si>
  <si>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</si>
  <si>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</si>
  <si>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</si>
  <si>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</si>
  <si>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</si>
  <si>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</si>
  <si>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</si>
  <si>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</si>
  <si>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</si>
  <si>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</si>
  <si>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</si>
  <si>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</si>
  <si>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</si>
  <si>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</si>
  <si>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</si>
  <si>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</si>
  <si>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</si>
  <si>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</si>
  <si>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</si>
  <si>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</si>
  <si>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</si>
  <si>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</si>
  <si>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</si>
  <si>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</si>
  <si>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</si>
  <si>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</si>
  <si>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</si>
  <si>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</si>
  <si>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</si>
  <si>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</si>
  <si>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</si>
  <si>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</si>
  <si>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</si>
  <si>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</si>
  <si>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</si>
  <si>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</si>
  <si>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</si>
  <si>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</si>
  <si>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</si>
  <si>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</si>
  <si>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</si>
  <si>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</si>
  <si>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</si>
  <si>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</si>
  <si>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</si>
  <si>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</si>
  <si>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</si>
  <si>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</si>
  <si>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</si>
  <si>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</si>
  <si>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</si>
  <si>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</si>
  <si>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</si>
  <si>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</si>
  <si>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</si>
  <si>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</si>
  <si>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</si>
  <si>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</si>
  <si>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</si>
  <si>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</si>
  <si>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</si>
  <si>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</si>
  <si>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</si>
  <si>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</si>
  <si>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</si>
  <si>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</si>
  <si>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</si>
  <si>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</si>
  <si>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</si>
  <si>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</si>
  <si>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</si>
  <si>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</si>
  <si>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</si>
  <si>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</si>
  <si>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</si>
  <si>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</si>
  <si>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</si>
  <si>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</si>
  <si>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</si>
  <si>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</si>
  <si>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</si>
  <si>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</si>
  <si>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</si>
  <si>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</si>
  <si>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</si>
  <si>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</si>
  <si>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</si>
  <si>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</si>
  <si>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</si>
  <si>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</si>
  <si>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</si>
  <si>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</si>
  <si>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</si>
  <si>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</si>
  <si>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</si>
  <si>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</si>
  <si>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</si>
  <si>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</si>
  <si>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</si>
  <si>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</si>
  <si>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</si>
  <si>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</si>
  <si>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</si>
  <si>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</si>
  <si>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</si>
  <si>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</si>
  <si>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</si>
  <si>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</si>
  <si>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</si>
  <si>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</si>
  <si>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</si>
  <si>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</si>
  <si>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</si>
  <si>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</si>
  <si>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</si>
  <si>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</si>
  <si>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</si>
  <si>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</si>
  <si>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</si>
  <si>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</si>
  <si>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</si>
  <si>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</si>
  <si>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</si>
  <si>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</si>
  <si>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</si>
  <si>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</si>
  <si>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</si>
  <si>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</si>
  <si>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</si>
  <si>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</si>
  <si>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</si>
  <si>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</si>
  <si>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</si>
  <si>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</si>
  <si>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</si>
  <si>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</si>
  <si>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</si>
  <si>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</si>
  <si>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</si>
  <si>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</si>
  <si>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</si>
  <si>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</si>
  <si>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</si>
  <si>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</si>
  <si>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</si>
  <si>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</si>
  <si>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</si>
  <si>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</si>
  <si>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</si>
  <si>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</si>
  <si>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</si>
  <si>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</si>
  <si>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</si>
  <si>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</si>
  <si>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</si>
  <si>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</si>
  <si>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</si>
  <si>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</si>
  <si>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</si>
  <si>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</si>
  <si>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</si>
  <si>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</si>
  <si>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</si>
  <si>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</si>
  <si>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</si>
  <si>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</si>
  <si>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</si>
  <si>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</si>
  <si>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</si>
  <si>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</si>
  <si>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</si>
  <si>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</si>
  <si>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</si>
  <si>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</si>
  <si>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</si>
  <si>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</si>
  <si>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</si>
  <si>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</si>
  <si>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</si>
  <si>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</si>
  <si>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</si>
  <si>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</si>
  <si>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</si>
  <si>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</si>
  <si>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</si>
  <si>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</si>
  <si>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</si>
  <si>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</si>
  <si>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</si>
  <si>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</si>
  <si>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</si>
  <si>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</si>
  <si>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</si>
  <si>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</si>
  <si>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</si>
  <si>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</si>
  <si>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</si>
  <si>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</si>
  <si>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</si>
  <si>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</si>
  <si>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</si>
  <si>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</si>
  <si>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</si>
  <si>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</si>
  <si>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</si>
  <si>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</si>
  <si>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</si>
  <si>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</si>
  <si>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</si>
  <si>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</si>
  <si>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</si>
  <si>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</si>
  <si>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</si>
  <si>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</si>
  <si>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</si>
  <si>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</si>
  <si>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</si>
  <si>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</si>
  <si>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</si>
  <si>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</si>
  <si>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</si>
  <si>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</si>
  <si>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</si>
  <si>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</si>
  <si>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</si>
  <si>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</si>
  <si>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</si>
  <si>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</si>
  <si>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</si>
  <si>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</si>
  <si>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</si>
  <si>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</si>
  <si>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</si>
  <si>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</si>
  <si>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</si>
  <si>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</si>
  <si>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</si>
  <si>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</si>
  <si>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</si>
  <si>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</si>
  <si>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</si>
  <si>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</si>
  <si>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</si>
  <si>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</si>
  <si>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</si>
  <si>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</si>
  <si>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</si>
  <si>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</si>
  <si>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</si>
  <si>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</si>
  <si>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</si>
  <si>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</si>
  <si>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</si>
  <si>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</si>
  <si>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</si>
  <si>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</si>
  <si>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</si>
  <si>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</si>
  <si>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</si>
  <si>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</si>
  <si>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</si>
  <si>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</si>
  <si>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</si>
  <si>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</si>
  <si>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</si>
  <si>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</si>
  <si>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</si>
  <si>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</si>
  <si>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</si>
  <si>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</si>
  <si>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</si>
  <si>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</si>
  <si>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</si>
  <si>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</si>
  <si>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</si>
  <si>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</si>
  <si>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</si>
  <si>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</si>
  <si>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</si>
  <si>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</si>
  <si>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</si>
  <si>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</si>
  <si>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</si>
  <si>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</si>
  <si>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</si>
  <si>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</si>
  <si>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</si>
  <si>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</si>
  <si>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</si>
  <si>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</si>
  <si>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</si>
  <si>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</si>
  <si>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</si>
  <si>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</si>
  <si>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</si>
  <si>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</si>
  <si>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</si>
  <si>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</si>
  <si>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</si>
  <si>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</si>
  <si>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</si>
  <si>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</si>
  <si>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</si>
  <si>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</si>
  <si>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</si>
  <si>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</si>
  <si>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</si>
  <si>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</si>
  <si>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</si>
  <si>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</si>
  <si>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</si>
  <si>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</si>
  <si>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</si>
  <si>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</si>
  <si>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</si>
  <si>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</si>
  <si>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</si>
  <si>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</si>
  <si>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</si>
  <si>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</si>
  <si>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</si>
  <si>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</si>
  <si>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</si>
  <si>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</si>
  <si>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</si>
  <si>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</si>
  <si>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</si>
  <si>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</si>
  <si>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</si>
  <si>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</si>
  <si>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</si>
  <si>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</si>
  <si>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</si>
  <si>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</si>
  <si>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</si>
  <si>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</si>
  <si>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</si>
  <si>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</si>
  <si>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</si>
  <si>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</si>
  <si>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</si>
  <si>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</si>
  <si>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</si>
  <si>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</si>
  <si>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</si>
  <si>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</si>
  <si>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</si>
  <si>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</si>
  <si>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</si>
  <si>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</si>
  <si>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</si>
  <si>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</si>
  <si>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</si>
  <si>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</si>
  <si>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</si>
  <si>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</si>
  <si>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</si>
  <si>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</si>
  <si>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</si>
  <si>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</si>
  <si>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</si>
  <si>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</si>
  <si>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</si>
  <si>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</si>
  <si>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</si>
  <si>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</si>
  <si>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</si>
  <si>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</si>
  <si>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</si>
  <si>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</si>
  <si>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</si>
  <si>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</si>
  <si>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</si>
  <si>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</si>
  <si>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</si>
  <si>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</si>
  <si>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</si>
  <si>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</si>
  <si>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</si>
  <si>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</si>
  <si>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</si>
  <si>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</si>
  <si>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</si>
  <si>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</si>
  <si>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</si>
  <si>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</si>
  <si>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</si>
  <si>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</si>
  <si>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</si>
  <si>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</si>
  <si>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</si>
  <si>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</si>
  <si>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</si>
  <si>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</si>
  <si>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</si>
  <si>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</si>
  <si>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</si>
  <si>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</si>
  <si>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</si>
  <si>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</si>
  <si>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</si>
  <si>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</si>
  <si>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</si>
  <si>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</si>
  <si>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</si>
  <si>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</si>
  <si>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</si>
  <si>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</si>
  <si>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</si>
  <si>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</si>
  <si>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</si>
  <si>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</si>
  <si>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</si>
  <si>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</si>
  <si>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</si>
  <si>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</si>
  <si>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</si>
  <si>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</si>
  <si>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</si>
  <si>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</si>
  <si>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</si>
  <si>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</si>
  <si>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</si>
  <si>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</si>
  <si>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</si>
  <si>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</si>
  <si>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</si>
  <si>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</si>
  <si>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</si>
  <si>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</si>
  <si>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</si>
  <si>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</si>
  <si>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</si>
  <si>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</si>
  <si>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</si>
  <si>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</si>
  <si>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</si>
  <si>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</si>
  <si>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</si>
  <si>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</si>
  <si>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</si>
  <si>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</si>
  <si>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</si>
  <si>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</si>
  <si>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</si>
  <si>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</si>
  <si>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</si>
  <si>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</si>
  <si>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</si>
  <si>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</si>
  <si>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</si>
  <si>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</si>
  <si>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</si>
  <si>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</si>
  <si>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</si>
  <si>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</si>
  <si>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</si>
  <si>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</si>
  <si>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</si>
  <si>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</si>
  <si>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</si>
  <si>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</si>
  <si>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</si>
  <si>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</si>
  <si>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</si>
  <si>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</si>
  <si>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</si>
  <si>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</si>
  <si>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</si>
  <si>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</si>
  <si>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</si>
  <si>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</si>
  <si>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</si>
  <si>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</si>
  <si>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</si>
  <si>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</si>
  <si>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</si>
  <si>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</si>
  <si>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</si>
  <si>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</si>
  <si>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</si>
  <si>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</si>
  <si>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</si>
  <si>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</si>
  <si>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</si>
  <si>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</si>
  <si>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</si>
  <si>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</si>
  <si>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</si>
  <si>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</si>
  <si>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</si>
  <si>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</si>
  <si>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</si>
  <si>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</si>
  <si>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</si>
  <si>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</si>
  <si>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</si>
  <si>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</si>
  <si>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</si>
  <si>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</si>
  <si>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</si>
  <si>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</si>
  <si>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</si>
  <si>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</si>
  <si>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</si>
  <si>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</si>
  <si>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</si>
  <si>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</si>
  <si>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</si>
  <si>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</si>
  <si>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</si>
  <si>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</si>
  <si>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</si>
  <si>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</si>
  <si>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</si>
  <si>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</si>
  <si>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</si>
  <si>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</si>
  <si>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</si>
  <si>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</si>
  <si>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</si>
  <si>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</si>
  <si>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</si>
  <si>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</si>
  <si>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</si>
  <si>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</si>
  <si>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</si>
  <si>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</si>
  <si>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</si>
  <si>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</si>
  <si>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</si>
  <si>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</si>
  <si>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</si>
  <si>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</si>
  <si>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</si>
  <si>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</si>
  <si>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</si>
  <si>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</si>
  <si>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</si>
  <si>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</si>
  <si>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</si>
  <si>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</si>
  <si>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</si>
  <si>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</si>
  <si>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</si>
  <si>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</si>
  <si>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</si>
  <si>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</si>
  <si>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</si>
  <si>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</si>
  <si>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</si>
  <si>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</si>
  <si>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</si>
  <si>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</si>
  <si>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</si>
  <si>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</si>
  <si>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</si>
  <si>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</si>
  <si>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</si>
  <si>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</si>
  <si>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</si>
  <si>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</si>
  <si>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</si>
  <si>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</si>
  <si>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</si>
  <si>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</si>
  <si>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</si>
  <si>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</si>
  <si>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</si>
  <si>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</si>
  <si>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</si>
  <si>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</si>
  <si>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</si>
  <si>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</si>
  <si>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</si>
  <si>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</si>
  <si>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</si>
  <si>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</si>
  <si>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</si>
  <si>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</si>
  <si>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</si>
  <si>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</si>
  <si>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</si>
  <si>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</si>
  <si>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</si>
  <si>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</si>
  <si>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</si>
  <si>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</si>
  <si>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</si>
  <si>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</si>
  <si>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</si>
  <si>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</si>
  <si>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</si>
  <si>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</si>
  <si>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</si>
  <si>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</si>
  <si>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</si>
  <si>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</si>
  <si>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</si>
  <si>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</si>
  <si>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</si>
  <si>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</si>
  <si>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</si>
  <si>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</si>
  <si>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</si>
  <si>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</si>
  <si>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</si>
  <si>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</si>
  <si>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</si>
  <si>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</si>
  <si>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</si>
  <si>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</si>
  <si>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</si>
  <si>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</si>
  <si>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</si>
  <si>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</si>
  <si>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</si>
  <si>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</si>
  <si>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</si>
  <si>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</si>
  <si>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</si>
  <si>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</si>
  <si>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</si>
  <si>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</si>
  <si>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</si>
  <si>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</si>
  <si>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</si>
  <si>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</si>
  <si>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</si>
  <si>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</si>
  <si>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</si>
  <si>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</si>
  <si>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</si>
  <si>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</si>
  <si>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</si>
  <si>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</si>
  <si>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</si>
  <si>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</si>
  <si>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</si>
  <si>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</si>
  <si>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</si>
  <si>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</si>
  <si>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</si>
  <si>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</si>
  <si>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</si>
  <si>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</si>
  <si>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</si>
  <si>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</si>
  <si>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</si>
  <si>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</si>
  <si>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</si>
  <si>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</si>
  <si>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</si>
  <si>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</si>
  <si>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</si>
  <si>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</si>
  <si>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</si>
  <si>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</si>
  <si>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</si>
  <si>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</si>
  <si>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</si>
  <si>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</si>
  <si>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</si>
  <si>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</si>
  <si>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</si>
  <si>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</si>
  <si>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</si>
  <si>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</si>
  <si>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</si>
  <si>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</si>
  <si>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</si>
  <si>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</si>
  <si>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</si>
  <si>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</si>
  <si>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</si>
  <si>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</si>
  <si>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</si>
  <si>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</si>
  <si>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</si>
  <si>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</si>
  <si>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</si>
  <si>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</si>
  <si>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</si>
  <si>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</si>
  <si>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</si>
  <si>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</si>
  <si>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</si>
  <si>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</si>
  <si>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</si>
  <si>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</si>
  <si>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</si>
  <si>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</si>
  <si>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</si>
  <si>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</si>
  <si>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</si>
  <si>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</si>
  <si>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</si>
  <si>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</si>
  <si>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</si>
  <si>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</si>
  <si>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</si>
  <si>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</si>
  <si>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</si>
  <si>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</si>
  <si>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</si>
  <si>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</si>
  <si>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</si>
  <si>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</si>
  <si>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</si>
  <si>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</si>
  <si>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</si>
  <si>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</si>
  <si>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</si>
  <si>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</si>
  <si>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</si>
  <si>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</si>
  <si>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</si>
  <si>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</si>
  <si>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</si>
  <si>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</si>
  <si>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</si>
  <si>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</si>
  <si>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</si>
  <si>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</si>
  <si>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</si>
  <si>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</si>
  <si>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</si>
  <si>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</si>
  <si>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</si>
  <si>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</si>
  <si>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</si>
  <si>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</si>
  <si>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</si>
  <si>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</si>
  <si>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</si>
  <si>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</si>
  <si>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</si>
  <si>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</si>
  <si>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</si>
  <si>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</si>
  <si>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</si>
  <si>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</si>
  <si>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</si>
  <si>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</si>
  <si>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</si>
  <si>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</si>
  <si>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</si>
  <si>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</si>
  <si>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</si>
  <si>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</si>
  <si>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</si>
  <si>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</si>
  <si>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</si>
  <si>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</si>
  <si>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</si>
  <si>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</si>
  <si>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</si>
  <si>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</si>
  <si>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</si>
  <si>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</si>
  <si>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</si>
  <si>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</si>
  <si>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</si>
  <si>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</si>
  <si>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</si>
  <si>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</si>
  <si>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</si>
  <si>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</si>
  <si>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</si>
  <si>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</si>
  <si>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</si>
  <si>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</si>
  <si>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</si>
  <si>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</si>
  <si>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</si>
  <si>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</si>
  <si>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</si>
  <si>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</si>
  <si>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</si>
  <si>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</si>
  <si>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</si>
  <si>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</si>
  <si>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</si>
  <si>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</si>
  <si>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</si>
  <si>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</si>
  <si>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</si>
  <si>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</si>
  <si>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</si>
  <si>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</si>
  <si>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</si>
  <si>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</si>
  <si>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</si>
  <si>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</si>
  <si>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</si>
  <si>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</si>
  <si>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</si>
  <si>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</si>
  <si>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</si>
  <si>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</si>
  <si>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</si>
  <si>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</si>
  <si>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</si>
  <si>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</si>
  <si>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</si>
  <si>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</si>
  <si>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</si>
  <si>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</si>
  <si>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</si>
  <si>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</si>
  <si>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</si>
  <si>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</si>
  <si>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</si>
  <si>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</si>
  <si>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</si>
  <si>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</si>
  <si>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</si>
  <si>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</si>
  <si>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</si>
  <si>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</si>
  <si>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</si>
  <si>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</si>
  <si>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</si>
  <si>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</si>
  <si>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</si>
  <si>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</si>
  <si>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</si>
  <si>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</si>
  <si>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</si>
  <si>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</si>
  <si>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</si>
  <si>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</si>
  <si>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</si>
  <si>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</si>
  <si>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</si>
  <si>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</si>
  <si>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</si>
  <si>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</si>
  <si>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</si>
  <si>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</si>
  <si>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</si>
  <si>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</si>
  <si>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</si>
  <si>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</si>
  <si>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</si>
  <si>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</si>
  <si>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</si>
  <si>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</si>
  <si>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</si>
  <si>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</si>
  <si>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</si>
  <si>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</si>
  <si>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</si>
  <si>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</si>
  <si>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</si>
  <si>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</si>
  <si>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</si>
  <si>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</si>
  <si>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</si>
  <si>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</si>
  <si>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</si>
  <si>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</si>
  <si>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</si>
  <si>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</si>
  <si>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</si>
  <si>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</si>
  <si>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</si>
  <si>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</si>
  <si>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</si>
  <si>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</si>
  <si>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</si>
  <si>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</si>
  <si>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</si>
  <si>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</si>
  <si>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</si>
  <si>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</si>
  <si>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</si>
  <si>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</si>
  <si>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</si>
  <si>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</si>
  <si>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</si>
  <si>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</si>
  <si>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</si>
  <si>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</si>
  <si>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</si>
  <si>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</si>
  <si>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</si>
  <si>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</si>
  <si>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</si>
  <si>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</si>
  <si>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</si>
  <si>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</si>
  <si>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</si>
  <si>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</si>
  <si>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</si>
  <si>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</si>
  <si>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</si>
  <si>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</si>
  <si>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</si>
  <si>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</si>
  <si>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</si>
  <si>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</si>
  <si>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</si>
  <si>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</si>
  <si>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</si>
  <si>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</si>
  <si>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</si>
  <si>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</si>
  <si>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</si>
  <si>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</si>
  <si>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</si>
  <si>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</si>
  <si>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</si>
  <si>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</si>
  <si>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</si>
  <si>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</si>
  <si>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</si>
  <si>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</si>
  <si>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</si>
  <si>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</si>
  <si>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</si>
  <si>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</si>
  <si>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</si>
  <si>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</si>
  <si>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</si>
  <si>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</si>
  <si>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</si>
  <si>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</si>
  <si>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</si>
  <si>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</si>
  <si>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</si>
  <si>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</si>
  <si>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</si>
  <si>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</si>
  <si>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</si>
  <si>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</si>
  <si>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</si>
  <si>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</si>
  <si>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</si>
  <si>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</si>
  <si>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</si>
  <si>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</si>
  <si>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</si>
  <si>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</si>
  <si>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</si>
  <si>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</si>
  <si>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</si>
  <si>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</si>
  <si>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</si>
  <si>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</si>
  <si>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</si>
  <si>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</si>
  <si>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</si>
  <si>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</si>
  <si>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</si>
  <si>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</si>
  <si>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</si>
  <si>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</si>
  <si>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</si>
  <si>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</si>
  <si>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</si>
  <si>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</si>
  <si>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</si>
  <si>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</si>
  <si>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</si>
  <si>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</si>
  <si>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</si>
  <si>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</si>
  <si>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</si>
  <si>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</si>
  <si>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</si>
  <si>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</si>
  <si>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</si>
  <si>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</si>
  <si>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</si>
  <si>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</si>
  <si>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</si>
  <si>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</si>
  <si>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</si>
  <si>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</si>
  <si>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</si>
  <si>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</si>
  <si>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</si>
  <si>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</si>
  <si>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</si>
  <si>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</si>
  <si>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</si>
  <si>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</si>
  <si>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</si>
  <si>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</si>
  <si>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</si>
  <si>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</si>
  <si>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</si>
  <si>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</si>
  <si>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</si>
  <si>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</si>
  <si>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</si>
  <si>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</si>
  <si>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</si>
  <si>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</si>
  <si>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</si>
  <si>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</si>
  <si>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</si>
  <si>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</si>
  <si>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</si>
  <si>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</si>
  <si>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</si>
  <si>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</si>
  <si>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</si>
  <si>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</si>
  <si>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</si>
  <si>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</si>
  <si>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</si>
  <si>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</si>
  <si>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</si>
  <si>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</si>
  <si>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</si>
  <si>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</si>
  <si>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</si>
  <si>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</si>
  <si>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</si>
  <si>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</si>
  <si>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</si>
  <si>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</si>
  <si>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</si>
  <si>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</si>
  <si>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</si>
  <si>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</si>
  <si>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</si>
  <si>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</si>
  <si>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</si>
  <si>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</si>
  <si>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</si>
  <si>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</si>
  <si>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</si>
  <si>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</si>
  <si>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</si>
  <si>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</si>
  <si>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</si>
  <si>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</si>
  <si>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</si>
  <si>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</si>
  <si>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</si>
  <si>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</si>
  <si>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</si>
  <si>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</si>
  <si>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</si>
  <si>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</si>
  <si>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</si>
  <si>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</si>
  <si>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</si>
  <si>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</si>
  <si>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</si>
  <si>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</si>
  <si>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</si>
  <si>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</si>
  <si>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</si>
  <si>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</si>
  <si>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</si>
  <si>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</si>
  <si>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</si>
  <si>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</si>
  <si>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</si>
  <si>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</si>
  <si>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</si>
  <si>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</si>
  <si>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</si>
  <si>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</si>
  <si>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</si>
  <si>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</si>
  <si>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</si>
  <si>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</si>
  <si>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</si>
  <si>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</si>
  <si>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</si>
  <si>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</si>
  <si>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</si>
  <si>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</si>
  <si>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</si>
  <si>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</si>
  <si>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</si>
  <si>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</si>
  <si>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</si>
  <si>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</si>
  <si>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</si>
  <si>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</si>
  <si>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</si>
  <si>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</si>
  <si>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</si>
  <si>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</si>
  <si>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</si>
  <si>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</si>
  <si>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</si>
  <si>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</si>
  <si>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</si>
  <si>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</si>
  <si>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</si>
  <si>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</si>
  <si>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</si>
  <si>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</si>
  <si>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</si>
  <si>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</si>
  <si>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</si>
  <si>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</si>
  <si>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</si>
  <si>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</si>
  <si>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</si>
  <si>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</si>
  <si>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</si>
  <si>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</si>
  <si>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</si>
  <si>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</si>
  <si>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</si>
  <si>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</si>
  <si>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</si>
  <si>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</si>
  <si>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</si>
  <si>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</si>
  <si>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</si>
  <si>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</si>
  <si>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</si>
  <si>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</si>
  <si>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</si>
  <si>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</si>
  <si>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</si>
  <si>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</si>
  <si>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</si>
  <si>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</si>
  <si>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</si>
  <si>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</si>
  <si>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</si>
  <si>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</si>
  <si>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</si>
  <si>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</si>
  <si>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</si>
  <si>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</si>
  <si>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</si>
  <si>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</si>
  <si>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</si>
  <si>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</si>
  <si>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</si>
  <si>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</si>
  <si>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</si>
  <si>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</si>
  <si>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</si>
  <si>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</si>
  <si>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</si>
  <si>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</si>
  <si>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</si>
  <si>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</si>
  <si>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</si>
  <si>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</si>
  <si>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</si>
  <si>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</si>
  <si>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</si>
  <si>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</si>
  <si>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</si>
  <si>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</si>
  <si>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</si>
  <si>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</si>
  <si>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</si>
  <si>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</si>
  <si>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</si>
  <si>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</si>
  <si>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</si>
  <si>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</si>
  <si>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</si>
  <si>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</si>
  <si>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</si>
  <si>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</si>
  <si>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</si>
  <si>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</si>
  <si>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</si>
  <si>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</si>
  <si>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</si>
  <si>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</si>
  <si>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</si>
  <si>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</si>
  <si>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</si>
  <si>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</si>
  <si>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</si>
  <si>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</si>
  <si>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</si>
  <si>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</si>
  <si>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</si>
  <si>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</si>
  <si>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</si>
  <si>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</si>
  <si>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</si>
  <si>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</si>
  <si>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</si>
  <si>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</si>
  <si>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</si>
  <si>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</si>
  <si>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</si>
  <si>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</si>
  <si>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</si>
  <si>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</si>
  <si>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</si>
  <si>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</si>
  <si>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</si>
  <si>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</si>
  <si>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</si>
  <si>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</si>
  <si>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</si>
  <si>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</si>
  <si>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</si>
  <si>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</si>
  <si>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</si>
  <si>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</si>
  <si>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</si>
  <si>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</si>
  <si>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</si>
  <si>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</si>
  <si>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</si>
  <si>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</si>
  <si>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</si>
  <si>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</si>
  <si>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</si>
  <si>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</si>
  <si>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</si>
  <si>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</si>
  <si>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</si>
  <si>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</si>
  <si>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</si>
  <si>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</si>
  <si>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</si>
  <si>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</si>
  <si>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</si>
  <si>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</si>
  <si>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</si>
  <si>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</si>
  <si>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</si>
  <si>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</si>
  <si>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</si>
  <si>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</si>
  <si>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</si>
  <si>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</si>
  <si>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</si>
  <si>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</si>
  <si>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</si>
  <si>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</si>
  <si>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</si>
  <si>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</si>
  <si>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</si>
  <si>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</si>
  <si>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</si>
  <si>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</si>
  <si>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</si>
  <si>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</si>
  <si>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</si>
  <si>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</si>
  <si>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</si>
  <si>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</si>
  <si>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</si>
  <si>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</si>
  <si>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</si>
  <si>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</si>
  <si>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</si>
  <si>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</si>
  <si>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</si>
  <si>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</si>
  <si>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</si>
  <si>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</si>
  <si>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</si>
  <si>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</si>
  <si>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</si>
  <si>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</si>
  <si>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</si>
  <si>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</si>
  <si>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</si>
  <si>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</si>
  <si>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</si>
  <si>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</si>
  <si>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</si>
  <si>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</si>
  <si>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</si>
  <si>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</si>
  <si>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</si>
  <si>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</si>
  <si>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</si>
  <si>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</si>
  <si>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</si>
  <si>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</si>
  <si>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</si>
  <si>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</si>
  <si>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</si>
  <si>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</si>
  <si>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</si>
  <si>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</si>
  <si>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</si>
  <si>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</si>
  <si>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</si>
  <si>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</si>
  <si>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</si>
  <si>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</si>
  <si>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</si>
  <si>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</si>
  <si>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</si>
  <si>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</si>
  <si>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</si>
  <si>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</si>
  <si>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</si>
  <si>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</si>
  <si>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</si>
  <si>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</si>
  <si>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</si>
  <si>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</si>
  <si>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</si>
  <si>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</si>
  <si>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</si>
  <si>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</si>
  <si>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</si>
  <si>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</si>
  <si>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</si>
  <si>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</si>
  <si>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</si>
  <si>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</si>
  <si>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</si>
  <si>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</si>
  <si>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</si>
  <si>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</si>
  <si>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</si>
  <si>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</si>
  <si>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</si>
  <si>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</si>
  <si>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</si>
  <si>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</si>
  <si>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</si>
  <si>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</si>
  <si>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</si>
  <si>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</si>
  <si>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</si>
  <si>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</si>
  <si>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</si>
  <si>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</si>
  <si>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</si>
  <si>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</si>
  <si>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</si>
  <si>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</si>
  <si>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</si>
  <si>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</si>
  <si>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</si>
  <si>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</si>
  <si>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</si>
  <si>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</si>
  <si>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</si>
  <si>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</si>
  <si>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</si>
  <si>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</si>
  <si>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</si>
  <si>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</si>
  <si>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</si>
  <si>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</si>
  <si>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</si>
  <si>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</si>
  <si>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</si>
  <si>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</si>
  <si>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</si>
  <si>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</si>
  <si>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</si>
  <si>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</si>
  <si>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</si>
  <si>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</si>
  <si>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</si>
  <si>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</si>
  <si>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</si>
  <si>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</si>
  <si>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</si>
  <si>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</si>
  <si>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</si>
  <si>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</si>
  <si>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</si>
  <si>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</si>
  <si>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</si>
  <si>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</si>
  <si>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</si>
  <si>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</si>
  <si>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</si>
  <si>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</si>
  <si>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</si>
  <si>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</si>
  <si>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</si>
  <si>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</si>
  <si>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</si>
  <si>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</si>
  <si>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</si>
  <si>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</si>
  <si>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</si>
  <si>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</si>
  <si>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</si>
  <si>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</si>
  <si>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</si>
  <si>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</si>
  <si>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</si>
  <si>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</si>
  <si>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</si>
  <si>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</si>
  <si>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</si>
  <si>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</si>
  <si>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</si>
  <si>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</si>
  <si>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</si>
  <si>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</si>
  <si>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</si>
  <si>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</si>
  <si>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</si>
  <si>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</si>
  <si>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</si>
  <si>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</si>
  <si>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</si>
  <si>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</si>
  <si>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</si>
  <si>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</si>
  <si>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</si>
  <si>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</si>
  <si>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</si>
  <si>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</si>
  <si>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</si>
  <si>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</si>
  <si>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</si>
  <si>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</si>
  <si>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</si>
  <si>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</si>
  <si>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</si>
  <si>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</si>
  <si>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</si>
  <si>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</si>
  <si>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</si>
  <si>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</si>
  <si>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</si>
  <si>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</si>
  <si>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</si>
  <si>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</si>
  <si>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</si>
  <si>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</si>
  <si>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</si>
  <si>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</si>
  <si>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</si>
  <si>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</si>
  <si>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</si>
  <si>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</si>
  <si>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</si>
  <si>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</si>
  <si>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</si>
  <si>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</si>
  <si>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</si>
  <si>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</si>
  <si>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</si>
  <si>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</si>
  <si>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</si>
  <si>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</si>
  <si>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</si>
  <si>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</si>
  <si>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</si>
  <si>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</si>
  <si>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</si>
  <si>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</si>
  <si>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</si>
  <si>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</si>
  <si>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</si>
  <si>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</si>
  <si>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</si>
  <si>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</si>
  <si>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</si>
  <si>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</si>
  <si>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</si>
  <si>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</si>
  <si>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</si>
  <si>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</si>
  <si>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</si>
  <si>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</si>
  <si>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</si>
  <si>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</si>
  <si>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</si>
  <si>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</si>
  <si>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</si>
  <si>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</si>
  <si>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</si>
  <si>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</si>
  <si>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</si>
  <si>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</si>
  <si>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</si>
  <si>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</si>
  <si>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</si>
  <si>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</si>
  <si>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</si>
  <si>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</si>
  <si>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</si>
  <si>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</si>
  <si>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</si>
  <si>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</si>
  <si>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</si>
  <si>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</si>
  <si>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</si>
  <si>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</si>
  <si>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</si>
  <si>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</si>
  <si>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</si>
  <si>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</si>
  <si>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</si>
  <si>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</si>
  <si>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</si>
  <si>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</si>
  <si>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</si>
  <si>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</si>
  <si>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</si>
  <si>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</si>
  <si>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</si>
  <si>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</si>
  <si>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</si>
  <si>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</si>
  <si>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</si>
  <si>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</si>
  <si>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</si>
  <si>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</si>
  <si>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</si>
  <si>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</si>
  <si>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</si>
  <si>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</si>
  <si>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</si>
  <si>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</si>
  <si>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</si>
  <si>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</si>
  <si>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</si>
  <si>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</si>
  <si>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</si>
  <si>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</si>
  <si>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</si>
  <si>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</si>
  <si>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</si>
  <si>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</si>
  <si>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</si>
  <si>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</si>
  <si>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</si>
  <si>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</si>
  <si>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</si>
  <si>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</si>
  <si>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</si>
  <si>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</si>
  <si>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</si>
  <si>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</si>
  <si>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</si>
  <si>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</si>
  <si>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</si>
  <si>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</si>
  <si>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</si>
  <si>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</si>
  <si>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</si>
  <si>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</si>
  <si>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</si>
  <si>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</si>
  <si>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</si>
  <si>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</si>
  <si>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</si>
  <si>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</si>
  <si>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</si>
  <si>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</si>
  <si>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</si>
  <si>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</si>
  <si>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</si>
  <si>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</si>
  <si>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</si>
  <si>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</si>
  <si>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</si>
  <si>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</si>
  <si>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</si>
  <si>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</si>
  <si>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</si>
  <si>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</si>
  <si>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</si>
  <si>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</si>
  <si>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</si>
  <si>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</si>
  <si>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</si>
  <si>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</si>
  <si>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</si>
  <si>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</si>
  <si>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</si>
  <si>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</si>
  <si>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</si>
  <si>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</si>
  <si>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</si>
  <si>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</si>
  <si>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</si>
  <si>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</si>
  <si>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</si>
  <si>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</si>
  <si>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</si>
  <si>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</si>
  <si>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</si>
  <si>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</si>
  <si>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</si>
  <si>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</si>
  <si>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</si>
  <si>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</si>
  <si>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</si>
  <si>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</si>
  <si>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</si>
  <si>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</si>
  <si>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</si>
  <si>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</si>
  <si>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</si>
  <si>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</si>
  <si>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</si>
  <si>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</si>
  <si>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</si>
  <si>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</si>
  <si>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</si>
  <si>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</si>
  <si>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</si>
  <si>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</si>
  <si>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</si>
  <si>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</si>
  <si>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</si>
  <si>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</si>
  <si>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</si>
  <si>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</si>
  <si>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</si>
  <si>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</si>
  <si>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</si>
  <si>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</si>
  <si>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</si>
  <si>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</si>
  <si>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</si>
  <si>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</si>
  <si>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</si>
  <si>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</si>
  <si>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</si>
  <si>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</si>
  <si>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</si>
  <si>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</si>
  <si>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</si>
  <si>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</si>
  <si>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</si>
  <si>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</si>
  <si>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</si>
  <si>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</si>
  <si>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</si>
  <si>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</si>
  <si>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</si>
  <si>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</si>
  <si>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</si>
  <si>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</si>
  <si>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</si>
  <si>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</si>
  <si>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</si>
  <si>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</si>
  <si>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</si>
  <si>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</si>
  <si>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</si>
  <si>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</si>
  <si>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</si>
  <si>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</si>
  <si>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</si>
  <si>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</si>
  <si>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</si>
  <si>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</si>
  <si>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</si>
  <si>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</si>
  <si>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</si>
  <si>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</si>
  <si>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</si>
  <si>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</si>
  <si>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</si>
  <si>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</si>
  <si>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</si>
  <si>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</si>
  <si>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</si>
  <si>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</si>
  <si>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</si>
  <si>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</si>
  <si>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</si>
  <si>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</si>
  <si>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</si>
  <si>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</si>
  <si>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</si>
  <si>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</si>
  <si>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</si>
  <si>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</si>
  <si>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</si>
  <si>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</si>
  <si>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</si>
  <si>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</si>
  <si>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</si>
  <si>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</si>
  <si>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</si>
  <si>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</si>
  <si>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</si>
  <si>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</si>
  <si>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</si>
  <si>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</si>
  <si>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</si>
  <si>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</si>
  <si>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</si>
  <si>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</si>
  <si>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</si>
  <si>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</si>
  <si>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</si>
  <si>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</si>
  <si>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</si>
  <si>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</si>
  <si>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</si>
  <si>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</si>
  <si>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</si>
  <si>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</si>
  <si>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</si>
  <si>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</si>
  <si>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</si>
  <si>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</si>
  <si>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</si>
  <si>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</si>
  <si>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</si>
  <si>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</si>
  <si>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</si>
  <si>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</si>
  <si>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</si>
  <si>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</si>
  <si>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</si>
  <si>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</si>
  <si>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</si>
  <si>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</si>
  <si>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</si>
  <si>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</si>
  <si>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</si>
  <si>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</si>
  <si>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</si>
  <si>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</si>
  <si>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</si>
  <si>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</si>
  <si>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</si>
  <si>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</si>
  <si>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</si>
  <si>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</si>
  <si>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</si>
  <si>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</si>
  <si>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</si>
  <si>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</si>
  <si>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</si>
  <si>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</si>
  <si>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</si>
  <si>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</si>
  <si>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</si>
  <si>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</si>
  <si>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</si>
  <si>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</si>
  <si>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</si>
  <si>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</si>
  <si>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</si>
  <si>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</si>
  <si>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</si>
  <si>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</si>
  <si>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</si>
  <si>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</si>
  <si>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</si>
  <si>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</si>
  <si>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</si>
  <si>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</si>
  <si>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</si>
  <si>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</si>
  <si>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</si>
  <si>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</si>
  <si>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</si>
  <si>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</si>
  <si>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</si>
  <si>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</si>
  <si>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</si>
  <si>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</si>
  <si>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</si>
  <si>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</si>
  <si>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</si>
  <si>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</si>
  <si>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</si>
  <si>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</si>
  <si>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</si>
  <si>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</si>
  <si>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</si>
  <si>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</si>
  <si>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</si>
  <si>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</si>
  <si>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</si>
  <si>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</si>
  <si>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</si>
  <si>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</si>
  <si>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</si>
  <si>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</si>
  <si>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</si>
  <si>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</si>
  <si>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</si>
  <si>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</si>
  <si>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</si>
  <si>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</si>
  <si>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</si>
  <si>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</si>
  <si>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</si>
  <si>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</si>
  <si>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</si>
  <si>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</si>
  <si>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</si>
  <si>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</si>
  <si>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</si>
  <si>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</si>
  <si>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</si>
  <si>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</si>
  <si>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</si>
  <si>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</si>
  <si>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</si>
  <si>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</si>
  <si>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</si>
  <si>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</si>
  <si>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</si>
  <si>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</si>
  <si>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</si>
  <si>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</si>
  <si>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</si>
  <si>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</si>
  <si>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</si>
  <si>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</si>
  <si>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</si>
  <si>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</si>
  <si>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</si>
  <si>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</si>
  <si>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</si>
  <si>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</si>
  <si>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</si>
  <si>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</si>
  <si>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</si>
  <si>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</si>
  <si>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</si>
  <si>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</si>
  <si>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</si>
  <si>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</si>
  <si>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</si>
  <si>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</si>
  <si>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</si>
  <si>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</si>
  <si>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</si>
  <si>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</si>
  <si>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</si>
  <si>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</si>
  <si>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</si>
  <si>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</si>
  <si>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</si>
  <si>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</si>
  <si>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</si>
  <si>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</si>
  <si>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</si>
  <si>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</si>
  <si>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</si>
  <si>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</si>
  <si>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</si>
  <si>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</si>
  <si>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</si>
  <si>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</si>
  <si>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</si>
  <si>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</si>
  <si>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</si>
  <si>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</si>
  <si>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</si>
  <si>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</si>
  <si>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</si>
  <si>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</si>
  <si>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</si>
  <si>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</si>
  <si>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</si>
  <si>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</si>
  <si>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</si>
  <si>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</si>
  <si>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</si>
  <si>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</si>
  <si>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</si>
  <si>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</si>
  <si>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</si>
  <si>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</si>
  <si>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</si>
  <si>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</si>
  <si>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</si>
  <si>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</si>
  <si>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</si>
  <si>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</si>
  <si>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</si>
  <si>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</si>
  <si>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</si>
  <si>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</si>
  <si>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</si>
  <si>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</si>
  <si>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</si>
  <si>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</si>
  <si>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</si>
  <si>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</si>
  <si>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</si>
  <si>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</si>
  <si>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</si>
  <si>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</si>
  <si>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</si>
  <si>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</si>
  <si>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</si>
  <si>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</si>
  <si>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</si>
  <si>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</si>
  <si>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</si>
  <si>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</si>
  <si>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</si>
  <si>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</si>
  <si>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</si>
  <si>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</si>
  <si>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</si>
  <si>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</si>
  <si>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</si>
  <si>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</si>
  <si>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</si>
  <si>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</si>
  <si>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</si>
  <si>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</si>
  <si>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</si>
  <si>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</si>
  <si>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</si>
  <si>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</si>
  <si>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</si>
  <si>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</si>
  <si>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</si>
  <si>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</si>
  <si>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</si>
  <si>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</si>
  <si>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</si>
  <si>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</si>
  <si>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</si>
  <si>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</si>
  <si>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</si>
  <si>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</si>
  <si>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</si>
  <si>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</si>
  <si>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</si>
  <si>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</si>
  <si>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</si>
  <si>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</si>
  <si>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</si>
  <si>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</si>
  <si>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</si>
  <si>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</si>
  <si>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</si>
  <si>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</si>
  <si>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</si>
  <si>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</si>
  <si>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</si>
  <si>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</si>
  <si>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</si>
  <si>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</si>
  <si>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</si>
  <si>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</si>
  <si>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</si>
  <si>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</si>
  <si>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</si>
  <si>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</si>
  <si>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</si>
  <si>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</si>
  <si>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</si>
  <si>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</si>
  <si>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</si>
  <si>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</si>
  <si>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</si>
  <si>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</si>
  <si>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</si>
  <si>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</si>
  <si>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</si>
  <si>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</si>
  <si>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</si>
  <si>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</si>
  <si>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</si>
  <si>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</si>
  <si>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</si>
  <si>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</si>
  <si>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</si>
  <si>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</si>
  <si>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</si>
  <si>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</si>
  <si>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</si>
  <si>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</si>
  <si>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</si>
  <si>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</si>
  <si>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</si>
  <si>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</si>
  <si>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</si>
  <si>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</si>
  <si>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</si>
  <si>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</si>
  <si>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</si>
  <si>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</si>
  <si>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</si>
  <si>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</si>
  <si>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</si>
  <si>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</si>
  <si>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</si>
  <si>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</si>
  <si>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</si>
  <si>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</si>
  <si>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</si>
  <si>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</si>
  <si>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</si>
  <si>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</si>
  <si>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</si>
  <si>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</si>
  <si>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</si>
  <si>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</si>
  <si>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</si>
  <si>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</si>
  <si>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</si>
  <si>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</si>
  <si>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</si>
  <si>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</si>
  <si>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</si>
  <si>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</si>
  <si>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</si>
  <si>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</si>
  <si>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</si>
  <si>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</si>
  <si>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</si>
  <si>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</si>
  <si>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</si>
  <si>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</si>
  <si>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</si>
  <si>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</si>
  <si>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</si>
  <si>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</si>
  <si>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</si>
  <si>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</si>
  <si>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</si>
  <si>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</si>
  <si>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</si>
  <si>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</si>
  <si>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</si>
  <si>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</si>
  <si>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</si>
  <si>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</si>
  <si>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</si>
  <si>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</si>
  <si>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</si>
  <si>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</si>
  <si>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</si>
  <si>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</si>
  <si>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</si>
  <si>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</si>
  <si>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</si>
  <si>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</si>
  <si>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</si>
  <si>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</si>
  <si>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</si>
  <si>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</si>
  <si>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</si>
  <si>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</si>
  <si>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</si>
  <si>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</si>
  <si>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</si>
  <si>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</si>
  <si>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</si>
  <si>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</si>
  <si>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</si>
  <si>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</si>
  <si>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</si>
  <si>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</si>
  <si>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</si>
  <si>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</si>
  <si>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</si>
  <si>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</si>
  <si>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</si>
  <si>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</si>
  <si>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</si>
  <si>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</si>
  <si>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</si>
  <si>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</si>
  <si>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</si>
  <si>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</si>
  <si>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</si>
  <si>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</si>
  <si>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</si>
  <si>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</si>
  <si>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</si>
  <si>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</si>
  <si>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</si>
  <si>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</si>
  <si>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</si>
  <si>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</si>
  <si>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</si>
  <si>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</si>
  <si>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</si>
  <si>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</si>
  <si>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</si>
  <si>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</si>
  <si>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</si>
  <si>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</si>
  <si>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</si>
  <si>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</si>
  <si>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</si>
  <si>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</si>
  <si>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</si>
  <si>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</si>
  <si>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</si>
  <si>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</si>
  <si>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</si>
  <si>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</si>
  <si>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</si>
  <si>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</si>
  <si>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</si>
  <si>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</si>
  <si>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</si>
  <si>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</si>
  <si>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</si>
  <si>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</si>
  <si>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</si>
  <si>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</si>
  <si>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</si>
  <si>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</si>
  <si>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</si>
  <si>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</si>
  <si>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</si>
  <si>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</si>
  <si>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</si>
  <si>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</si>
  <si>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</si>
  <si>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</si>
  <si>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</si>
  <si>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</si>
  <si>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</si>
  <si>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</si>
  <si>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</si>
  <si>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</si>
  <si>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</si>
  <si>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</si>
  <si>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</si>
  <si>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</si>
  <si>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</si>
  <si>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</si>
  <si>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</si>
  <si>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</si>
  <si>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</si>
  <si>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</si>
  <si>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</si>
  <si>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</si>
  <si>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</si>
  <si>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</si>
  <si>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</si>
  <si>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</si>
  <si>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</si>
  <si>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</si>
  <si>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</si>
  <si>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</si>
  <si>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</si>
  <si>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</si>
  <si>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</si>
  <si>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</si>
  <si>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</si>
  <si>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</si>
  <si>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</si>
  <si>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</si>
  <si>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</si>
  <si>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</si>
  <si>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</si>
  <si>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</si>
  <si>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</si>
  <si>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</si>
  <si>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</si>
  <si>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</si>
  <si>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</si>
  <si>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</si>
  <si>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</si>
  <si>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</si>
  <si>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</si>
  <si>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</si>
  <si>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</si>
  <si>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</si>
  <si>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</si>
  <si>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</si>
  <si>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</si>
  <si>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</si>
  <si>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</si>
  <si>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</si>
  <si>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</si>
  <si>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</si>
  <si>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</si>
  <si>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</si>
  <si>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</si>
  <si>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</si>
  <si>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</si>
  <si>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</si>
  <si>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</si>
  <si>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</si>
  <si>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</si>
  <si>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</si>
  <si>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</si>
  <si>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</si>
  <si>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</si>
  <si>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</si>
  <si>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</si>
  <si>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</si>
  <si>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</si>
  <si>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</si>
  <si>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</si>
  <si>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</si>
  <si>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</si>
  <si>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</si>
  <si>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</si>
  <si>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</si>
  <si>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</si>
  <si>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</si>
  <si>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</si>
  <si>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</si>
  <si>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</si>
  <si>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</si>
  <si>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</si>
  <si>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</si>
  <si>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</si>
  <si>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</si>
  <si>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</si>
  <si>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</si>
  <si>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</si>
  <si>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</si>
  <si>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</si>
  <si>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</si>
  <si>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</si>
  <si>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</si>
  <si>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</si>
  <si>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</si>
  <si>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</si>
  <si>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</si>
  <si>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</si>
  <si>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</si>
  <si>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</si>
  <si>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</si>
  <si>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</si>
  <si>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</si>
  <si>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</si>
  <si>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</si>
  <si>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</si>
  <si>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</si>
  <si>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</si>
  <si>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</si>
  <si>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</si>
  <si>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</si>
  <si>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</si>
  <si>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</si>
  <si>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</si>
  <si>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</si>
  <si>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</si>
  <si>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</si>
  <si>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</si>
  <si>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</si>
  <si>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</si>
  <si>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</si>
  <si>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</si>
  <si>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</si>
  <si>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</si>
  <si>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</si>
  <si>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</si>
  <si>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</si>
  <si>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</si>
  <si>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</si>
  <si>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</si>
  <si>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</si>
  <si>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</si>
  <si>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</si>
  <si>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</si>
  <si>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</si>
  <si>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</si>
  <si>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</si>
  <si>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</si>
  <si>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</si>
  <si>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</si>
  <si>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</si>
  <si>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</si>
  <si>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</si>
  <si>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</si>
  <si>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</si>
  <si>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</si>
  <si>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</si>
  <si>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</si>
  <si>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</si>
  <si>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</si>
  <si>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</si>
  <si>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</si>
  <si>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</si>
  <si>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</si>
  <si>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</si>
  <si>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</si>
  <si>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</si>
  <si>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</si>
  <si>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</si>
  <si>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</si>
  <si>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</si>
  <si>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</si>
  <si>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</si>
  <si>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</si>
  <si>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</si>
  <si>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</si>
  <si>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</si>
  <si>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</si>
  <si>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</si>
  <si>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</si>
  <si>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</si>
  <si>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</si>
  <si>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</si>
  <si>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</si>
  <si>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</si>
  <si>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</si>
  <si>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</si>
  <si>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</si>
  <si>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</si>
  <si>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</si>
  <si>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</si>
  <si>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</si>
  <si>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</si>
  <si>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</si>
  <si>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</si>
  <si>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</si>
  <si>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</si>
  <si>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</si>
  <si>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</si>
  <si>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</si>
  <si>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</si>
  <si>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</si>
  <si>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</si>
  <si>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</si>
  <si>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</si>
  <si>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</si>
  <si>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</si>
  <si>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</si>
  <si>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</si>
  <si>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</si>
  <si>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</si>
  <si>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</si>
  <si>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</si>
  <si>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</si>
  <si>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</si>
  <si>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</si>
  <si>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</si>
  <si>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</si>
  <si>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</si>
  <si>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</si>
  <si>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</si>
  <si>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</si>
  <si>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</si>
  <si>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</si>
  <si>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</si>
  <si>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</si>
  <si>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</si>
  <si>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</si>
  <si>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</si>
  <si>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</si>
  <si>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</si>
  <si>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</si>
  <si>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</si>
  <si>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</si>
  <si>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</si>
  <si>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</si>
  <si>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</si>
  <si>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</si>
  <si>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</si>
  <si>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</si>
  <si>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</si>
  <si>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</si>
  <si>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</si>
  <si>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</si>
  <si>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</si>
  <si>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</si>
  <si>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</si>
  <si>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</si>
  <si>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</si>
  <si>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</si>
  <si>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</si>
  <si>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</si>
  <si>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</si>
  <si>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</si>
  <si>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</si>
  <si>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</si>
  <si>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</si>
  <si>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</si>
  <si>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</si>
  <si>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</si>
  <si>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</si>
  <si>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</si>
  <si>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</si>
  <si>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</si>
  <si>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</si>
  <si>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</si>
  <si>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</si>
  <si>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</si>
  <si>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</si>
  <si>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</si>
  <si>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</si>
  <si>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</si>
  <si>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</si>
  <si>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</si>
  <si>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</si>
  <si>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</si>
  <si>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</si>
  <si>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</si>
  <si>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</si>
  <si>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</si>
  <si>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</si>
  <si>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</si>
  <si>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</si>
  <si>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</si>
  <si>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</si>
  <si>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</si>
  <si>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</si>
  <si>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</si>
  <si>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</si>
  <si>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</si>
  <si>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</si>
  <si>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</si>
  <si>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</si>
  <si>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</si>
  <si>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</si>
  <si>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</si>
  <si>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</si>
  <si>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</si>
  <si>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</si>
  <si>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</si>
  <si>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</si>
  <si>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</si>
  <si>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</si>
  <si>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</si>
  <si>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</si>
  <si>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</si>
  <si>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</si>
  <si>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</si>
  <si>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</si>
  <si>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</si>
  <si>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</si>
  <si>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</si>
  <si>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</si>
  <si>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</si>
  <si>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</si>
  <si>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</si>
  <si>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</si>
  <si>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</si>
  <si>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</si>
  <si>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</si>
  <si>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</si>
  <si>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</si>
  <si>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</si>
  <si>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</si>
  <si>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</si>
  <si>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</si>
  <si>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</si>
  <si>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</si>
  <si>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</si>
  <si>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</si>
  <si>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</si>
  <si>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</si>
  <si>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</si>
  <si>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</si>
  <si>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</si>
  <si>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</si>
  <si>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</si>
  <si>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</si>
  <si>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</si>
  <si>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</si>
  <si>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</si>
  <si>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</si>
  <si>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</si>
  <si>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</si>
  <si>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</si>
  <si>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</si>
  <si>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</si>
  <si>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</si>
  <si>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</si>
  <si>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</si>
  <si>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</si>
  <si>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</si>
  <si>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</si>
  <si>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</si>
  <si>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</si>
  <si>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</si>
  <si>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</si>
  <si>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</si>
  <si>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</si>
  <si>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</si>
  <si>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</si>
  <si>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</si>
  <si>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</si>
  <si>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</si>
  <si>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</si>
  <si>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</si>
  <si>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</si>
  <si>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</si>
  <si>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</si>
  <si>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</si>
  <si>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</si>
  <si>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</si>
  <si>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</si>
  <si>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</si>
  <si>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</si>
  <si>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</si>
  <si>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</si>
  <si>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</si>
  <si>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</si>
  <si>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</si>
  <si>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</si>
  <si>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</si>
  <si>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</si>
  <si>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</si>
  <si>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</si>
  <si>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</si>
  <si>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</si>
  <si>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</si>
  <si>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</si>
  <si>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</si>
  <si>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</si>
  <si>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</si>
  <si>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</si>
  <si>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</si>
  <si>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</si>
  <si>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</si>
  <si>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</si>
  <si>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</si>
  <si>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</si>
  <si>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</si>
  <si>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</si>
  <si>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</si>
  <si>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</si>
  <si>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</si>
  <si>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</si>
  <si>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</si>
  <si>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</si>
  <si>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</si>
  <si>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</si>
  <si>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</si>
  <si>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</si>
  <si>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</si>
  <si>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</si>
  <si>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</si>
  <si>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</si>
  <si>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</si>
  <si>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</si>
  <si>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</si>
  <si>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</si>
  <si>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</si>
  <si>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</si>
  <si>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</si>
  <si>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</si>
  <si>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</si>
  <si>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</si>
  <si>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</si>
  <si>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</si>
  <si>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</si>
  <si>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</si>
  <si>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</si>
  <si>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</si>
  <si>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</si>
  <si>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</si>
  <si>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</si>
  <si>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</si>
  <si>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</si>
  <si>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</si>
  <si>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</si>
  <si>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</si>
  <si>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</si>
  <si>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</si>
  <si>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</si>
  <si>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</si>
  <si>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</si>
  <si>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</si>
  <si>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</si>
  <si>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</si>
  <si>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</si>
  <si>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</si>
  <si>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</si>
  <si>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</si>
  <si>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</si>
  <si>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</si>
  <si>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</si>
  <si>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</si>
  <si>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</si>
  <si>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</si>
  <si>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</si>
  <si>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</si>
  <si>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</si>
  <si>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</si>
  <si>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</si>
  <si>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</si>
  <si>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</si>
  <si>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</si>
  <si>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</si>
  <si>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</si>
  <si>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</si>
  <si>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</si>
  <si>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</si>
  <si>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</si>
  <si>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</si>
  <si>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</si>
  <si>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</si>
  <si>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</si>
  <si>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</si>
  <si>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</si>
  <si>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</si>
  <si>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</si>
  <si>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</si>
  <si>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</si>
  <si>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</si>
  <si>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</si>
  <si>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</si>
  <si>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</si>
  <si>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</si>
  <si>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</si>
  <si>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</si>
  <si>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</si>
  <si>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</si>
  <si>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</si>
  <si>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</si>
  <si>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</si>
  <si>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</si>
  <si>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</si>
  <si>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</si>
  <si>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</si>
  <si>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</si>
  <si>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</si>
  <si>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</si>
  <si>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</si>
  <si>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</si>
  <si>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</si>
  <si>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</si>
  <si>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</si>
  <si>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</si>
  <si>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</si>
  <si>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</si>
  <si>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</si>
  <si>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</si>
  <si>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</si>
  <si>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</si>
  <si>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</si>
  <si>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</si>
  <si>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</si>
  <si>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</si>
  <si>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</si>
  <si>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</si>
  <si>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</si>
  <si>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</si>
  <si>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</si>
  <si>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</si>
  <si>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</si>
  <si>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</si>
  <si>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</si>
  <si>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</si>
  <si>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</si>
  <si>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</si>
  <si>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</si>
  <si>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</si>
  <si>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</si>
  <si>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</si>
  <si>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</si>
  <si>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</si>
  <si>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</si>
  <si>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</si>
  <si>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</si>
  <si>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</si>
  <si>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</si>
  <si>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</si>
  <si>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</si>
  <si>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</si>
  <si>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</si>
  <si>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</si>
  <si>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</si>
  <si>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</si>
  <si>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</si>
  <si>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</si>
  <si>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</si>
  <si>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</si>
  <si>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</si>
  <si>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</si>
  <si>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</si>
  <si>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</si>
  <si>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</si>
  <si>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</si>
  <si>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</si>
  <si>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</si>
  <si>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</si>
  <si>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</si>
  <si>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</si>
  <si>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</si>
  <si>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</si>
  <si>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</si>
  <si>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</si>
  <si>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</si>
  <si>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</si>
  <si>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</si>
  <si>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</si>
  <si>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</si>
  <si>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</si>
  <si>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</si>
  <si>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</si>
  <si>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</si>
  <si>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</si>
  <si>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</si>
  <si>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</si>
  <si>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</si>
  <si>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</si>
  <si>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</si>
  <si>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</si>
  <si>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</si>
  <si>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</si>
  <si>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</si>
  <si>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</si>
  <si>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</si>
  <si>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</si>
  <si>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</si>
  <si>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</si>
  <si>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</si>
  <si>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</si>
  <si>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</si>
  <si>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</si>
  <si>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</si>
  <si>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</si>
  <si>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</si>
  <si>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</si>
  <si>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</si>
  <si>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</si>
  <si>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</si>
  <si>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</si>
  <si>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</si>
  <si>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</si>
  <si>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</si>
  <si>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</si>
  <si>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</si>
  <si>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</si>
  <si>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</si>
  <si>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</si>
  <si>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</si>
  <si>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</si>
  <si>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</si>
  <si>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</si>
  <si>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</si>
  <si>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</si>
  <si>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</si>
  <si>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</si>
  <si>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</si>
  <si>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</si>
  <si>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</si>
  <si>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</si>
  <si>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</si>
  <si>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</si>
  <si>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</si>
  <si>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</si>
  <si>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</si>
  <si>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</si>
  <si>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</si>
  <si>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</si>
  <si>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</si>
  <si>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</si>
  <si>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</si>
  <si>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</si>
  <si>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</si>
  <si>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</si>
  <si>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</si>
  <si>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</si>
  <si>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</si>
  <si>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</si>
  <si>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</si>
  <si>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</si>
  <si>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</si>
  <si>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</si>
  <si>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</si>
  <si>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</si>
  <si>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</si>
  <si>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</si>
  <si>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</si>
  <si>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</si>
  <si>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</si>
  <si>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</si>
  <si>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</si>
  <si>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</si>
  <si>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</si>
  <si>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</si>
  <si>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</si>
  <si>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</si>
  <si>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</si>
  <si>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</si>
  <si>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</si>
  <si>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</si>
  <si>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</si>
  <si>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</si>
  <si>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</si>
  <si>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</si>
  <si>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</si>
  <si>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</si>
  <si>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</si>
  <si>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</si>
  <si>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</si>
  <si>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</si>
  <si>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</si>
  <si>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</si>
  <si>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</si>
  <si>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</si>
  <si>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</si>
  <si>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</si>
  <si>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</si>
  <si>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</si>
  <si>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</si>
  <si>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</si>
  <si>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</si>
  <si>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</si>
  <si>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</si>
  <si>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</si>
  <si>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</si>
  <si>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</si>
  <si>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</si>
  <si>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</si>
  <si>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</si>
  <si>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</si>
  <si>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</si>
  <si>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</si>
  <si>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</si>
  <si>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</si>
  <si>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</si>
  <si>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</si>
  <si>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</si>
  <si>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</si>
  <si>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</si>
  <si>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</si>
  <si>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</si>
  <si>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</si>
  <si>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</si>
  <si>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</si>
  <si>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</si>
  <si>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</si>
  <si>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</si>
  <si>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</si>
  <si>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</si>
  <si>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</si>
  <si>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</si>
  <si>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</si>
  <si>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</si>
  <si>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</si>
  <si>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</si>
  <si>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</si>
  <si>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</si>
  <si>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</si>
  <si>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</si>
  <si>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</si>
  <si>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</si>
  <si>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</si>
  <si>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</si>
  <si>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</si>
  <si>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</si>
  <si>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</si>
  <si>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否</t>
  </si>
  <si>
    <t>通路</t>
  </si>
  <si>
    <t>通电</t>
  </si>
  <si>
    <t>通讯</t>
  </si>
  <si>
    <t>通上水</t>
  </si>
  <si>
    <t>通下水</t>
  </si>
  <si>
    <t>平整</t>
  </si>
  <si>
    <t>现房</t>
  </si>
  <si>
    <t>办公项目</t>
  </si>
  <si>
    <t>loft</t>
    <phoneticPr fontId="6" type="noConversion"/>
  </si>
  <si>
    <t>是</t>
  </si>
  <si>
    <t>地上</t>
  </si>
  <si>
    <t>办公楼</t>
  </si>
  <si>
    <t>办公</t>
    <phoneticPr fontId="7" type="noConversion"/>
  </si>
  <si>
    <t>成新度</t>
  </si>
  <si>
    <t>直线</t>
    <phoneticPr fontId="3" type="noConversion"/>
  </si>
  <si>
    <t>观察</t>
    <phoneticPr fontId="3" type="noConversion"/>
  </si>
  <si>
    <t>综合</t>
    <phoneticPr fontId="3" type="noConversion"/>
  </si>
  <si>
    <t>利息：取LPR加浮动点数</t>
  </si>
  <si>
    <t>收益法 (元)</t>
  </si>
  <si>
    <t>押一</t>
  </si>
  <si>
    <t>钢混</t>
  </si>
  <si>
    <t>非生产用房</t>
  </si>
  <si>
    <t>比较法-办公</t>
  </si>
  <si>
    <t>项目局部</t>
  </si>
  <si>
    <t>售价</t>
  </si>
  <si>
    <t>正常</t>
  </si>
  <si>
    <t>办公</t>
    <phoneticPr fontId="31"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</si>
  <si>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</si>
  <si>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</si>
  <si>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</si>
  <si>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</si>
  <si>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</si>
  <si>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</si>
  <si>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</si>
  <si>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高</t>
    <phoneticPr fontId="31" type="noConversion"/>
  </si>
  <si>
    <t>中</t>
  </si>
  <si>
    <t>中</t>
    <phoneticPr fontId="31" type="noConversion"/>
  </si>
  <si>
    <t>低</t>
    <phoneticPr fontId="31"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</si>
  <si>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</si>
  <si>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</si>
  <si>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</si>
  <si>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</si>
  <si>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</si>
  <si>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</si>
  <si>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</si>
  <si>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</si>
  <si>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</si>
  <si>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</si>
  <si>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</si>
  <si>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</si>
  <si>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</si>
  <si>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</si>
  <si>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</si>
  <si>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</si>
  <si>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</si>
  <si>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</si>
  <si>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</si>
  <si>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</si>
  <si>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</si>
  <si>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</si>
  <si>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</si>
  <si>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</si>
  <si>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普通装修</t>
  </si>
  <si>
    <t>五通</t>
  </si>
  <si>
    <t>楼面单价</t>
  </si>
  <si>
    <t>收益比率</t>
  </si>
  <si>
    <t>=2015+2</t>
    <phoneticPr fontId="6" type="noConversion"/>
  </si>
  <si>
    <t>朝阳区朝阳门外大街18号</t>
  </si>
  <si>
    <t>企业</t>
  </si>
  <si>
    <t>郑燚</t>
  </si>
  <si>
    <t>吴薇</t>
  </si>
  <si>
    <t>原件</t>
  </si>
  <si>
    <t>估价对象位于朝阳门商圈，周边办公楼项目较多，有联合大厦、华普国际大厦等写字楼，入驻率高，办公集聚程度较好</t>
  </si>
  <si>
    <t>周边有75、110、420路及地铁2号、6号线，周边道路密集，停车便捷程度，综合评价交通便捷度好</t>
  </si>
  <si>
    <t>估价对象所在区域银行、购物场所、学校等公共配套设施齐备，综合评价公共配套设施水平好。</t>
  </si>
  <si>
    <t>估价对象所在区域基础设施水平“七通一平</t>
  </si>
  <si>
    <t>区域内有东城职业大学、日坛公园、富国海底世界等自然及人文环境，综合评价自然及人文环境状况较好。</t>
  </si>
  <si>
    <t>城市主干道——朝阳门外大街</t>
  </si>
  <si>
    <t>丰联广场</t>
    <phoneticPr fontId="3" type="noConversion"/>
  </si>
  <si>
    <t>好</t>
  </si>
  <si>
    <t>主干道</t>
  </si>
  <si>
    <t>朝外大街</t>
    <phoneticPr fontId="31" type="noConversion"/>
  </si>
  <si>
    <t>标准层高</t>
  </si>
  <si>
    <t>楼层</t>
  </si>
  <si>
    <t>高区</t>
  </si>
  <si>
    <t>中区</t>
  </si>
  <si>
    <t>低区</t>
  </si>
  <si>
    <t>情况3</t>
  </si>
  <si>
    <t>自行开发建设</t>
  </si>
  <si>
    <t>出让金+开发费</t>
  </si>
  <si>
    <t>企业提供（在右侧录入）</t>
  </si>
  <si>
    <t>非个人房产</t>
  </si>
  <si>
    <t>估价结果一览表</t>
  </si>
  <si>
    <t>抵押物名称</t>
  </si>
  <si>
    <t>总建筑面积</t>
  </si>
  <si>
    <t>土地面积</t>
  </si>
  <si>
    <t>出让国有建设用地使用权价值</t>
    <phoneticPr fontId="3" type="noConversion"/>
  </si>
  <si>
    <t>建筑物价值</t>
  </si>
  <si>
    <t>房地产价值</t>
  </si>
  <si>
    <t>总 价</t>
  </si>
  <si>
    <t>合计</t>
  </si>
  <si>
    <t>大写金额</t>
    <phoneticPr fontId="3" type="noConversion"/>
  </si>
  <si>
    <t>房地产估价师知悉的法定优先受偿款</t>
  </si>
  <si>
    <t>大写金额</t>
  </si>
  <si>
    <t>总建筑面积</t>
    <phoneticPr fontId="3" type="noConversion"/>
  </si>
  <si>
    <t>总土地面积</t>
    <phoneticPr fontId="3" type="noConversion"/>
  </si>
  <si>
    <t>土地与建筑物价值分配原则</t>
    <phoneticPr fontId="3" type="noConversion"/>
  </si>
  <si>
    <t>收益法收益比率</t>
  </si>
  <si>
    <t>土地价值</t>
    <phoneticPr fontId="3" type="noConversion"/>
  </si>
  <si>
    <t>建筑物价值</t>
    <phoneticPr fontId="3" type="noConversion"/>
  </si>
  <si>
    <t>面积</t>
    <phoneticPr fontId="134" type="noConversion"/>
  </si>
  <si>
    <t>单价</t>
    <phoneticPr fontId="134" type="noConversion"/>
  </si>
  <si>
    <t>楼层</t>
    <phoneticPr fontId="134" type="noConversion"/>
  </si>
  <si>
    <t>装修</t>
    <phoneticPr fontId="134" type="noConversion"/>
  </si>
  <si>
    <t>物业费</t>
    <phoneticPr fontId="134" type="noConversion"/>
  </si>
  <si>
    <t>能源费</t>
    <phoneticPr fontId="134" type="noConversion"/>
  </si>
  <si>
    <t>净租金</t>
    <phoneticPr fontId="134" type="noConversion"/>
  </si>
  <si>
    <t>万科住总金域国际</t>
    <phoneticPr fontId="134" type="noConversion"/>
  </si>
  <si>
    <t>高区</t>
    <phoneticPr fontId="134" type="noConversion"/>
  </si>
  <si>
    <t>普装</t>
    <phoneticPr fontId="134" type="noConversion"/>
  </si>
  <si>
    <t>万科住总金域国际</t>
    <phoneticPr fontId="134" type="noConversion"/>
  </si>
  <si>
    <t>低区</t>
    <phoneticPr fontId="134" type="noConversion"/>
  </si>
  <si>
    <t>普装</t>
    <phoneticPr fontId="134" type="noConversion"/>
  </si>
  <si>
    <t>普装</t>
    <phoneticPr fontId="134" type="noConversion"/>
  </si>
  <si>
    <t>低</t>
  </si>
  <si>
    <t>银鼎投资（北京）有限公司</t>
    <phoneticPr fontId="3" type="noConversion"/>
  </si>
  <si>
    <t>总建筑面积</t>
    <phoneticPr fontId="3" type="noConversion"/>
  </si>
  <si>
    <t>总土地面积</t>
    <phoneticPr fontId="3" type="noConversion"/>
  </si>
  <si>
    <t>项目模式</t>
  </si>
  <si>
    <t>收益法</t>
  </si>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</sst>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1"/>
      <name val="楷体_GB2312"/>
      <family val="3"/>
      <charset val="134"/>
    </font>
    <font>
      <sz val="10"/>
      <color theme="1"/>
      <name val="Arial Unicode MS"/>
      <family val="2"/>
      <charset val="134"/>
    </font>
    <font>
      <b/>
      <sz val="10"/>
      <color indexed="8"/>
      <name val="Arial Unicode MS"/>
      <family val="2"/>
      <charset val="134"/>
    </font>
    <font>
      <sz val="10"/>
      <color indexed="8"/>
      <name val="Arial Unicode MS"/>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77" fillId="12" borderId="0" xfId="0" applyFont="1" applyFill="1" applyAlignment="1" applyProtection="1">
      <alignment vertical="center"/>
      <protection locked="0"/>
    </xf>
    <xf numFmtId="9" fontId="47" fillId="12" borderId="0" xfId="17"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69" fillId="0" borderId="9" xfId="0" applyFont="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183" fontId="47" fillId="8" borderId="1" xfId="0" applyNumberFormat="1" applyFont="1" applyFill="1" applyBorder="1" applyAlignment="1" applyProtection="1">
      <alignment horizontal="center" vertical="center" shrinkToFit="1"/>
      <protection locked="0"/>
    </xf>
    <xf numFmtId="0" fontId="47" fillId="0" borderId="24" xfId="0" applyFont="1" applyBorder="1" applyAlignment="1" applyProtection="1">
      <alignment vertical="center"/>
      <protection locked="0"/>
    </xf>
    <xf numFmtId="0" fontId="47" fillId="7" borderId="54" xfId="0" applyFont="1" applyFill="1" applyBorder="1" applyAlignment="1" applyProtection="1">
      <alignment vertical="center"/>
      <protection locked="0"/>
    </xf>
    <xf numFmtId="0" fontId="47" fillId="7" borderId="150" xfId="0" applyFont="1" applyFill="1" applyBorder="1" applyAlignment="1" applyProtection="1">
      <alignment vertical="center"/>
      <protection locked="0"/>
    </xf>
    <xf numFmtId="0" fontId="94" fillId="0" borderId="54" xfId="0" applyNumberFormat="1" applyFont="1" applyFill="1" applyBorder="1" applyAlignment="1" applyProtection="1">
      <alignment horizontal="center" vertical="center" wrapText="1"/>
      <protection locked="0"/>
    </xf>
    <xf numFmtId="0" fontId="47" fillId="0" borderId="108" xfId="0" applyNumberFormat="1" applyFont="1" applyFill="1" applyBorder="1" applyAlignment="1" applyProtection="1">
      <alignment horizontal="center" vertical="center" wrapText="1"/>
      <protection locked="0"/>
    </xf>
    <xf numFmtId="1" fontId="98" fillId="7" borderId="0" xfId="0" applyNumberFormat="1" applyFont="1" applyFill="1" applyProtection="1">
      <alignment vertical="center"/>
      <protection locked="0"/>
    </xf>
    <xf numFmtId="0" fontId="270" fillId="0" borderId="0" xfId="10" applyFont="1">
      <alignment vertical="center"/>
    </xf>
    <xf numFmtId="0" fontId="270" fillId="0" borderId="0" xfId="0" applyFont="1">
      <alignment vertical="center"/>
    </xf>
    <xf numFmtId="0" fontId="272" fillId="0" borderId="1" xfId="10" applyFont="1" applyBorder="1" applyAlignment="1">
      <alignment horizontal="center" vertical="center" wrapText="1"/>
    </xf>
    <xf numFmtId="0" fontId="272" fillId="0" borderId="3" xfId="10" applyFont="1" applyBorder="1" applyAlignment="1">
      <alignment horizontal="center" vertical="center" wrapText="1"/>
    </xf>
    <xf numFmtId="0" fontId="271" fillId="6" borderId="23" xfId="10" applyFont="1" applyFill="1" applyBorder="1" applyAlignment="1">
      <alignment horizontal="center" vertical="center"/>
    </xf>
    <xf numFmtId="0" fontId="272" fillId="6" borderId="1" xfId="10" applyFont="1" applyFill="1" applyBorder="1">
      <alignment vertical="center"/>
    </xf>
    <xf numFmtId="0" fontId="272" fillId="5" borderId="5" xfId="10" applyFont="1" applyFill="1" applyBorder="1">
      <alignment vertical="center"/>
    </xf>
    <xf numFmtId="0" fontId="271" fillId="5" borderId="1" xfId="10" applyFont="1" applyFill="1" applyBorder="1" applyAlignment="1" applyProtection="1">
      <alignment horizontal="right" vertical="center"/>
      <protection locked="0"/>
    </xf>
    <xf numFmtId="0" fontId="271" fillId="6" borderId="69" xfId="10" applyFont="1" applyFill="1" applyBorder="1" applyAlignment="1">
      <alignment horizontal="left" vertical="center"/>
    </xf>
    <xf numFmtId="0" fontId="272" fillId="6" borderId="7" xfId="10" applyFont="1" applyFill="1" applyBorder="1" applyAlignment="1">
      <alignment horizontal="right" vertical="center"/>
    </xf>
    <xf numFmtId="0" fontId="271" fillId="6" borderId="4" xfId="10" applyFont="1" applyFill="1" applyBorder="1" applyAlignment="1">
      <alignment horizontal="center" vertical="center"/>
    </xf>
    <xf numFmtId="181" fontId="272" fillId="6" borderId="4" xfId="10" applyNumberFormat="1" applyFont="1" applyFill="1" applyBorder="1">
      <alignment vertical="center"/>
    </xf>
    <xf numFmtId="0" fontId="271" fillId="6" borderId="38" xfId="10" applyFont="1" applyFill="1" applyBorder="1" applyAlignment="1">
      <alignment horizontal="left" vertical="center"/>
    </xf>
    <xf numFmtId="0" fontId="272" fillId="6" borderId="22" xfId="10" applyFont="1" applyFill="1" applyBorder="1" applyAlignment="1">
      <alignment horizontal="right" vertical="center"/>
    </xf>
    <xf numFmtId="0" fontId="271" fillId="6" borderId="46" xfId="10" applyFont="1" applyFill="1" applyBorder="1" applyAlignment="1">
      <alignment horizontal="center" vertical="center"/>
    </xf>
    <xf numFmtId="0" fontId="77" fillId="7" borderId="5" xfId="0" applyFont="1" applyFill="1" applyBorder="1" applyAlignment="1" applyProtection="1">
      <alignment vertical="center"/>
      <protection locked="0"/>
    </xf>
    <xf numFmtId="0" fontId="95" fillId="0" borderId="0" xfId="0" applyFont="1">
      <alignment vertical="center"/>
    </xf>
    <xf numFmtId="2" fontId="0" fillId="0" borderId="0" xfId="0" applyNumberFormat="1">
      <alignment vertical="center"/>
    </xf>
    <xf numFmtId="0" fontId="47" fillId="12" borderId="0" xfId="0" applyFont="1" applyFill="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272" fillId="0" borderId="1" xfId="10" applyFont="1" applyBorder="1" applyAlignment="1">
      <alignment horizontal="center" vertical="center" wrapText="1"/>
    </xf>
    <xf numFmtId="196" fontId="271" fillId="0" borderId="5" xfId="10" applyNumberFormat="1" applyFont="1" applyBorder="1" applyAlignment="1">
      <alignment horizontal="center" vertical="center" wrapText="1"/>
    </xf>
    <xf numFmtId="196" fontId="271" fillId="0" borderId="54" xfId="10" applyNumberFormat="1" applyFont="1" applyBorder="1" applyAlignment="1">
      <alignment horizontal="center" vertical="center" wrapText="1"/>
    </xf>
    <xf numFmtId="196" fontId="271" fillId="0" borderId="3" xfId="10" applyNumberFormat="1" applyFont="1" applyBorder="1" applyAlignment="1">
      <alignment horizontal="center" vertical="center" wrapText="1"/>
    </xf>
    <xf numFmtId="0" fontId="271" fillId="0" borderId="1" xfId="10" applyFont="1" applyBorder="1" applyAlignment="1">
      <alignment horizontal="center" vertical="center" wrapText="1"/>
    </xf>
    <xf numFmtId="0" fontId="271" fillId="0" borderId="5" xfId="10" applyFont="1" applyBorder="1" applyAlignment="1">
      <alignment horizontal="center" vertical="center" wrapText="1"/>
    </xf>
    <xf numFmtId="0" fontId="271" fillId="0" borderId="54" xfId="10" applyFont="1" applyBorder="1" applyAlignment="1">
      <alignment horizontal="center" vertical="center" wrapText="1"/>
    </xf>
    <xf numFmtId="0" fontId="271" fillId="0" borderId="3" xfId="10" applyFont="1" applyBorder="1" applyAlignment="1">
      <alignment horizontal="center" vertical="center" wrapText="1"/>
    </xf>
    <xf numFmtId="0" fontId="272" fillId="0" borderId="5" xfId="10" applyFont="1" applyBorder="1" applyAlignment="1">
      <alignment horizontal="center" vertical="center" wrapText="1"/>
    </xf>
    <xf numFmtId="0" fontId="272" fillId="0" borderId="3" xfId="10" applyFont="1" applyBorder="1" applyAlignment="1">
      <alignment horizontal="center" vertical="center" wrapText="1"/>
    </xf>
    <xf numFmtId="196" fontId="272" fillId="0" borderId="1" xfId="10" applyNumberFormat="1" applyFont="1" applyBorder="1" applyAlignment="1">
      <alignment horizontal="center" vertical="center" wrapText="1"/>
    </xf>
    <xf numFmtId="0" fontId="271" fillId="2" borderId="1" xfId="1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2/2022-1-0079&#20016;&#32852;&#24191;&#22330;&#21150;&#20844;&#29992;&#25151;/&#26368;&#32456;/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3707;&#23572;&#31354;&#38388;702-&#21608;&#24420;20230129-093627-&#36213;&#38639;20230129-10154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收益法 (元)"/>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I118">
            <v>22676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北京市朝阳区朝阳门外大街18号房地产抵押价值预评估</v>
      </c>
    </row>
    <row r="3" spans="1:2" s="1201" customFormat="1">
      <c r="A3" s="1199" t="s">
        <v>523</v>
      </c>
      <c r="B3" s="1200">
        <f>'预评函-封皮'!B40</f>
        <v>0</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受贵公司委托，我公司对北京市朝阳区朝阳门外大街18号房地产抵押价值进行了预评估。</v>
      </c>
    </row>
    <row r="7" spans="1:2" s="1201" customFormat="1">
      <c r="A7" s="1199" t="s">
        <v>566</v>
      </c>
      <c r="B7" s="1200" t="str">
        <f>'预评函-1'!A7</f>
        <v>估价对象为北京市朝阳区朝阳门外大街18号房地产，为银鼎投资（北京）有限公司所有。根据《国有土地使用证》[]，估价对象（分摊）出让国有建设用地使用权面积为396.01平方米，建筑面积为3455.7平方米。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朝阳区朝阳门外大街18号房地产,属银鼎投资（北京）有限公司开发建设的办公项目，该项目尚在开发建设中。根据《国有土地使用证》[]，估价对象（分摊）出让国有建设用地使用权面积为396.01平方米，规划建筑面积为3455.7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2023年4月21日（评估专业人员实地查勘之日）</v>
      </c>
    </row>
    <row r="13" spans="1:2" s="1201" customFormat="1">
      <c r="A13" s="1199" t="s">
        <v>529</v>
      </c>
      <c r="B13" s="1200" t="str">
        <f>'预评函-1'!A18</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12008</v>
      </c>
    </row>
    <row r="21" spans="1:2" s="1201" customFormat="1">
      <c r="A21" s="1199" t="s">
        <v>537</v>
      </c>
      <c r="B21" s="1200">
        <f ca="1">'预评函-2'!D7</f>
        <v>34749</v>
      </c>
    </row>
    <row r="22" spans="1:2" s="1201" customFormat="1">
      <c r="A22" s="1199" t="s">
        <v>538</v>
      </c>
      <c r="B22" s="1200" t="str">
        <f ca="1">'预评函-2'!D6</f>
        <v>壹亿贰仟零捌万元整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12008</v>
      </c>
    </row>
    <row r="31" spans="1:2" s="1201" customFormat="1">
      <c r="A31" s="1199" t="s">
        <v>576</v>
      </c>
      <c r="B31" s="1200">
        <f ca="1">'预评函-2'!D15</f>
        <v>34749</v>
      </c>
    </row>
    <row r="32" spans="1:2" s="1201" customFormat="1">
      <c r="A32" s="1199" t="s">
        <v>543</v>
      </c>
      <c r="B32" s="1200" t="str">
        <f ca="1">'预评函-2'!D14</f>
        <v>壹亿贰仟零捌万元整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9235</v>
      </c>
    </row>
    <row r="39" spans="1:2" s="1201" customFormat="1">
      <c r="A39" s="1199" t="s">
        <v>545</v>
      </c>
      <c r="B39" s="1200">
        <f ca="1">'预评函-2'!D21</f>
        <v>26724</v>
      </c>
    </row>
    <row r="40" spans="1:2" s="1201" customFormat="1">
      <c r="A40" s="1199" t="s">
        <v>546</v>
      </c>
      <c r="B40" s="1200" t="str">
        <f ca="1">'预评函-2'!D20</f>
        <v>玖仟贰佰叁拾伍万元整</v>
      </c>
    </row>
    <row r="41" spans="1:2" s="1201" customFormat="1">
      <c r="A41" s="1199" t="s">
        <v>592</v>
      </c>
      <c r="B41" s="1200" t="str">
        <f>'预评函-3'!A4</f>
        <v>北京市朝阳区朝阳门外大街18号房地产</v>
      </c>
    </row>
    <row r="42" spans="1:2" s="1201" customFormat="1">
      <c r="A42" s="1199" t="s">
        <v>590</v>
      </c>
      <c r="B42" s="1200" t="str">
        <f>'预评函-3'!B2</f>
        <v>建筑面积</v>
      </c>
    </row>
    <row r="43" spans="1:2" s="1201" customFormat="1">
      <c r="A43" s="1199" t="s">
        <v>591</v>
      </c>
      <c r="B43" s="1200">
        <f>'预评函-3'!B4</f>
        <v>3455.7</v>
      </c>
    </row>
    <row r="44" spans="1:2" s="1201" customFormat="1">
      <c r="A44" s="1199" t="s">
        <v>575</v>
      </c>
      <c r="B44" s="1200" t="str">
        <f>'预评函-3'!C2</f>
        <v>(分摊)土地面积</v>
      </c>
    </row>
    <row r="45" spans="1:2" s="1201" customFormat="1">
      <c r="A45" s="1199" t="s">
        <v>547</v>
      </c>
      <c r="B45" s="1200">
        <f>'预评函-3'!C4</f>
        <v>396.01</v>
      </c>
    </row>
    <row r="46" spans="1:2" s="1201" customFormat="1">
      <c r="A46" s="1199" t="s">
        <v>573</v>
      </c>
      <c r="B46" s="1200" t="str">
        <f>'预评函-3'!D2</f>
        <v>出让国有建设用地使用权价值</v>
      </c>
    </row>
    <row r="47" spans="1:2" s="1201" customFormat="1">
      <c r="A47" s="1199" t="s">
        <v>548</v>
      </c>
      <c r="B47" s="1200">
        <f ca="1">'预评函-3'!D4</f>
        <v>10111</v>
      </c>
    </row>
    <row r="48" spans="1:2" s="1201" customFormat="1">
      <c r="A48" s="1199" t="s">
        <v>549</v>
      </c>
      <c r="B48" s="1200">
        <f ca="1">'预评函-3'!E4</f>
        <v>29259</v>
      </c>
    </row>
    <row r="49" spans="1:2" s="1201" customFormat="1">
      <c r="A49" s="1199" t="s">
        <v>550</v>
      </c>
      <c r="B49" s="1200" t="str">
        <f ca="1">'预评函-3'!D5</f>
        <v>壹亿零壹佰壹拾壹万元整</v>
      </c>
    </row>
    <row r="50" spans="1:2" s="1201" customFormat="1">
      <c r="A50" s="1199" t="s">
        <v>574</v>
      </c>
      <c r="B50" s="1200" t="str">
        <f>'预评函-3'!F2</f>
        <v>在建建筑物价值</v>
      </c>
    </row>
    <row r="51" spans="1:2" s="1201" customFormat="1">
      <c r="A51" s="1199" t="s">
        <v>551</v>
      </c>
      <c r="B51" s="1200">
        <f ca="1">'预评函-3'!F4</f>
        <v>1897</v>
      </c>
    </row>
    <row r="52" spans="1:2" s="1201" customFormat="1">
      <c r="A52" s="1199" t="s">
        <v>552</v>
      </c>
      <c r="B52" s="1200">
        <f ca="1">'预评函-3'!G4</f>
        <v>5490</v>
      </c>
    </row>
    <row r="53" spans="1:2" s="1201" customFormat="1">
      <c r="A53" s="1199" t="s">
        <v>580</v>
      </c>
      <c r="B53" s="1200" t="str">
        <f ca="1">'预评函-3'!F5</f>
        <v>壹仟捌佰玖拾柒万元整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11" sqref="E11"/>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2571</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2572</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2284</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1552" t="s">
        <v>385</v>
      </c>
      <c r="C54" s="1549" t="s">
        <v>583</v>
      </c>
    </row>
    <row r="55" spans="1:4">
      <c r="A55" s="3516"/>
      <c r="B55" s="1552" t="s">
        <v>386</v>
      </c>
      <c r="C55" s="1549" t="s">
        <v>584</v>
      </c>
    </row>
    <row r="56" spans="1:4">
      <c r="A56" s="3516"/>
      <c r="B56" s="1552" t="s">
        <v>387</v>
      </c>
      <c r="C56" s="1549" t="s">
        <v>588</v>
      </c>
    </row>
    <row r="57" spans="1:4">
      <c r="A57" s="351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2494</v>
      </c>
      <c r="B1" s="3007"/>
      <c r="C1" s="3007"/>
      <c r="D1" s="3007"/>
      <c r="E1" s="3007"/>
      <c r="F1" s="3008"/>
      <c r="I1" s="3432" t="s">
        <v>2587</v>
      </c>
      <c r="J1" s="3220"/>
      <c r="K1" s="3220"/>
      <c r="L1" s="3220"/>
      <c r="M1" s="3220"/>
      <c r="N1" s="3433"/>
      <c r="O1" s="3433"/>
      <c r="P1" s="3433"/>
      <c r="Q1" s="3433"/>
      <c r="R1" s="3433"/>
    </row>
    <row r="2" spans="1:18">
      <c r="A2" s="3010"/>
      <c r="B2" s="3011"/>
      <c r="C2" s="3011"/>
      <c r="D2" s="3011"/>
      <c r="E2" s="3011"/>
      <c r="F2" s="3012"/>
      <c r="I2" s="3517" t="s">
        <v>2574</v>
      </c>
      <c r="J2" s="3517"/>
      <c r="K2" s="3517"/>
      <c r="L2" s="3517"/>
      <c r="M2" s="3517"/>
      <c r="N2" s="3517"/>
      <c r="O2" s="3517"/>
      <c r="P2" s="3517"/>
      <c r="Q2" s="3517"/>
      <c r="R2" s="3517"/>
    </row>
    <row r="3" spans="1:18">
      <c r="A3" s="3013" t="s">
        <v>2495</v>
      </c>
      <c r="B3" s="3014">
        <f>项目基本情况!D3</f>
        <v>45037</v>
      </c>
      <c r="C3" s="3016"/>
      <c r="D3" s="3016"/>
      <c r="E3" s="3016"/>
      <c r="F3" s="3012"/>
      <c r="I3" s="3434"/>
      <c r="J3" s="3434" t="s">
        <v>2578</v>
      </c>
      <c r="K3" s="3434" t="s">
        <v>2579</v>
      </c>
      <c r="L3" s="3434" t="s">
        <v>2580</v>
      </c>
      <c r="M3" s="3434" t="s">
        <v>2581</v>
      </c>
      <c r="N3" s="3435" t="s">
        <v>2582</v>
      </c>
      <c r="O3" s="3435" t="s">
        <v>2583</v>
      </c>
      <c r="P3" s="3435" t="s">
        <v>2584</v>
      </c>
      <c r="Q3" s="3435" t="s">
        <v>2585</v>
      </c>
      <c r="R3" s="3435" t="s">
        <v>2586</v>
      </c>
    </row>
    <row r="4" spans="1:18">
      <c r="A4" s="3013" t="s">
        <v>2496</v>
      </c>
      <c r="B4" s="3016" t="s">
        <v>2497</v>
      </c>
      <c r="C4" s="3016" t="s">
        <v>2498</v>
      </c>
      <c r="D4" s="3016" t="s">
        <v>2499</v>
      </c>
      <c r="E4" s="3016" t="s">
        <v>2500</v>
      </c>
      <c r="F4" s="3012"/>
      <c r="I4" s="3434" t="s">
        <v>2575</v>
      </c>
      <c r="J4" s="3434">
        <v>80</v>
      </c>
      <c r="K4" s="3434">
        <v>70</v>
      </c>
      <c r="L4" s="3434">
        <v>20</v>
      </c>
      <c r="M4" s="3434">
        <v>30</v>
      </c>
      <c r="N4" s="3016">
        <v>45</v>
      </c>
      <c r="O4" s="3016">
        <v>60</v>
      </c>
      <c r="P4" s="3016">
        <v>50</v>
      </c>
      <c r="Q4" s="3016">
        <v>20</v>
      </c>
      <c r="R4" s="3016">
        <v>375</v>
      </c>
    </row>
    <row r="5" spans="1:18">
      <c r="A5" s="3017">
        <v>40</v>
      </c>
      <c r="B5" s="3014">
        <v>46375</v>
      </c>
      <c r="C5" s="3016">
        <f>ROUNDDOWN(MIN((B5-B3)/365,A5),2)</f>
        <v>3.66</v>
      </c>
      <c r="D5" s="3018">
        <f>IF(ISERROR(ROUND(POWER(1+E5,A5-C5)*(POWER(1+E5,C5)-1)/(POWER(1+E5,A5)-1),3)),0,ROUND(POWER(1+E5,A5-C5)*(POWER(1+E5,C5)-1)/(POWER(1+E5,A5)-1),4))</f>
        <v>0.16889999999999999</v>
      </c>
      <c r="E5" s="3019">
        <v>0.04</v>
      </c>
      <c r="F5" s="3012"/>
      <c r="I5" s="3434" t="s">
        <v>2576</v>
      </c>
      <c r="J5" s="3434">
        <v>70</v>
      </c>
      <c r="K5" s="3434">
        <v>60</v>
      </c>
      <c r="L5" s="3434">
        <v>15</v>
      </c>
      <c r="M5" s="3434">
        <v>25</v>
      </c>
      <c r="N5" s="3016">
        <v>40</v>
      </c>
      <c r="O5" s="3016">
        <v>50</v>
      </c>
      <c r="P5" s="3016">
        <v>40</v>
      </c>
      <c r="Q5" s="3016">
        <v>15</v>
      </c>
      <c r="R5" s="3016">
        <v>315</v>
      </c>
    </row>
    <row r="6" spans="1:18">
      <c r="A6" s="3017">
        <v>50</v>
      </c>
      <c r="B6" s="3014">
        <v>50028</v>
      </c>
      <c r="C6" s="3016">
        <f>ROUNDDOWN(MIN((B6-B3)/365,A6),2)</f>
        <v>13.67</v>
      </c>
      <c r="D6" s="3018">
        <f>IF(ISERROR(ROUND(POWER(1+E6,A6-C6)*(POWER(1+E6,C6)-1)/(POWER(1+E6,A6)-1),3)),0,ROUND(POWER(1+E6,A6-C6)*(POWER(1+E6,C6)-1)/(POWER(1+E6,A6)-1),4))</f>
        <v>0.48299999999999998</v>
      </c>
      <c r="E6" s="3019">
        <v>0.04</v>
      </c>
      <c r="F6" s="3012"/>
      <c r="I6" s="3434" t="s">
        <v>2577</v>
      </c>
      <c r="J6" s="3434">
        <v>60</v>
      </c>
      <c r="K6" s="3434">
        <v>50</v>
      </c>
      <c r="L6" s="3434">
        <v>10</v>
      </c>
      <c r="M6" s="3434">
        <v>20</v>
      </c>
      <c r="N6" s="3016">
        <v>35</v>
      </c>
      <c r="O6" s="3016">
        <v>40</v>
      </c>
      <c r="P6" s="3016">
        <v>30</v>
      </c>
      <c r="Q6" s="3016">
        <v>10</v>
      </c>
      <c r="R6" s="3016">
        <v>255</v>
      </c>
    </row>
    <row r="7" spans="1:18">
      <c r="A7" s="3017">
        <v>70</v>
      </c>
      <c r="B7" s="3014">
        <v>57333</v>
      </c>
      <c r="C7" s="3016">
        <f>ROUNDDOWN(MIN((B7-B3)/365,A7),2)</f>
        <v>33.68</v>
      </c>
      <c r="D7" s="3018">
        <f>IF(ISERROR(ROUND(POWER(1+E7,A7-C7)*(POWER(1+E7,C7)-1)/(POWER(1+E7,A7)-1),3)),0,ROUND(POWER(1+E7,A7-C7)*(POWER(1+E7,C7)-1)/(POWER(1+E7,A7)-1),4))</f>
        <v>0.78339999999999999</v>
      </c>
      <c r="E7" s="3019">
        <v>0.04</v>
      </c>
      <c r="F7" s="3012"/>
    </row>
    <row r="8" spans="1:18">
      <c r="A8" s="3010"/>
      <c r="B8" s="3011"/>
      <c r="C8" s="3011"/>
      <c r="D8" s="3011"/>
      <c r="E8" s="3011"/>
      <c r="F8" s="3012"/>
    </row>
    <row r="9" spans="1:18">
      <c r="A9" s="3013" t="s">
        <v>2501</v>
      </c>
      <c r="B9" s="3016"/>
      <c r="C9" s="3016"/>
      <c r="D9" s="3016"/>
      <c r="E9" s="3016"/>
      <c r="F9" s="3020"/>
    </row>
    <row r="10" spans="1:18">
      <c r="A10" s="3013" t="s">
        <v>2502</v>
      </c>
      <c r="B10" s="3016"/>
      <c r="C10" s="3016"/>
      <c r="D10" s="3016" t="s">
        <v>2500</v>
      </c>
      <c r="E10" s="3016"/>
      <c r="F10" s="3020" t="s">
        <v>2499</v>
      </c>
    </row>
    <row r="11" spans="1:18">
      <c r="A11" s="3013" t="s">
        <v>2503</v>
      </c>
      <c r="B11" s="3021">
        <v>70</v>
      </c>
      <c r="C11" s="3016" t="s">
        <v>2504</v>
      </c>
      <c r="D11" s="3022">
        <v>4.4999999999999998E-2</v>
      </c>
      <c r="E11" s="3016" t="s">
        <v>2505</v>
      </c>
      <c r="F11" s="3023">
        <f>ROUND(1-(1/(POWER(1+D11,B11))),4)</f>
        <v>0.95409999999999995</v>
      </c>
    </row>
    <row r="12" spans="1:18">
      <c r="A12" s="3013" t="s">
        <v>2506</v>
      </c>
      <c r="B12" s="3021">
        <v>40</v>
      </c>
      <c r="C12" s="3016" t="s">
        <v>2507</v>
      </c>
      <c r="D12" s="3022">
        <v>4.4999999999999998E-2</v>
      </c>
      <c r="E12" s="3016" t="s">
        <v>2508</v>
      </c>
      <c r="F12" s="3023">
        <f>ROUND(1-(1/(POWER(1+D12,B12))),4)</f>
        <v>0.82809999999999995</v>
      </c>
    </row>
    <row r="13" spans="1:18">
      <c r="A13" s="3013" t="s">
        <v>2509</v>
      </c>
      <c r="B13" s="3016"/>
      <c r="C13" s="3016"/>
      <c r="D13" s="3011"/>
      <c r="E13" s="3011"/>
      <c r="F13" s="3012"/>
    </row>
    <row r="14" spans="1:18">
      <c r="A14" s="3013" t="s">
        <v>2510</v>
      </c>
      <c r="B14" s="3021">
        <v>5000</v>
      </c>
      <c r="C14" s="3015"/>
      <c r="D14" s="3011"/>
      <c r="E14" s="3011"/>
      <c r="F14" s="3012"/>
    </row>
    <row r="15" spans="1:18">
      <c r="A15" s="3013" t="s">
        <v>2511</v>
      </c>
      <c r="B15" s="3016">
        <f>ROUND(B14*F12/F11,2)</f>
        <v>4339.6899999999996</v>
      </c>
      <c r="C15" s="3016">
        <f>ROUND(F12/F11,4)</f>
        <v>0.8679</v>
      </c>
      <c r="D15" s="3011"/>
      <c r="E15" s="3011"/>
      <c r="F15" s="3012"/>
    </row>
    <row r="16" spans="1:18">
      <c r="A16" s="3013" t="s">
        <v>2512</v>
      </c>
      <c r="B16" s="3016"/>
      <c r="C16" s="3016"/>
      <c r="D16" s="3011"/>
      <c r="E16" s="3011"/>
      <c r="F16" s="3012"/>
    </row>
    <row r="17" spans="1:13">
      <c r="A17" s="3013" t="s">
        <v>2511</v>
      </c>
      <c r="B17" s="3022">
        <v>4810</v>
      </c>
      <c r="C17" s="3015"/>
      <c r="D17" s="3011"/>
      <c r="E17" s="3011"/>
      <c r="F17" s="3012"/>
    </row>
    <row r="18" spans="1:13" ht="14.25" thickBot="1">
      <c r="A18" s="3024" t="s">
        <v>2510</v>
      </c>
      <c r="B18" s="3025">
        <f>ROUND(B17*F11/F12,2)</f>
        <v>5541.87</v>
      </c>
      <c r="C18" s="3025">
        <f>ROUND(F11/F12,4)</f>
        <v>1.1521999999999999</v>
      </c>
      <c r="D18" s="3026"/>
      <c r="E18" s="3026"/>
      <c r="F18" s="3027"/>
    </row>
    <row r="19" spans="1:13" ht="14.25" thickBot="1"/>
    <row r="20" spans="1:13" s="3062" customFormat="1" ht="14.25" thickTop="1">
      <c r="A20" s="3059" t="s">
        <v>2513</v>
      </c>
      <c r="B20" s="3060"/>
      <c r="C20" s="3060"/>
      <c r="D20" s="3060"/>
      <c r="E20" s="3060"/>
      <c r="F20" s="3060"/>
      <c r="G20" s="3061"/>
      <c r="I20" s="3063" t="s">
        <v>2558</v>
      </c>
      <c r="J20" s="3063" t="s">
        <v>2563</v>
      </c>
      <c r="K20" s="3063"/>
      <c r="L20" s="3063"/>
      <c r="M20" s="3063"/>
    </row>
    <row r="21" spans="1:13">
      <c r="A21" s="3028"/>
      <c r="B21" s="3029" t="s">
        <v>2514</v>
      </c>
      <c r="C21" s="3029" t="s">
        <v>2515</v>
      </c>
      <c r="D21" s="3029" t="s">
        <v>2516</v>
      </c>
      <c r="E21" s="3029" t="s">
        <v>2517</v>
      </c>
      <c r="F21" s="3029" t="s">
        <v>2518</v>
      </c>
      <c r="G21" s="3030" t="s">
        <v>2519</v>
      </c>
      <c r="I21" s="3051">
        <v>5</v>
      </c>
      <c r="J21" s="3051">
        <v>54.2</v>
      </c>
    </row>
    <row r="22" spans="1:13">
      <c r="A22" s="3028" t="s">
        <v>2520</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2521</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2561</v>
      </c>
      <c r="M23" s="3051" t="s">
        <v>2562</v>
      </c>
    </row>
    <row r="24" spans="1:13">
      <c r="A24" s="3028" t="s">
        <v>2522</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2560</v>
      </c>
      <c r="M24" s="3051">
        <v>10</v>
      </c>
    </row>
    <row r="25" spans="1:13">
      <c r="A25" s="3028" t="s">
        <v>2523</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2564</v>
      </c>
      <c r="M25" s="3051">
        <v>8</v>
      </c>
    </row>
    <row r="26" spans="1:13">
      <c r="A26" s="3033"/>
      <c r="B26" s="3034"/>
      <c r="C26" s="3034"/>
      <c r="D26" s="3034"/>
      <c r="E26" s="3034"/>
      <c r="F26" s="3034"/>
      <c r="G26" s="3035"/>
      <c r="I26" s="3051">
        <v>30</v>
      </c>
      <c r="J26" s="3051">
        <v>90.5</v>
      </c>
      <c r="K26" s="3051">
        <f t="shared" si="2"/>
        <v>4.2000000000000028</v>
      </c>
      <c r="L26" s="3051" t="s">
        <v>2565</v>
      </c>
      <c r="M26" s="3051">
        <v>5</v>
      </c>
    </row>
    <row r="27" spans="1:13">
      <c r="A27" s="3033" t="s">
        <v>2524</v>
      </c>
      <c r="B27" s="3034"/>
      <c r="C27" s="3034"/>
      <c r="D27" s="3034"/>
      <c r="E27" s="3034"/>
      <c r="F27" s="3034"/>
      <c r="G27" s="3035"/>
      <c r="I27" s="3051">
        <v>35</v>
      </c>
      <c r="J27" s="3051">
        <v>93.8</v>
      </c>
      <c r="K27" s="3051">
        <f t="shared" si="2"/>
        <v>3.2999999999999972</v>
      </c>
      <c r="L27" s="3051" t="s">
        <v>2566</v>
      </c>
      <c r="M27" s="3051">
        <v>3</v>
      </c>
    </row>
    <row r="28" spans="1:13">
      <c r="A28" s="3033" t="s">
        <v>2525</v>
      </c>
      <c r="B28" s="3034"/>
      <c r="C28" s="3034"/>
      <c r="D28" s="3034"/>
      <c r="E28" s="3034"/>
      <c r="F28" s="3034"/>
      <c r="G28" s="3035"/>
      <c r="I28" s="3051">
        <v>40</v>
      </c>
      <c r="J28" s="3051">
        <v>96.4</v>
      </c>
      <c r="K28" s="3051">
        <f t="shared" si="2"/>
        <v>2.6000000000000085</v>
      </c>
      <c r="L28" s="3051" t="s">
        <v>2567</v>
      </c>
      <c r="M28" s="3051">
        <v>2</v>
      </c>
    </row>
    <row r="29" spans="1:13">
      <c r="A29" s="3033" t="s">
        <v>2526</v>
      </c>
      <c r="B29" s="3034"/>
      <c r="C29" s="3034"/>
      <c r="D29" s="3034"/>
      <c r="E29" s="3034"/>
      <c r="F29" s="3034"/>
      <c r="G29" s="3035"/>
      <c r="I29" s="3051">
        <v>45</v>
      </c>
      <c r="J29" s="3051">
        <v>98.4</v>
      </c>
      <c r="K29" s="3051">
        <f t="shared" si="2"/>
        <v>2</v>
      </c>
    </row>
    <row r="30" spans="1:13">
      <c r="A30" s="3033" t="s">
        <v>2527</v>
      </c>
      <c r="B30" s="3034"/>
      <c r="C30" s="3034"/>
      <c r="D30" s="3034"/>
      <c r="E30" s="3034"/>
      <c r="F30" s="3034"/>
      <c r="G30" s="3035"/>
      <c r="I30" s="3051">
        <v>50</v>
      </c>
      <c r="J30" s="3051">
        <v>100</v>
      </c>
      <c r="K30" s="3051">
        <f t="shared" si="2"/>
        <v>1.5999999999999943</v>
      </c>
    </row>
    <row r="31" spans="1:13">
      <c r="A31" s="3033" t="s">
        <v>2528</v>
      </c>
      <c r="B31" s="3034"/>
      <c r="C31" s="3034"/>
      <c r="D31" s="3034"/>
      <c r="E31" s="3034"/>
      <c r="F31" s="3034"/>
      <c r="G31" s="3035"/>
      <c r="I31" s="3051" t="s">
        <v>2559</v>
      </c>
    </row>
    <row r="32" spans="1:13">
      <c r="A32" s="3033" t="s">
        <v>2529</v>
      </c>
      <c r="B32" s="3034"/>
      <c r="C32" s="3034"/>
      <c r="D32" s="3034"/>
      <c r="E32" s="3034"/>
      <c r="F32" s="3034"/>
      <c r="G32" s="3035"/>
    </row>
    <row r="33" spans="1:13">
      <c r="A33" s="3033" t="s">
        <v>2530</v>
      </c>
      <c r="B33" s="3034"/>
      <c r="C33" s="3034"/>
      <c r="D33" s="3034"/>
      <c r="E33" s="3034"/>
      <c r="F33" s="3034"/>
      <c r="G33" s="3035"/>
      <c r="I33" s="3051" t="s">
        <v>2558</v>
      </c>
      <c r="J33" s="3051" t="s">
        <v>2568</v>
      </c>
    </row>
    <row r="34" spans="1:13">
      <c r="A34" s="3033" t="s">
        <v>2531</v>
      </c>
      <c r="B34" s="3034"/>
      <c r="C34" s="3034"/>
      <c r="D34" s="3034"/>
      <c r="E34" s="3034"/>
      <c r="F34" s="3034"/>
      <c r="G34" s="3035"/>
      <c r="I34" s="3051">
        <v>5</v>
      </c>
      <c r="J34" s="3051">
        <v>55.1</v>
      </c>
    </row>
    <row r="35" spans="1:13">
      <c r="A35" s="3033" t="s">
        <v>2532</v>
      </c>
      <c r="B35" s="3034"/>
      <c r="C35" s="3034"/>
      <c r="D35" s="3034"/>
      <c r="E35" s="3034"/>
      <c r="F35" s="3034"/>
      <c r="G35" s="3035"/>
      <c r="I35" s="3051">
        <v>10</v>
      </c>
      <c r="J35" s="3051">
        <v>67</v>
      </c>
      <c r="K35" s="3051">
        <f>J35-J34</f>
        <v>11.899999999999999</v>
      </c>
    </row>
    <row r="36" spans="1:13">
      <c r="A36" s="3033" t="s">
        <v>2533</v>
      </c>
      <c r="B36" s="3034"/>
      <c r="C36" s="3034"/>
      <c r="D36" s="3034"/>
      <c r="E36" s="3034"/>
      <c r="F36" s="3034"/>
      <c r="G36" s="3035"/>
      <c r="I36" s="3051">
        <v>15</v>
      </c>
      <c r="J36" s="3051">
        <v>76.3</v>
      </c>
      <c r="K36" s="3051">
        <f t="shared" ref="K36:K41" si="3">J36-J35</f>
        <v>9.2999999999999972</v>
      </c>
      <c r="L36" s="3051" t="s">
        <v>2561</v>
      </c>
      <c r="M36" s="3051" t="s">
        <v>2562</v>
      </c>
    </row>
    <row r="37" spans="1:13">
      <c r="A37" s="3033" t="s">
        <v>2534</v>
      </c>
      <c r="B37" s="3034"/>
      <c r="C37" s="3034"/>
      <c r="D37" s="3034"/>
      <c r="E37" s="3034"/>
      <c r="F37" s="3034"/>
      <c r="G37" s="3035"/>
      <c r="I37" s="3051">
        <v>20</v>
      </c>
      <c r="J37" s="3051">
        <v>83.6</v>
      </c>
      <c r="K37" s="3051">
        <f t="shared" si="3"/>
        <v>7.2999999999999972</v>
      </c>
      <c r="L37" s="3051" t="s">
        <v>2560</v>
      </c>
      <c r="M37" s="3051">
        <v>10</v>
      </c>
    </row>
    <row r="38" spans="1:13">
      <c r="A38" s="3033" t="s">
        <v>2535</v>
      </c>
      <c r="B38" s="3034"/>
      <c r="C38" s="3034"/>
      <c r="D38" s="3034"/>
      <c r="E38" s="3034"/>
      <c r="F38" s="3034"/>
      <c r="G38" s="3035"/>
      <c r="I38" s="3051">
        <v>25</v>
      </c>
      <c r="J38" s="3051">
        <v>89.3</v>
      </c>
      <c r="K38" s="3051">
        <f t="shared" si="3"/>
        <v>5.7000000000000028</v>
      </c>
      <c r="L38" s="3051" t="s">
        <v>2564</v>
      </c>
      <c r="M38" s="3051">
        <v>8</v>
      </c>
    </row>
    <row r="39" spans="1:13">
      <c r="A39" s="3033"/>
      <c r="B39" s="3034"/>
      <c r="C39" s="3034"/>
      <c r="D39" s="3034"/>
      <c r="E39" s="3034"/>
      <c r="F39" s="3034"/>
      <c r="G39" s="3035"/>
      <c r="I39" s="3051">
        <v>30</v>
      </c>
      <c r="J39" s="3051">
        <v>93.8</v>
      </c>
      <c r="K39" s="3051">
        <f t="shared" si="3"/>
        <v>4.5</v>
      </c>
      <c r="L39" s="3051" t="s">
        <v>2565</v>
      </c>
      <c r="M39" s="3051">
        <v>6</v>
      </c>
    </row>
    <row r="40" spans="1:13">
      <c r="A40" s="3036" t="s">
        <v>2536</v>
      </c>
      <c r="B40" s="3037"/>
      <c r="C40" s="3037"/>
      <c r="D40" s="3037"/>
      <c r="E40" s="3037"/>
      <c r="F40" s="3037"/>
      <c r="G40" s="3038"/>
      <c r="I40" s="3051">
        <v>35</v>
      </c>
      <c r="J40" s="3051">
        <v>97.2</v>
      </c>
      <c r="K40" s="3051">
        <f t="shared" si="3"/>
        <v>3.4000000000000057</v>
      </c>
      <c r="L40" s="3051" t="s">
        <v>2566</v>
      </c>
      <c r="M40" s="3051">
        <v>3</v>
      </c>
    </row>
    <row r="41" spans="1:13">
      <c r="A41" s="3039" t="s">
        <v>2537</v>
      </c>
      <c r="B41" s="3040" t="s">
        <v>2538</v>
      </c>
      <c r="C41" s="3041" t="s">
        <v>2539</v>
      </c>
      <c r="D41" s="3041" t="s">
        <v>2540</v>
      </c>
      <c r="E41" s="3042"/>
      <c r="F41" s="3043"/>
      <c r="G41" s="3044"/>
      <c r="I41" s="3051">
        <v>40</v>
      </c>
      <c r="J41" s="3051">
        <v>100</v>
      </c>
      <c r="K41" s="3051">
        <f t="shared" si="3"/>
        <v>2.7999999999999972</v>
      </c>
    </row>
    <row r="42" spans="1:13">
      <c r="A42" s="3039" t="s">
        <v>2541</v>
      </c>
      <c r="B42" s="3040" t="s">
        <v>2542</v>
      </c>
      <c r="C42" s="3041" t="s">
        <v>2543</v>
      </c>
      <c r="D42" s="3045" t="s">
        <v>2544</v>
      </c>
      <c r="E42" s="3037" t="s">
        <v>2545</v>
      </c>
      <c r="F42" s="3037"/>
      <c r="G42" s="3038"/>
    </row>
    <row r="43" spans="1:13">
      <c r="A43" s="3039" t="s">
        <v>2546</v>
      </c>
      <c r="B43" s="3040" t="s">
        <v>2547</v>
      </c>
      <c r="C43" s="3041" t="s">
        <v>2548</v>
      </c>
      <c r="D43" s="3041" t="s">
        <v>2549</v>
      </c>
      <c r="E43" s="3042" t="s">
        <v>2550</v>
      </c>
      <c r="F43" s="3043"/>
      <c r="G43" s="3044"/>
      <c r="I43" s="3051" t="s">
        <v>2558</v>
      </c>
      <c r="J43" s="3051" t="s">
        <v>2569</v>
      </c>
    </row>
    <row r="44" spans="1:13">
      <c r="A44" s="3039" t="s">
        <v>2551</v>
      </c>
      <c r="B44" s="3040" t="s">
        <v>2552</v>
      </c>
      <c r="C44" s="3041" t="s">
        <v>2553</v>
      </c>
      <c r="D44" s="3045">
        <v>0.5</v>
      </c>
      <c r="E44" s="3042" t="s">
        <v>2554</v>
      </c>
      <c r="F44" s="3043"/>
      <c r="G44" s="3044"/>
      <c r="I44" s="3051">
        <v>30</v>
      </c>
      <c r="J44" s="3051">
        <v>81.7</v>
      </c>
    </row>
    <row r="45" spans="1:13" ht="14.25" thickBot="1">
      <c r="A45" s="3046" t="s">
        <v>2555</v>
      </c>
      <c r="B45" s="3047" t="s">
        <v>2542</v>
      </c>
      <c r="C45" s="3048" t="s">
        <v>2542</v>
      </c>
      <c r="D45" s="3048" t="s">
        <v>2556</v>
      </c>
      <c r="E45" s="3049" t="s">
        <v>2557</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2" customWidth="1"/>
    <col min="12" max="13" width="10" style="2623"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2163</v>
      </c>
      <c r="B1" s="3518" t="str">
        <f>IF(B10="北京市","北京市",C10)&amp;F10&amp;IF(结果表!G1="在建","出让国有建设用地使用权及在建建筑物",IF(结果表!G1="土地","出让国有建设用地使用权",))&amp;B9&amp;"预评估"</f>
        <v>北京市朝阳区朝阳门外大街18号房地产抵押价值预评估</v>
      </c>
      <c r="C1" s="3519"/>
      <c r="D1" s="3519"/>
      <c r="E1" s="3519"/>
      <c r="F1" s="3519"/>
      <c r="G1" s="3519"/>
      <c r="H1" s="3519"/>
      <c r="I1" s="3520"/>
      <c r="J1" s="2465"/>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北京市朝阳区朝阳门外大街18号房地产抵押价值</v>
      </c>
      <c r="T1" s="1743"/>
      <c r="U1" s="1743"/>
      <c r="V1" s="1743"/>
      <c r="W1" s="1743"/>
      <c r="X1" s="1743"/>
      <c r="Y1" s="1743"/>
      <c r="Z1" s="1743"/>
      <c r="AA1" s="1743"/>
      <c r="AB1" s="1743"/>
    </row>
    <row r="2" spans="1:30">
      <c r="A2" s="2365" t="s">
        <v>2164</v>
      </c>
      <c r="B2" s="2369"/>
      <c r="C2" s="2370"/>
      <c r="D2" s="2663"/>
      <c r="E2" s="2656"/>
      <c r="F2" s="2656"/>
      <c r="G2" s="2657"/>
      <c r="H2" s="2657"/>
      <c r="I2" s="2657"/>
      <c r="J2" s="2465"/>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北京市朝阳区朝阳门外大街18号房地产</v>
      </c>
      <c r="T2" s="1743"/>
      <c r="U2" s="1743"/>
      <c r="V2" s="1743"/>
      <c r="W2" s="1743"/>
      <c r="X2" s="1743"/>
      <c r="Y2" s="1743"/>
      <c r="Z2" s="1743"/>
      <c r="AA2" s="1743"/>
      <c r="AB2" s="1743"/>
    </row>
    <row r="3" spans="1:30">
      <c r="A3" s="302" t="s">
        <v>2165</v>
      </c>
      <c r="B3" s="2371">
        <v>45037</v>
      </c>
      <c r="C3" s="2372" t="s">
        <v>2166</v>
      </c>
      <c r="D3" s="2371">
        <f>B3</f>
        <v>45037</v>
      </c>
      <c r="E3" s="2657"/>
      <c r="F3" s="2657"/>
      <c r="G3" s="2657"/>
      <c r="H3" s="2657"/>
      <c r="I3" s="2657"/>
      <c r="J3" s="2465"/>
      <c r="K3" s="2366"/>
      <c r="L3" s="2367"/>
      <c r="M3" s="2367"/>
      <c r="N3" s="2368"/>
      <c r="O3" s="1574"/>
      <c r="P3" s="2368"/>
      <c r="Q3" s="2368"/>
      <c r="R3" s="2368"/>
      <c r="S3" s="1680"/>
      <c r="T3" s="1743"/>
      <c r="U3" s="1743"/>
      <c r="V3" s="1743"/>
      <c r="W3" s="1743"/>
      <c r="X3" s="1743"/>
      <c r="Y3" s="1743"/>
      <c r="Z3" s="1743"/>
      <c r="AA3" s="1743"/>
      <c r="AB3" s="1743"/>
    </row>
    <row r="4" spans="1:30" ht="13.5" thickBot="1">
      <c r="A4" s="1088" t="s">
        <v>2167</v>
      </c>
      <c r="B4" s="2373" t="s">
        <v>3439</v>
      </c>
      <c r="C4" s="2374">
        <f ca="1">SUMIF(注册房地产估价师,B4,估价师及机构信息!B3:B24)</f>
        <v>1120070131</v>
      </c>
      <c r="D4" s="2373" t="s">
        <v>3440</v>
      </c>
      <c r="E4" s="2375">
        <f ca="1">SUMIF(注册房地产估价师,D4,估价师及机构信息!B3:B24)</f>
        <v>1419970001</v>
      </c>
      <c r="F4" s="2373"/>
      <c r="G4" s="2375">
        <f>SUMIF(注册房地产估价师,F4,估价师及机构信息!B3:B24)</f>
        <v>0</v>
      </c>
      <c r="H4" s="2373"/>
      <c r="I4" s="2375">
        <f>SUMIF(注册房地产估价师,H4,估价师及机构信息!B3:B24)</f>
        <v>0</v>
      </c>
      <c r="J4" s="2433"/>
      <c r="K4" s="2376" t="str">
        <f ca="1">CONCATENATE(B4,"（注册号：",C4,")、",D4,"（注册号：",E4,")")</f>
        <v>郑燚（注册号：1120070131)、吴薇（注册号：1419970001)</v>
      </c>
      <c r="L4" s="2367"/>
      <c r="M4" s="2367"/>
      <c r="N4" s="2368"/>
      <c r="O4" s="1574"/>
      <c r="P4" s="2368"/>
      <c r="Q4" s="2368"/>
      <c r="R4" s="2368"/>
      <c r="S4" s="1680"/>
      <c r="T4" s="1743"/>
      <c r="U4" s="1743"/>
      <c r="V4" s="1743"/>
      <c r="W4" s="1743"/>
      <c r="X4" s="1743"/>
      <c r="Y4" s="1743"/>
      <c r="Z4" s="1743"/>
      <c r="AA4" s="1743"/>
      <c r="AB4" s="1743"/>
    </row>
    <row r="5" spans="1:30" ht="14.25" thickTop="1" thickBot="1">
      <c r="A5" s="2377" t="s">
        <v>2168</v>
      </c>
      <c r="B5" s="3453"/>
      <c r="C5" s="2378"/>
      <c r="D5" s="2379"/>
      <c r="E5" s="2658"/>
      <c r="F5" s="2658"/>
      <c r="G5" s="2658"/>
      <c r="H5" s="2658"/>
      <c r="I5" s="2658"/>
      <c r="J5" s="2433"/>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ht="13.5" thickTop="1">
      <c r="A6" s="2380" t="s">
        <v>2169</v>
      </c>
      <c r="B6" s="3453"/>
      <c r="C6" s="2381"/>
      <c r="D6" s="2382"/>
      <c r="E6" s="2656"/>
      <c r="F6" s="2658"/>
      <c r="G6" s="2658"/>
      <c r="H6" s="2658"/>
      <c r="I6" s="2658"/>
      <c r="J6" s="2433"/>
      <c r="K6" s="2609" t="str">
        <f>IF(COUNTIF(B6,"*上海银行*"),"上海银行","")</f>
        <v/>
      </c>
      <c r="L6" s="2607"/>
      <c r="M6" s="2607"/>
      <c r="N6" s="2433"/>
      <c r="O6" s="2444"/>
      <c r="P6" s="2433"/>
      <c r="Q6" s="2433"/>
      <c r="R6" s="2433"/>
    </row>
    <row r="7" spans="1:30">
      <c r="A7" s="2380" t="s">
        <v>2170</v>
      </c>
      <c r="B7" s="3472" t="s">
        <v>3495</v>
      </c>
      <c r="C7" s="2381"/>
      <c r="D7" s="2382"/>
      <c r="E7" s="2656"/>
      <c r="F7" s="2658"/>
      <c r="G7" s="2658"/>
      <c r="H7" s="2658"/>
      <c r="I7" s="2658"/>
      <c r="J7" s="2433"/>
      <c r="K7" s="2610"/>
      <c r="L7" s="2607"/>
      <c r="M7" s="2607"/>
      <c r="N7" s="2433"/>
      <c r="O7" s="2444"/>
      <c r="P7" s="2433"/>
      <c r="Q7" s="2433"/>
      <c r="R7" s="2433"/>
    </row>
    <row r="8" spans="1:30">
      <c r="A8" s="2383" t="s">
        <v>2171</v>
      </c>
      <c r="B8" s="2384" t="s">
        <v>3366</v>
      </c>
      <c r="C8" s="2385"/>
      <c r="D8" s="3521" t="s">
        <v>2172</v>
      </c>
      <c r="E8" s="2386" t="s">
        <v>3367</v>
      </c>
      <c r="F8" s="2387"/>
      <c r="G8" s="2657"/>
      <c r="H8" s="2657"/>
      <c r="I8" s="2657"/>
      <c r="J8" s="2433"/>
      <c r="K8" s="2608"/>
      <c r="L8" s="2607"/>
      <c r="M8" s="2607"/>
      <c r="N8" s="2433"/>
      <c r="O8" s="2444"/>
      <c r="P8" s="2433"/>
      <c r="Q8" s="2433"/>
      <c r="R8" s="2433"/>
    </row>
    <row r="9" spans="1:30" ht="13.5" thickBot="1">
      <c r="A9" s="2388" t="s">
        <v>2173</v>
      </c>
      <c r="B9" s="2389" t="s">
        <v>3367</v>
      </c>
      <c r="C9" s="2390"/>
      <c r="D9" s="3522"/>
      <c r="E9" s="2389" t="s">
        <v>587</v>
      </c>
      <c r="F9" s="2391"/>
      <c r="G9" s="2659"/>
      <c r="H9" s="2659"/>
      <c r="I9" s="2659"/>
      <c r="J9" s="2433"/>
      <c r="K9" s="2610"/>
      <c r="L9" s="2607"/>
      <c r="M9" s="2607"/>
      <c r="N9" s="2433"/>
      <c r="O9" s="2444"/>
      <c r="P9" s="2433"/>
      <c r="Q9" s="2433"/>
      <c r="R9" s="2433"/>
    </row>
    <row r="10" spans="1:30" ht="13.5" thickTop="1">
      <c r="A10" s="2392" t="s">
        <v>2174</v>
      </c>
      <c r="B10" s="2393" t="s">
        <v>3368</v>
      </c>
      <c r="C10" s="2394"/>
      <c r="D10" s="2379"/>
      <c r="E10" s="2395" t="s">
        <v>2175</v>
      </c>
      <c r="F10" s="3451" t="s">
        <v>3437</v>
      </c>
      <c r="G10" s="2660"/>
      <c r="H10" s="2661"/>
      <c r="I10" s="2662"/>
      <c r="J10" s="2433"/>
      <c r="K10" s="2610"/>
      <c r="L10" s="2607"/>
      <c r="M10" s="2607"/>
      <c r="N10" s="2433"/>
      <c r="O10" s="2444"/>
      <c r="P10" s="2433"/>
      <c r="Q10" s="2433"/>
      <c r="R10" s="2433"/>
    </row>
    <row r="11" spans="1:30">
      <c r="A11" s="2396" t="s">
        <v>2176</v>
      </c>
      <c r="B11" s="2397" t="s">
        <v>3438</v>
      </c>
      <c r="C11" s="3452" t="str">
        <f>B7</f>
        <v>银鼎投资（北京）有限公司</v>
      </c>
      <c r="D11" s="2398"/>
      <c r="E11" s="2368"/>
      <c r="F11" s="2368"/>
      <c r="G11" s="2368"/>
      <c r="H11" s="2368"/>
      <c r="I11" s="2368"/>
      <c r="J11" s="3054"/>
      <c r="K11" s="3053"/>
      <c r="L11" s="2607"/>
      <c r="M11" s="2607"/>
      <c r="N11" s="2433"/>
      <c r="O11" s="2444"/>
      <c r="P11" s="2433"/>
      <c r="Q11" s="2433"/>
      <c r="R11" s="2433"/>
    </row>
    <row r="12" spans="1:30">
      <c r="A12" s="2399" t="s">
        <v>2177</v>
      </c>
      <c r="B12" s="323" t="s">
        <v>2178</v>
      </c>
      <c r="C12" s="2400" t="s">
        <v>2179</v>
      </c>
      <c r="D12" s="2400" t="s">
        <v>2180</v>
      </c>
      <c r="E12" s="2400" t="s">
        <v>2181</v>
      </c>
      <c r="F12" s="2400" t="s">
        <v>2182</v>
      </c>
      <c r="G12" s="2400" t="s">
        <v>2183</v>
      </c>
      <c r="H12" s="2400" t="s">
        <v>2184</v>
      </c>
      <c r="I12" s="3052" t="s">
        <v>2570</v>
      </c>
      <c r="J12" s="3055"/>
      <c r="K12" s="2607"/>
      <c r="L12" s="2607"/>
      <c r="M12" s="2433"/>
      <c r="N12" s="2444"/>
      <c r="O12" s="2433"/>
      <c r="P12" s="2433"/>
      <c r="Q12" s="2433"/>
      <c r="AD12" s="1743"/>
    </row>
    <row r="13" spans="1:30">
      <c r="A13" s="3418" t="s">
        <v>3332</v>
      </c>
      <c r="B13" s="2401" t="s">
        <v>2185</v>
      </c>
      <c r="C13" s="854"/>
      <c r="D13" s="854"/>
      <c r="E13" s="3450">
        <v>52629</v>
      </c>
      <c r="F13" s="854"/>
      <c r="G13" s="854"/>
      <c r="H13" s="854"/>
      <c r="I13" s="854"/>
      <c r="J13" s="3055"/>
      <c r="K13" s="2607" t="s">
        <v>3436</v>
      </c>
      <c r="L13" s="2607"/>
      <c r="M13" s="2433"/>
      <c r="N13" s="2444"/>
      <c r="O13" s="2433"/>
      <c r="P13" s="2433"/>
      <c r="Q13" s="2433"/>
      <c r="AD13" s="1743"/>
    </row>
    <row r="14" spans="1:30">
      <c r="A14" s="1079"/>
      <c r="B14" s="2401" t="s">
        <v>2186</v>
      </c>
      <c r="C14" s="2402"/>
      <c r="D14" s="2402"/>
      <c r="E14" s="2402">
        <v>50</v>
      </c>
      <c r="F14" s="2402"/>
      <c r="G14" s="2402"/>
      <c r="H14" s="2402"/>
      <c r="I14" s="2402"/>
      <c r="J14" s="3056"/>
      <c r="K14" s="2607"/>
      <c r="L14" s="2607"/>
      <c r="M14" s="2433"/>
      <c r="N14" s="2444"/>
      <c r="O14" s="2433"/>
      <c r="P14" s="2433"/>
      <c r="Q14" s="2433"/>
      <c r="AD14" s="1743"/>
    </row>
    <row r="15" spans="1:30">
      <c r="A15" s="320"/>
      <c r="B15" s="2403" t="s">
        <v>2187</v>
      </c>
      <c r="C15" s="2404" t="str">
        <f>IF(A13="出让",IF(C13="","",ROUNDDOWN(MIN((C13-$D$3)/365,C14),2)),C14)</f>
        <v/>
      </c>
      <c r="D15" s="2404" t="str">
        <f>IF(A13="出让",IF(D13="","",ROUNDDOWN(MIN((D13-$D$3)/365,D14),2)),D14)</f>
        <v/>
      </c>
      <c r="E15" s="2404">
        <f>IF(A13="出让",IF(E13="","",ROUNDDOWN(MIN((E13-$D$3)/365,E14),2)),E14)</f>
        <v>20.8</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7"/>
      <c r="K15" s="2445"/>
      <c r="L15" s="2445"/>
      <c r="M15" s="2503"/>
      <c r="N15" s="2445"/>
      <c r="O15" s="2503"/>
      <c r="P15" s="2433"/>
      <c r="Q15" s="2433"/>
      <c r="AD15" s="1743"/>
    </row>
    <row r="16" spans="1:30">
      <c r="A16" s="2395" t="s">
        <v>2188</v>
      </c>
      <c r="B16" s="3528"/>
      <c r="C16" s="3529"/>
      <c r="D16" s="3530"/>
      <c r="E16" s="2407" t="s">
        <v>2189</v>
      </c>
      <c r="F16" s="3531"/>
      <c r="G16" s="3532"/>
      <c r="H16" s="3532"/>
      <c r="I16" s="3533"/>
      <c r="J16" s="2433"/>
      <c r="K16" s="2611"/>
      <c r="L16" s="2445"/>
      <c r="M16" s="2445"/>
      <c r="N16" s="2503"/>
      <c r="O16" s="2445"/>
      <c r="P16" s="2503"/>
      <c r="Q16" s="2433"/>
      <c r="R16" s="2433"/>
    </row>
    <row r="17" spans="1:28">
      <c r="A17" s="313" t="s">
        <v>2190</v>
      </c>
      <c r="B17" s="302" t="s">
        <v>2191</v>
      </c>
      <c r="C17" s="8">
        <f>'数据-汇总表'!E3</f>
        <v>3455.7</v>
      </c>
      <c r="D17" s="2320" t="s">
        <v>2192</v>
      </c>
      <c r="E17" s="3534" t="s">
        <v>2193</v>
      </c>
      <c r="F17" s="3535"/>
      <c r="G17" s="3535"/>
      <c r="H17" s="3535"/>
      <c r="I17" s="3536"/>
      <c r="J17" s="2433"/>
      <c r="K17" s="2612"/>
      <c r="L17" s="2445"/>
      <c r="M17" s="2445"/>
      <c r="N17" s="2503"/>
      <c r="O17" s="2445"/>
      <c r="P17" s="2503"/>
      <c r="Q17" s="2433"/>
      <c r="R17" s="2433"/>
      <c r="S17" s="2433"/>
      <c r="T17" s="2433"/>
      <c r="U17" s="2433"/>
      <c r="V17" s="2433"/>
    </row>
    <row r="18" spans="1:28" ht="24.75" thickBot="1">
      <c r="A18" s="2408" t="s">
        <v>2194</v>
      </c>
      <c r="B18" s="1088" t="s">
        <v>2195</v>
      </c>
      <c r="C18" s="2409">
        <f>'数据-汇总表'!D3</f>
        <v>396.01</v>
      </c>
      <c r="D18" s="1090" t="s">
        <v>2196</v>
      </c>
      <c r="E18" s="3537" t="s">
        <v>2197</v>
      </c>
      <c r="F18" s="3538"/>
      <c r="G18" s="3538"/>
      <c r="H18" s="3538"/>
      <c r="I18" s="3539"/>
      <c r="J18" s="2433"/>
      <c r="K18" s="2612"/>
      <c r="L18" s="2445"/>
      <c r="M18" s="2445"/>
      <c r="N18" s="2503"/>
      <c r="O18" s="2445"/>
      <c r="P18" s="2503"/>
      <c r="Q18" s="2433"/>
      <c r="R18" s="2433"/>
      <c r="S18" s="2433"/>
      <c r="T18" s="2433"/>
      <c r="U18" s="2433"/>
      <c r="V18" s="2433"/>
    </row>
    <row r="19" spans="1:28" ht="39.75" thickTop="1" thickBot="1">
      <c r="A19" s="327" t="s">
        <v>1055</v>
      </c>
      <c r="B19" s="307" t="s">
        <v>2198</v>
      </c>
      <c r="C19" s="1561" t="s">
        <v>3379</v>
      </c>
      <c r="D19" s="1562" t="s">
        <v>2199</v>
      </c>
      <c r="E19" s="1563" t="s">
        <v>3369</v>
      </c>
      <c r="F19" s="1564" t="str">
        <f>IF(AND(C19="是",E19="否"),"是否提供他项权证或相关说明","")</f>
        <v>是否提供他项权证或相关说明</v>
      </c>
      <c r="G19" s="1565" t="s">
        <v>3369</v>
      </c>
      <c r="H19" s="2658"/>
      <c r="I19" s="2658"/>
      <c r="J19" s="2433"/>
      <c r="K19" s="2610"/>
      <c r="L19" s="2607"/>
      <c r="M19" s="2607"/>
      <c r="N19" s="2503"/>
      <c r="O19" s="2445"/>
      <c r="P19" s="2503"/>
      <c r="Q19" s="2433"/>
      <c r="R19" s="2433"/>
      <c r="S19" s="2433"/>
      <c r="T19" s="2433"/>
      <c r="U19" s="2433"/>
      <c r="V19" s="2433"/>
    </row>
    <row r="20" spans="1:28">
      <c r="A20" s="2626" t="s">
        <v>2200</v>
      </c>
      <c r="B20" s="3524" t="s">
        <v>2201</v>
      </c>
      <c r="C20" s="3525"/>
      <c r="D20" s="3526" t="s">
        <v>2202</v>
      </c>
      <c r="E20" s="3527"/>
      <c r="F20" s="2641" t="s">
        <v>1056</v>
      </c>
      <c r="G20" s="2658"/>
      <c r="H20" s="2658"/>
      <c r="I20" s="2658"/>
      <c r="J20" s="2433"/>
      <c r="K20" s="3523" t="s">
        <v>2203</v>
      </c>
      <c r="L20" s="682"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367"/>
      <c r="N20" s="2406"/>
      <c r="O20" s="2405"/>
      <c r="P20" s="2406"/>
      <c r="Q20" s="2368"/>
      <c r="R20" s="2368"/>
      <c r="S20" s="2368"/>
      <c r="T20" s="2368"/>
      <c r="U20" s="2368"/>
      <c r="V20" s="2368"/>
      <c r="W20" s="1743"/>
      <c r="X20" s="1743"/>
      <c r="Y20" s="1743"/>
      <c r="Z20" s="1743"/>
      <c r="AA20" s="1743"/>
      <c r="AB20" s="1743"/>
    </row>
    <row r="21" spans="1:28" ht="24.75" thickBot="1">
      <c r="A21" s="2626"/>
      <c r="B21" s="2627" t="s">
        <v>2204</v>
      </c>
      <c r="C21" s="2628" t="s">
        <v>3441</v>
      </c>
      <c r="D21" s="1566" t="s">
        <v>2205</v>
      </c>
      <c r="E21" s="2629" t="s">
        <v>43</v>
      </c>
      <c r="F21" s="2642"/>
      <c r="G21" s="2658"/>
      <c r="H21" s="2658"/>
      <c r="I21" s="2658"/>
      <c r="J21" s="2433"/>
      <c r="K21" s="352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6"/>
      <c r="O21" s="2405"/>
      <c r="P21" s="2406"/>
      <c r="Q21" s="2368"/>
      <c r="R21" s="2368"/>
      <c r="S21" s="2368"/>
      <c r="T21" s="2368"/>
      <c r="U21" s="2368"/>
      <c r="V21" s="2368"/>
      <c r="W21" s="1743"/>
      <c r="X21" s="1743"/>
      <c r="Y21" s="1743"/>
      <c r="Z21" s="1743"/>
      <c r="AA21" s="1743"/>
      <c r="AB21" s="1743"/>
    </row>
    <row r="22" spans="1:28" ht="24.75" thickBot="1">
      <c r="A22" s="2626"/>
      <c r="B22" s="2630" t="s">
        <v>2206</v>
      </c>
      <c r="C22" s="2628" t="s">
        <v>3441</v>
      </c>
      <c r="D22" s="2657"/>
      <c r="E22" s="2657"/>
      <c r="F22" s="2657"/>
      <c r="G22" s="2658"/>
      <c r="H22" s="2658"/>
      <c r="I22" s="2658"/>
      <c r="J22" s="2433"/>
      <c r="K22" s="352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6"/>
      <c r="O22" s="2405"/>
      <c r="P22" s="2406"/>
      <c r="Q22" s="2368"/>
      <c r="R22" s="2368"/>
      <c r="S22" s="2368"/>
      <c r="T22" s="2368"/>
      <c r="U22" s="2368"/>
      <c r="V22" s="2368"/>
      <c r="W22" s="1743"/>
      <c r="X22" s="1743"/>
      <c r="Y22" s="1743"/>
      <c r="Z22" s="1743"/>
      <c r="AA22" s="1743"/>
      <c r="AB22" s="1743"/>
    </row>
    <row r="23" spans="1:28">
      <c r="A23" s="2631" t="s">
        <v>2207</v>
      </c>
      <c r="B23" s="2496" t="s">
        <v>2208</v>
      </c>
      <c r="C23" s="2632"/>
      <c r="D23" s="2633" t="s">
        <v>2208</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1057</v>
      </c>
      <c r="C24" s="2635"/>
      <c r="D24" s="2631" t="s">
        <v>1057</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1058</v>
      </c>
      <c r="C25" s="2635"/>
      <c r="D25" s="2631" t="s">
        <v>1058</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1059</v>
      </c>
      <c r="C26" s="2639"/>
      <c r="D26" s="2637" t="s">
        <v>1059</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41" t="s">
        <v>2209</v>
      </c>
      <c r="B27" s="320" t="s">
        <v>2210</v>
      </c>
      <c r="C27" s="2410" t="s">
        <v>3377</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41"/>
      <c r="B28" s="302" t="s">
        <v>2211</v>
      </c>
      <c r="C28" s="2412"/>
      <c r="D28" s="2413" t="s">
        <v>3378</v>
      </c>
      <c r="E28" s="2658"/>
      <c r="F28" s="2658"/>
      <c r="G28" s="2658"/>
      <c r="H28" s="2658"/>
      <c r="I28" s="2658"/>
      <c r="J28" s="2433"/>
      <c r="K28" s="2610"/>
      <c r="L28" s="2607"/>
      <c r="M28" s="2607"/>
      <c r="N28" s="2433"/>
      <c r="O28" s="2444"/>
      <c r="P28" s="2433"/>
      <c r="Q28" s="2433"/>
      <c r="R28" s="2433"/>
      <c r="S28" s="2433"/>
      <c r="T28" s="2433"/>
      <c r="U28" s="2433"/>
      <c r="V28" s="2433"/>
    </row>
    <row r="29" spans="1:28">
      <c r="A29" s="3541"/>
      <c r="B29" s="302" t="s">
        <v>2212</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42"/>
      <c r="B30" s="302" t="s">
        <v>2213</v>
      </c>
      <c r="C30" s="3543"/>
      <c r="D30" s="3544"/>
      <c r="E30" s="2658"/>
      <c r="F30" s="2658"/>
      <c r="G30" s="2658"/>
      <c r="H30" s="2658"/>
      <c r="I30" s="2658"/>
      <c r="J30" s="2433"/>
      <c r="K30" s="2610"/>
      <c r="L30" s="2607"/>
      <c r="M30" s="2607"/>
      <c r="N30" s="2433"/>
      <c r="O30" s="2444"/>
      <c r="P30" s="2433"/>
      <c r="Q30" s="2433"/>
      <c r="R30" s="2433"/>
      <c r="S30" s="2433"/>
      <c r="T30" s="2433"/>
      <c r="U30" s="2433"/>
      <c r="V30" s="2433"/>
    </row>
    <row r="31" spans="1:28">
      <c r="A31" s="3545" t="s">
        <v>2214</v>
      </c>
      <c r="B31" s="2416" t="s">
        <v>3376</v>
      </c>
      <c r="C31" s="2321" t="str">
        <f>IF(B31="现房","成新及维护状况正常否",IF(B31="在建","工程状态是否正常",IF(B31="土地","是否闲置","-")))</f>
        <v>成新及维护状况正常否</v>
      </c>
      <c r="D31" s="1371"/>
      <c r="E31" s="2417"/>
      <c r="F31" s="2658"/>
      <c r="G31" s="2658"/>
      <c r="H31" s="2658"/>
      <c r="I31" s="2658"/>
      <c r="J31" s="2433"/>
      <c r="K31" s="2609"/>
      <c r="L31" s="2607"/>
      <c r="M31" s="2607"/>
      <c r="N31" s="2433"/>
      <c r="O31" s="2444"/>
      <c r="P31" s="2433"/>
      <c r="Q31" s="2433"/>
      <c r="R31" s="2433"/>
      <c r="S31" s="2433"/>
      <c r="T31" s="2433"/>
      <c r="U31" s="2433"/>
      <c r="V31" s="2433"/>
    </row>
    <row r="32" spans="1:28">
      <c r="A32" s="3546"/>
      <c r="B32" s="2416"/>
      <c r="C32" s="2321" t="str">
        <f>IF(B32="现房","成新及维护状况是否正常",IF(B32="在建","工程状态是否正常",IF(B32="土地","是否闲置","-")))</f>
        <v>-</v>
      </c>
      <c r="D32" s="1371"/>
      <c r="E32" s="2417"/>
      <c r="F32" s="2658"/>
      <c r="G32" s="2658"/>
      <c r="H32" s="2658"/>
      <c r="I32" s="2658"/>
      <c r="J32" s="2433"/>
      <c r="K32" s="2610"/>
      <c r="L32" s="2607"/>
      <c r="M32" s="2607"/>
      <c r="N32" s="2433"/>
      <c r="O32" s="2444"/>
      <c r="P32" s="2433"/>
      <c r="Q32" s="2433"/>
      <c r="R32" s="2433"/>
      <c r="S32" s="2433"/>
      <c r="T32" s="2433"/>
      <c r="U32" s="2433"/>
      <c r="V32" s="2433"/>
    </row>
    <row r="33" spans="1:30">
      <c r="A33" s="3546"/>
      <c r="B33" s="2419"/>
      <c r="C33" s="1588" t="str">
        <f>IF(B33="现房","成新及维护状况是否正常",IF(B33="在建","工程状态是否正常",IF(B33="土地","是否闲置","-")))</f>
        <v>-</v>
      </c>
      <c r="D33" s="1363"/>
      <c r="E33" s="2420"/>
      <c r="F33" s="2658"/>
      <c r="G33" s="2658"/>
      <c r="H33" s="2658"/>
      <c r="I33" s="2658"/>
      <c r="J33" s="2433"/>
      <c r="K33" s="2610"/>
      <c r="L33" s="2607"/>
      <c r="M33" s="2607"/>
      <c r="N33" s="2433"/>
      <c r="O33" s="2444"/>
      <c r="P33" s="2433"/>
      <c r="Q33" s="2433"/>
      <c r="R33" s="2433"/>
      <c r="S33" s="2433"/>
      <c r="T33" s="2433"/>
      <c r="U33" s="2433"/>
      <c r="V33" s="2433"/>
    </row>
    <row r="34" spans="1:30">
      <c r="A34" s="302" t="s">
        <v>2215</v>
      </c>
      <c r="B34" s="2024" t="s">
        <v>3370</v>
      </c>
      <c r="C34" s="2024" t="s">
        <v>3371</v>
      </c>
      <c r="D34" s="2024" t="s">
        <v>3372</v>
      </c>
      <c r="E34" s="2024" t="s">
        <v>3373</v>
      </c>
      <c r="F34" s="2024" t="s">
        <v>3374</v>
      </c>
      <c r="G34" s="2024" t="s">
        <v>3375</v>
      </c>
      <c r="H34" s="2024"/>
      <c r="I34" s="2658"/>
      <c r="J34" s="2433"/>
      <c r="K34" s="2421">
        <f>COUNTIF(B34:H34,"——")</f>
        <v>0</v>
      </c>
      <c r="L34" s="323" t="s">
        <v>2216</v>
      </c>
      <c r="M34" s="323" t="s">
        <v>2217</v>
      </c>
      <c r="N34" s="323" t="s">
        <v>2218</v>
      </c>
      <c r="O34" s="323" t="s">
        <v>2219</v>
      </c>
      <c r="P34" s="323" t="s">
        <v>2220</v>
      </c>
      <c r="Q34" s="323" t="s">
        <v>2221</v>
      </c>
      <c r="R34" s="323" t="s">
        <v>2222</v>
      </c>
      <c r="S34" s="3540" t="s">
        <v>2223</v>
      </c>
      <c r="T34" s="2422" t="str">
        <f>NUMBERSTRING(7-K34,1)&amp;"通"</f>
        <v>七通</v>
      </c>
      <c r="U34" s="2433"/>
      <c r="V34" s="2433"/>
    </row>
    <row r="35" spans="1:30">
      <c r="A35" s="2423"/>
      <c r="B35" s="3547" t="s">
        <v>2224</v>
      </c>
      <c r="C35" s="3547"/>
      <c r="D35" s="3547"/>
      <c r="E35" s="3547"/>
      <c r="F35" s="662">
        <f>C10</f>
        <v>0</v>
      </c>
      <c r="G35" s="2658"/>
      <c r="H35" s="2658"/>
      <c r="I35" s="2658"/>
      <c r="J35" s="2433"/>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40"/>
      <c r="T35" s="329" t="str">
        <f>IF(T34="一通",L35,IF(T34="二通",M35,IF(T34="三通",N35,IF(T34="四通",O35,IF(T34="五通",P35,IF(T34="六通",Q35,R35))))))</f>
        <v>通路、通电、通讯、通上水、通下水、平整、</v>
      </c>
      <c r="U35" s="2433"/>
      <c r="V35" s="2433"/>
    </row>
    <row r="36" spans="1:30">
      <c r="A36" s="2424"/>
      <c r="B36" s="662" t="s">
        <v>2180</v>
      </c>
      <c r="C36" s="662" t="s">
        <v>2181</v>
      </c>
      <c r="D36" s="662" t="s">
        <v>2179</v>
      </c>
      <c r="E36" s="662" t="s">
        <v>2184</v>
      </c>
      <c r="F36" s="3058" t="s">
        <v>2573</v>
      </c>
      <c r="G36" s="2658"/>
      <c r="H36" s="2658"/>
      <c r="I36" s="2658"/>
      <c r="J36" s="2433"/>
      <c r="K36" s="2610"/>
      <c r="L36" s="2607"/>
      <c r="M36" s="2607"/>
      <c r="N36" s="2433"/>
      <c r="O36" s="2444"/>
      <c r="P36" s="2433"/>
      <c r="Q36" s="2433"/>
      <c r="R36" s="2433"/>
      <c r="S36" s="2433"/>
      <c r="T36" s="2433"/>
      <c r="U36" s="2433"/>
      <c r="V36" s="2433"/>
    </row>
    <row r="37" spans="1:30">
      <c r="A37" s="2624" t="s">
        <v>2225</v>
      </c>
      <c r="B37" s="2425"/>
      <c r="C37" s="2425" t="s">
        <v>144</v>
      </c>
      <c r="D37" s="2425"/>
      <c r="E37" s="2425"/>
      <c r="F37" s="2425"/>
      <c r="G37" s="2658"/>
      <c r="H37" s="2658"/>
      <c r="I37" s="2658"/>
      <c r="J37" s="2433"/>
      <c r="K37" s="2610"/>
      <c r="L37" s="2607"/>
      <c r="M37" s="2607"/>
      <c r="N37" s="2433"/>
      <c r="O37" s="2444"/>
      <c r="P37" s="2433"/>
      <c r="Q37" s="2433"/>
      <c r="R37" s="2433"/>
      <c r="S37" s="2433"/>
      <c r="T37" s="2433"/>
      <c r="U37" s="2433"/>
      <c r="V37" s="2433"/>
    </row>
    <row r="38" spans="1:30" ht="13.5" thickBot="1">
      <c r="A38" s="2625" t="s">
        <v>2226</v>
      </c>
      <c r="B38" s="2426"/>
      <c r="C38" s="2426" t="s">
        <v>145</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2227</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8"/>
      <c r="B40" s="2368"/>
      <c r="C40" s="2368"/>
      <c r="D40" s="2368"/>
      <c r="E40" s="2368"/>
      <c r="F40" s="2368"/>
      <c r="G40" s="2368"/>
      <c r="H40" s="2368"/>
      <c r="I40" s="1576"/>
      <c r="J40" s="2503"/>
      <c r="K40" s="2609"/>
      <c r="L40" s="2445"/>
      <c r="M40" s="2445"/>
      <c r="N40" s="2503"/>
      <c r="O40" s="2445"/>
      <c r="P40" s="2433"/>
      <c r="Q40" s="2433"/>
      <c r="R40" s="2433"/>
      <c r="S40" s="2433"/>
      <c r="T40" s="2433"/>
      <c r="U40" s="2433"/>
      <c r="V40" s="2433"/>
    </row>
    <row r="41" spans="1:30">
      <c r="A41" s="2430" t="s">
        <v>2228</v>
      </c>
      <c r="B41" s="1755"/>
      <c r="C41" s="1371"/>
      <c r="D41" s="2368"/>
      <c r="E41" s="2368"/>
      <c r="F41" s="2368"/>
      <c r="G41" s="2368"/>
      <c r="H41" s="2368"/>
      <c r="I41" s="1574"/>
      <c r="J41" s="2433"/>
      <c r="K41" s="2610"/>
      <c r="L41" s="2607"/>
      <c r="M41" s="2607"/>
      <c r="N41" s="2433"/>
      <c r="O41" s="2444"/>
      <c r="P41" s="2433"/>
      <c r="Q41" s="2433"/>
      <c r="R41" s="2433"/>
      <c r="S41" s="2433"/>
      <c r="T41" s="2433"/>
      <c r="U41" s="2433"/>
      <c r="V41" s="2433"/>
    </row>
    <row r="42" spans="1:30" ht="25.5">
      <c r="A42" s="323" t="s">
        <v>2229</v>
      </c>
      <c r="B42" s="8" t="s">
        <v>2230</v>
      </c>
      <c r="C42" s="8" t="s">
        <v>2231</v>
      </c>
      <c r="D42" s="8" t="s">
        <v>2232</v>
      </c>
      <c r="E42" s="8" t="s">
        <v>2233</v>
      </c>
      <c r="F42" s="8" t="s">
        <v>2234</v>
      </c>
      <c r="G42" s="8" t="s">
        <v>2235</v>
      </c>
      <c r="H42" s="8" t="s">
        <v>2236</v>
      </c>
      <c r="I42" s="8" t="s">
        <v>2237</v>
      </c>
      <c r="J42" s="2620" t="s">
        <v>2238</v>
      </c>
      <c r="K42" s="2621" t="s">
        <v>2239</v>
      </c>
      <c r="L42" s="2621" t="s">
        <v>2240</v>
      </c>
      <c r="M42" s="2621" t="s">
        <v>2241</v>
      </c>
      <c r="N42" s="2614" t="s">
        <v>2242</v>
      </c>
      <c r="O42" s="2614" t="s">
        <v>2243</v>
      </c>
      <c r="P42" s="2614" t="s">
        <v>2244</v>
      </c>
      <c r="Q42" s="2615" t="s">
        <v>2245</v>
      </c>
      <c r="R42" s="2615" t="s">
        <v>2246</v>
      </c>
      <c r="S42" s="2433"/>
      <c r="T42" s="2433"/>
      <c r="U42" s="2433"/>
      <c r="V42" s="2433"/>
    </row>
    <row r="43" spans="1:30" s="1741" customFormat="1">
      <c r="A43" s="1568"/>
      <c r="B43" s="1049"/>
      <c r="C43" s="1049"/>
      <c r="D43" s="1049"/>
      <c r="E43" s="1049"/>
      <c r="F43" s="1049"/>
      <c r="G43" s="1049"/>
      <c r="H43" s="1049"/>
      <c r="I43" s="1049"/>
      <c r="J43" s="2431"/>
      <c r="K43" s="2432"/>
      <c r="L43" s="2432"/>
      <c r="M43" s="1049"/>
      <c r="N43" s="1049"/>
      <c r="O43" s="1049"/>
      <c r="P43" s="1049"/>
      <c r="Q43" s="1049"/>
      <c r="R43" s="1049"/>
      <c r="S43" s="2433"/>
      <c r="T43" s="2433"/>
      <c r="U43" s="2433"/>
      <c r="V43" s="2433"/>
    </row>
    <row r="44" spans="1:30" s="1741" customFormat="1">
      <c r="A44" s="1568"/>
      <c r="B44" s="1568"/>
      <c r="C44" s="1049"/>
      <c r="D44" s="1049"/>
      <c r="E44" s="1049"/>
      <c r="F44" s="1049"/>
      <c r="G44" s="1049"/>
      <c r="H44" s="1049"/>
      <c r="I44" s="1049"/>
      <c r="J44" s="2431"/>
      <c r="K44" s="2432"/>
      <c r="L44" s="2432"/>
      <c r="M44" s="1049"/>
      <c r="N44" s="1049"/>
      <c r="O44" s="1049"/>
      <c r="P44" s="1049"/>
      <c r="Q44" s="1049"/>
      <c r="R44" s="1049"/>
      <c r="S44" s="2433"/>
      <c r="T44" s="2433"/>
      <c r="U44" s="2433"/>
      <c r="V44" s="2433"/>
    </row>
    <row r="45" spans="1:30" s="1741" customFormat="1">
      <c r="A45" s="1568"/>
      <c r="B45" s="1568"/>
      <c r="C45" s="1049"/>
      <c r="D45" s="1049"/>
      <c r="E45" s="1049"/>
      <c r="F45" s="1049"/>
      <c r="G45" s="1049"/>
      <c r="H45" s="1049"/>
      <c r="I45" s="1049"/>
      <c r="J45" s="2431"/>
      <c r="K45" s="2432"/>
      <c r="L45" s="2432"/>
      <c r="M45" s="1049"/>
      <c r="N45" s="1049"/>
      <c r="O45" s="1049"/>
      <c r="P45" s="1049"/>
      <c r="Q45" s="1049"/>
      <c r="R45" s="1049"/>
      <c r="S45" s="2433"/>
      <c r="T45" s="2433"/>
      <c r="U45" s="2433"/>
      <c r="V45" s="2433"/>
    </row>
    <row r="46" spans="1:30" s="1741" customFormat="1">
      <c r="A46" s="1568"/>
      <c r="B46" s="1568"/>
      <c r="C46" s="1049"/>
      <c r="D46" s="1049"/>
      <c r="E46" s="1049"/>
      <c r="F46" s="1049"/>
      <c r="G46" s="1049"/>
      <c r="H46" s="1049"/>
      <c r="I46" s="1049"/>
      <c r="J46" s="2431"/>
      <c r="K46" s="2432"/>
      <c r="L46" s="2432"/>
      <c r="M46" s="1049"/>
      <c r="N46" s="1049"/>
      <c r="O46" s="1049"/>
      <c r="P46" s="1049"/>
      <c r="Q46" s="1049"/>
      <c r="R46" s="1049"/>
      <c r="S46" s="2433"/>
      <c r="T46" s="2433"/>
      <c r="U46" s="2433"/>
      <c r="V46" s="2433"/>
    </row>
    <row r="47" spans="1:30" s="1741" customFormat="1">
      <c r="A47" s="1568"/>
      <c r="B47" s="1568"/>
      <c r="C47" s="1049"/>
      <c r="D47" s="1049"/>
      <c r="E47" s="1049"/>
      <c r="F47" s="1049"/>
      <c r="G47" s="1049"/>
      <c r="H47" s="1049"/>
      <c r="I47" s="1049"/>
      <c r="J47" s="2431"/>
      <c r="K47" s="2432"/>
      <c r="L47" s="2432"/>
      <c r="M47" s="1049"/>
      <c r="N47" s="1049"/>
      <c r="O47" s="1049"/>
      <c r="P47" s="1049"/>
      <c r="Q47" s="1049"/>
      <c r="R47" s="1049"/>
      <c r="S47" s="2433"/>
      <c r="T47" s="2433"/>
      <c r="U47" s="2433"/>
      <c r="V47" s="2433"/>
    </row>
    <row r="48" spans="1:30" s="1741" customFormat="1">
      <c r="A48" s="1568"/>
      <c r="B48" s="1568"/>
      <c r="C48" s="1049"/>
      <c r="D48" s="1049"/>
      <c r="E48" s="1049"/>
      <c r="F48" s="1049"/>
      <c r="G48" s="1049"/>
      <c r="H48" s="1049"/>
      <c r="I48" s="1049"/>
      <c r="J48" s="2431"/>
      <c r="K48" s="2432"/>
      <c r="L48" s="2432"/>
      <c r="M48" s="1049"/>
      <c r="N48" s="1049"/>
      <c r="O48" s="1049"/>
      <c r="P48" s="1049"/>
      <c r="Q48" s="1049"/>
      <c r="R48" s="1049"/>
      <c r="S48" s="2433"/>
      <c r="T48" s="2433"/>
      <c r="U48" s="2433"/>
      <c r="V48" s="2433"/>
    </row>
    <row r="49" spans="1:22" s="1741" customFormat="1">
      <c r="A49" s="1568"/>
      <c r="B49" s="1568"/>
      <c r="C49" s="1049"/>
      <c r="D49" s="1049"/>
      <c r="E49" s="1049"/>
      <c r="F49" s="1049"/>
      <c r="G49" s="1049"/>
      <c r="H49" s="1049"/>
      <c r="I49" s="1049"/>
      <c r="J49" s="2431"/>
      <c r="K49" s="2432"/>
      <c r="L49" s="2432"/>
      <c r="M49" s="1049"/>
      <c r="N49" s="1049"/>
      <c r="O49" s="1049"/>
      <c r="P49" s="1049"/>
      <c r="Q49" s="1049"/>
      <c r="R49" s="1049"/>
      <c r="S49" s="2433"/>
      <c r="T49" s="2433"/>
      <c r="U49" s="2433"/>
      <c r="V49" s="2433"/>
    </row>
    <row r="50" spans="1:22" s="1741" customFormat="1">
      <c r="A50" s="1568"/>
      <c r="B50" s="1568"/>
      <c r="C50" s="1049"/>
      <c r="D50" s="1049"/>
      <c r="E50" s="1049"/>
      <c r="F50" s="1049"/>
      <c r="G50" s="1049"/>
      <c r="H50" s="1049"/>
      <c r="I50" s="1049"/>
      <c r="J50" s="2431"/>
      <c r="K50" s="2432"/>
      <c r="L50" s="2432"/>
      <c r="M50" s="1049"/>
      <c r="N50" s="1049"/>
      <c r="O50" s="1049"/>
      <c r="P50" s="1049"/>
      <c r="Q50" s="1049"/>
      <c r="R50" s="1049"/>
      <c r="S50" s="2433"/>
      <c r="T50" s="2433"/>
      <c r="U50" s="2433"/>
      <c r="V50" s="2433"/>
    </row>
    <row r="51" spans="1:22" s="1741" customFormat="1">
      <c r="A51" s="1568"/>
      <c r="B51" s="1568"/>
      <c r="C51" s="1049"/>
      <c r="D51" s="1049"/>
      <c r="E51" s="1049"/>
      <c r="F51" s="1049"/>
      <c r="G51" s="1049"/>
      <c r="H51" s="1049"/>
      <c r="I51" s="1049"/>
      <c r="J51" s="2431"/>
      <c r="K51" s="2432"/>
      <c r="L51" s="2432"/>
      <c r="M51" s="1049"/>
      <c r="N51" s="1049"/>
      <c r="O51" s="1049"/>
      <c r="P51" s="1049"/>
      <c r="Q51" s="1049"/>
      <c r="R51" s="1049"/>
    </row>
    <row r="52" spans="1:22" s="1741" customFormat="1">
      <c r="A52" s="1568"/>
      <c r="B52" s="1568"/>
      <c r="C52" s="1568"/>
      <c r="D52" s="1568"/>
      <c r="E52" s="1568"/>
      <c r="F52" s="1049"/>
      <c r="G52" s="1568"/>
      <c r="H52" s="1568"/>
      <c r="I52" s="1568"/>
      <c r="J52" s="2434"/>
      <c r="K52" s="2432"/>
      <c r="L52" s="2432"/>
      <c r="M52" s="2432"/>
      <c r="N52" s="1568"/>
      <c r="O52" s="1568"/>
      <c r="P52" s="1568"/>
      <c r="Q52" s="1568"/>
      <c r="R52" s="1568"/>
    </row>
    <row r="53" spans="1:22" s="1741" customFormat="1">
      <c r="A53" s="1568"/>
      <c r="B53" s="1568"/>
      <c r="C53" s="1568"/>
      <c r="D53" s="1568"/>
      <c r="E53" s="1568"/>
      <c r="F53" s="1049"/>
      <c r="G53" s="1568"/>
      <c r="H53" s="1568"/>
      <c r="I53" s="1568"/>
      <c r="J53" s="2434"/>
      <c r="K53" s="2432"/>
      <c r="L53" s="2432"/>
      <c r="M53" s="2432"/>
      <c r="N53" s="1568"/>
      <c r="O53" s="1568"/>
      <c r="P53" s="1568"/>
      <c r="Q53" s="1568"/>
      <c r="R53" s="1568"/>
    </row>
    <row r="54" spans="1:22" s="1741" customFormat="1">
      <c r="A54" s="1568"/>
      <c r="B54" s="1568"/>
      <c r="C54" s="1568"/>
      <c r="D54" s="1568"/>
      <c r="E54" s="1568"/>
      <c r="F54" s="1049"/>
      <c r="G54" s="1568"/>
      <c r="H54" s="1568"/>
      <c r="I54" s="1568"/>
      <c r="J54" s="2434"/>
      <c r="K54" s="2432"/>
      <c r="L54" s="2432"/>
      <c r="M54" s="2432"/>
      <c r="N54" s="1568"/>
      <c r="O54" s="1568"/>
      <c r="P54" s="1568"/>
      <c r="Q54" s="1568"/>
      <c r="R54" s="1568"/>
    </row>
    <row r="55" spans="1:22" s="1741" customFormat="1">
      <c r="A55" s="1568"/>
      <c r="B55" s="1568"/>
      <c r="C55" s="1568"/>
      <c r="D55" s="1568"/>
      <c r="E55" s="1568"/>
      <c r="F55" s="1049"/>
      <c r="G55" s="1568"/>
      <c r="H55" s="1568"/>
      <c r="I55" s="1568"/>
      <c r="J55" s="2434"/>
      <c r="K55" s="2432"/>
      <c r="L55" s="2432"/>
      <c r="M55" s="2432"/>
      <c r="N55" s="1568"/>
      <c r="O55" s="1568"/>
      <c r="P55" s="1568"/>
      <c r="Q55" s="1568"/>
      <c r="R55" s="1568"/>
    </row>
    <row r="56" spans="1:22" s="1741" customFormat="1">
      <c r="A56" s="1568"/>
      <c r="B56" s="1568"/>
      <c r="C56" s="1568"/>
      <c r="D56" s="1568"/>
      <c r="E56" s="1568"/>
      <c r="F56" s="1049"/>
      <c r="G56" s="1568"/>
      <c r="H56" s="1568"/>
      <c r="I56" s="1568"/>
      <c r="J56" s="2434"/>
      <c r="K56" s="2432"/>
      <c r="L56" s="2432"/>
      <c r="M56" s="2432"/>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3"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8.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hidden="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hidden="1" customWidth="1"/>
    <col min="31" max="31" width="9.75" style="1571" hidden="1" customWidth="1"/>
    <col min="32" max="46" width="9.5" style="1571" hidden="1" customWidth="1"/>
    <col min="47" max="47" width="18.125" style="1571" hidden="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1065</v>
      </c>
      <c r="AZ2" s="1047"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ROUND(I13/B13*B14,2)</f>
        <v>396.01</v>
      </c>
      <c r="B3" s="11">
        <f>IF(C3="否",G5-AT5,G5)</f>
        <v>3455.7</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3455.7</v>
      </c>
      <c r="H5" s="13">
        <f t="shared" ref="H5:AT5" si="0">SUM(H13:H656)</f>
        <v>3455.7</v>
      </c>
      <c r="I5" s="13">
        <f t="shared" si="0"/>
        <v>3455.7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3455.7</v>
      </c>
      <c r="BA5" s="15">
        <f t="shared" si="1"/>
        <v>3455.7</v>
      </c>
      <c r="BB5" s="15">
        <f t="shared" si="1"/>
        <v>3455.7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396.01</v>
      </c>
      <c r="F6" s="13" t="s">
        <v>0</v>
      </c>
      <c r="G6" s="13" t="s">
        <v>1</v>
      </c>
      <c r="H6" s="17">
        <f>SUMIF(I$12:AB$12,"总值",I6:AB6)</f>
        <v>396.01</v>
      </c>
      <c r="I6" s="13">
        <f t="shared" ref="I6:AB6" si="2">ROUND($A$3*I5/$B$3,2)</f>
        <v>396.01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396.01</v>
      </c>
      <c r="AZ6" s="13" t="s">
        <v>2</v>
      </c>
      <c r="BA6" s="13">
        <f>ROUND($AY$6*BA5/$AZ$5,2)</f>
        <v>396.01</v>
      </c>
      <c r="BB6" s="13">
        <f>ROUND($AY$6*BB5/$AZ$5,2)</f>
        <v>396.01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7" t="s">
        <v>1084</v>
      </c>
      <c r="AD8" s="1598"/>
      <c r="AE8" s="1590"/>
      <c r="AF8" s="1358"/>
      <c r="AG8" s="1358"/>
      <c r="AH8" s="1358"/>
      <c r="AI8" s="1358"/>
      <c r="AJ8" s="1358"/>
      <c r="AK8" s="1358"/>
      <c r="AL8" s="1358"/>
      <c r="AM8" s="1358"/>
      <c r="AN8" s="1358"/>
      <c r="AO8" s="1358"/>
      <c r="AP8" s="1358"/>
      <c r="AQ8" s="1358"/>
      <c r="AR8" s="1358"/>
      <c r="AS8" s="1358"/>
      <c r="AT8" s="1068" t="s">
        <v>1085</v>
      </c>
      <c r="AU8" s="1592" t="s">
        <v>1086</v>
      </c>
      <c r="AV8" s="1068"/>
      <c r="AW8" s="1575"/>
      <c r="AX8" s="1068"/>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1089</v>
      </c>
      <c r="I9" s="1601" t="s">
        <v>3380</v>
      </c>
      <c r="J9" s="807"/>
      <c r="K9" s="1601"/>
      <c r="L9" s="807"/>
      <c r="M9" s="1601"/>
      <c r="N9" s="807"/>
      <c r="O9" s="1601"/>
      <c r="P9" s="807"/>
      <c r="Q9" s="1601"/>
      <c r="R9" s="807"/>
      <c r="S9" s="1601"/>
      <c r="T9" s="807"/>
      <c r="U9" s="1601"/>
      <c r="V9" s="807"/>
      <c r="W9" s="1601"/>
      <c r="X9" s="1602"/>
      <c r="Y9" s="1601"/>
      <c r="Z9" s="807"/>
      <c r="AA9" s="1601"/>
      <c r="AB9" s="807"/>
      <c r="AC9" s="1593"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3"/>
      <c r="AT9" s="1592"/>
      <c r="AU9" s="1592" t="s">
        <v>1092</v>
      </c>
      <c r="AV9" s="1068"/>
      <c r="AW9" s="1575"/>
      <c r="AX9" s="1068"/>
      <c r="AY9" s="25"/>
      <c r="AZ9" s="25" t="s">
        <v>1082</v>
      </c>
      <c r="BA9" s="1604" t="s">
        <v>1093</v>
      </c>
      <c r="BB9" s="1605"/>
      <c r="BC9" s="1086"/>
      <c r="BD9" s="1086"/>
      <c r="BE9" s="1086"/>
      <c r="BF9" s="1086"/>
      <c r="BG9" s="1086"/>
      <c r="BH9" s="1086"/>
      <c r="BI9" s="1086"/>
      <c r="BJ9" s="1086"/>
      <c r="BK9" s="1606"/>
      <c r="BL9" s="12" t="s">
        <v>1094</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1095</v>
      </c>
      <c r="AE10" s="1608"/>
      <c r="AF10" s="12" t="s">
        <v>1095</v>
      </c>
      <c r="AG10" s="1608"/>
      <c r="AH10" s="12" t="s">
        <v>1096</v>
      </c>
      <c r="AI10" s="1608"/>
      <c r="AJ10" s="12" t="s">
        <v>1096</v>
      </c>
      <c r="AK10" s="1608"/>
      <c r="AL10" s="12" t="s">
        <v>1097</v>
      </c>
      <c r="AM10" s="1074"/>
      <c r="AN10" s="12" t="s">
        <v>1097</v>
      </c>
      <c r="AO10" s="1074"/>
      <c r="AP10" s="12" t="s">
        <v>1098</v>
      </c>
      <c r="AQ10" s="1074"/>
      <c r="AR10" s="12" t="s">
        <v>1098</v>
      </c>
      <c r="AS10" s="1074"/>
      <c r="AT10" s="1592"/>
      <c r="AU10" s="1592"/>
      <c r="AV10" s="1068"/>
      <c r="AW10" s="1575"/>
      <c r="AX10" s="1068"/>
      <c r="AY10" s="25"/>
      <c r="AZ10" s="25"/>
      <c r="BA10" s="1609" t="s">
        <v>1089</v>
      </c>
      <c r="BB10" s="1610" t="str">
        <f>I9</f>
        <v>地上</v>
      </c>
      <c r="BC10" s="26">
        <f>K9</f>
        <v>0</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3381</v>
      </c>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办公楼</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28.5">
      <c r="A13" s="31" t="s">
        <v>3496</v>
      </c>
      <c r="B13" s="31">
        <v>93222.79</v>
      </c>
      <c r="C13" s="1049"/>
      <c r="D13" s="1623" t="s">
        <v>3379</v>
      </c>
      <c r="E13" s="13">
        <f>IF($C$3="是",ROUND($A$3*G13/$B$3,2),ROUND($A$3*(G13-AT13)/$B$3,2))</f>
        <v>396.01</v>
      </c>
      <c r="F13" s="29"/>
      <c r="G13" s="30">
        <f>H13+AC13+AT13</f>
        <v>3455.7</v>
      </c>
      <c r="H13" s="17">
        <f>SUMIF(I$12:AB$12,"总值",I13:AB13)</f>
        <v>3455.7</v>
      </c>
      <c r="I13" s="1624">
        <v>3455.7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t="str">
        <f t="shared" ref="AV13:AX17" si="6">A13</f>
        <v>总建筑面积</v>
      </c>
      <c r="AW13" s="8">
        <f t="shared" si="6"/>
        <v>93222.79</v>
      </c>
      <c r="AX13" s="8">
        <f t="shared" si="6"/>
        <v>0</v>
      </c>
      <c r="AY13" s="1347">
        <f>ROUND($AY$6*AZ13/$AZ$5,2)</f>
        <v>396.01</v>
      </c>
      <c r="AZ13" s="13">
        <f>BA13+BL13</f>
        <v>3455.7</v>
      </c>
      <c r="BA13" s="13">
        <f>SUM(BB13:BK13)</f>
        <v>3455.7</v>
      </c>
      <c r="BB13" s="13">
        <f>IF($D13="是",I13-J13,0)</f>
        <v>3455.7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28.5">
      <c r="A14" s="31" t="s">
        <v>3497</v>
      </c>
      <c r="B14" s="31">
        <v>10682.89</v>
      </c>
      <c r="C14" s="1049"/>
      <c r="D14" s="1623" t="s">
        <v>3369</v>
      </c>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t="str">
        <f t="shared" si="6"/>
        <v>总土地面积</v>
      </c>
      <c r="AW14" s="8">
        <f t="shared" si="6"/>
        <v>10682.89</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c r="A15" s="31"/>
      <c r="B15" s="31"/>
      <c r="C15" s="1049"/>
      <c r="D15" s="1623" t="s">
        <v>3369</v>
      </c>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c r="A16" s="31"/>
      <c r="B16" s="31"/>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F41" sqref="F41"/>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3"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7"/>
      <c r="C1" s="1137"/>
      <c r="D1" s="1137"/>
      <c r="E1" s="1137"/>
      <c r="F1" s="1137"/>
      <c r="G1" s="1137"/>
      <c r="H1" s="1137"/>
      <c r="I1" s="1137"/>
      <c r="J1" s="1137"/>
      <c r="K1" s="1137"/>
      <c r="L1" s="1137"/>
      <c r="M1" s="1137"/>
      <c r="N1" s="1137"/>
      <c r="O1" s="1137"/>
      <c r="P1" s="1137"/>
    </row>
    <row r="2" spans="1:16" ht="15">
      <c r="A2" s="3557" t="s">
        <v>1129</v>
      </c>
      <c r="B2" s="3557"/>
      <c r="C2" s="3557"/>
      <c r="D2" s="794" t="s">
        <v>1105</v>
      </c>
      <c r="E2" s="1637" t="s">
        <v>1106</v>
      </c>
      <c r="F2" s="2653"/>
      <c r="G2" s="2644"/>
      <c r="H2" s="2645"/>
      <c r="I2" s="2323" t="s">
        <v>1130</v>
      </c>
      <c r="J2" s="2653"/>
      <c r="K2" s="2653"/>
      <c r="L2" s="2653"/>
      <c r="M2" s="2653"/>
      <c r="N2" s="2655"/>
      <c r="O2" s="2653"/>
      <c r="P2" s="2653"/>
    </row>
    <row r="3" spans="1:16" ht="15.75" thickBot="1">
      <c r="A3" s="3558" t="s">
        <v>1103</v>
      </c>
      <c r="B3" s="3558"/>
      <c r="C3" s="3558"/>
      <c r="D3" s="43">
        <f>'数据-基础表'!AY6</f>
        <v>396.01</v>
      </c>
      <c r="E3" s="43">
        <f>'数据-基础表'!AZ5</f>
        <v>3455.7</v>
      </c>
      <c r="F3" s="2653"/>
      <c r="G3" s="1143"/>
      <c r="H3" s="1024" t="s">
        <v>1104</v>
      </c>
      <c r="I3" s="853">
        <f>ROUND('数据-基础表'!B3/'数据-基础表'!A3,2)</f>
        <v>8.73</v>
      </c>
      <c r="J3" s="2653"/>
      <c r="K3" s="2653"/>
      <c r="L3" s="2653"/>
      <c r="M3" s="2653"/>
      <c r="N3" s="2655"/>
      <c r="O3" s="2653"/>
      <c r="P3" s="2653"/>
    </row>
    <row r="4" spans="1:16" ht="15">
      <c r="A4" s="3559"/>
      <c r="B4" s="3560"/>
      <c r="C4" s="3561"/>
      <c r="D4" s="1639" t="s">
        <v>1105</v>
      </c>
      <c r="E4" s="1640" t="s">
        <v>1106</v>
      </c>
      <c r="F4" s="2653"/>
      <c r="G4" s="2646" t="s">
        <v>1131</v>
      </c>
      <c r="H4" s="1024" t="s">
        <v>1111</v>
      </c>
      <c r="I4" s="853">
        <f>ROUND(SUMIF('数据-基础表'!I9:AS9,"地上",'数据-基础表'!I5:AS5)/'数据-基础表'!A3,2)</f>
        <v>8.73</v>
      </c>
      <c r="J4" s="2653"/>
      <c r="K4" s="2653"/>
      <c r="L4" s="2653"/>
      <c r="M4" s="2653"/>
      <c r="N4" s="2655"/>
      <c r="O4" s="2653"/>
      <c r="P4" s="2653"/>
    </row>
    <row r="5" spans="1:16">
      <c r="A5" s="44" t="s">
        <v>1107</v>
      </c>
      <c r="B5" s="3562" t="s">
        <v>1108</v>
      </c>
      <c r="C5" s="3562"/>
      <c r="D5" s="45">
        <f>ROUND($D$3*E5/$E$3,2)</f>
        <v>0</v>
      </c>
      <c r="E5" s="46">
        <f>SUMIF('数据-基础表'!$11:$11,"住宅",'数据-基础表'!$5:$5)</f>
        <v>0</v>
      </c>
      <c r="F5" s="2653"/>
      <c r="G5" s="1143"/>
      <c r="H5" s="1024" t="s">
        <v>1104</v>
      </c>
      <c r="I5" s="853">
        <f>ROUND(E31/D31,2)</f>
        <v>8.73</v>
      </c>
      <c r="J5" s="2653"/>
      <c r="K5" s="2653"/>
      <c r="L5" s="2653"/>
      <c r="M5" s="2653"/>
      <c r="N5" s="2653"/>
      <c r="O5" s="2653"/>
      <c r="P5" s="2653"/>
    </row>
    <row r="6" spans="1:16" ht="15" thickBot="1">
      <c r="A6" s="1642"/>
      <c r="B6" s="3562" t="s">
        <v>1109</v>
      </c>
      <c r="C6" s="3562"/>
      <c r="D6" s="45">
        <f>ROUND($D$3*E6/$E$3,2)</f>
        <v>396.01</v>
      </c>
      <c r="E6" s="46">
        <f>E3-E5</f>
        <v>3455.7</v>
      </c>
      <c r="F6" s="2653"/>
      <c r="G6" s="2647" t="s">
        <v>1110</v>
      </c>
      <c r="H6" s="1144" t="s">
        <v>1111</v>
      </c>
      <c r="I6" s="2648">
        <f>ROUND(F31/D31,2)</f>
        <v>8.73</v>
      </c>
      <c r="J6" s="2653"/>
      <c r="K6" s="2653"/>
      <c r="L6" s="2653"/>
      <c r="M6" s="2653"/>
      <c r="N6" s="2653"/>
      <c r="O6" s="2653"/>
      <c r="P6" s="2653"/>
    </row>
    <row r="7" spans="1:16" ht="15.75" thickBot="1">
      <c r="A7" s="3554"/>
      <c r="B7" s="3555"/>
      <c r="C7" s="3556"/>
      <c r="D7" s="1639" t="s">
        <v>1105</v>
      </c>
      <c r="E7" s="1643" t="s">
        <v>1112</v>
      </c>
      <c r="F7" s="2653"/>
      <c r="G7" s="2649" t="s">
        <v>1113</v>
      </c>
      <c r="H7" s="2650"/>
      <c r="I7" s="2651"/>
      <c r="J7" s="2653"/>
      <c r="K7" s="2653"/>
      <c r="L7" s="2653"/>
      <c r="M7" s="2653"/>
      <c r="N7" s="2653"/>
      <c r="O7" s="2653"/>
      <c r="P7" s="2653"/>
    </row>
    <row r="8" spans="1:16">
      <c r="A8" s="44" t="s">
        <v>1114</v>
      </c>
      <c r="B8" s="47" t="s">
        <v>1115</v>
      </c>
      <c r="C8" s="45" t="s">
        <v>1116</v>
      </c>
      <c r="D8" s="45">
        <f t="shared" ref="D8:D15" si="0">ROUND($D$3*E8/$E$3,2)</f>
        <v>396.01</v>
      </c>
      <c r="E8" s="48">
        <f>SUMIF('数据-基础表'!BB10:BK10,"地上",'数据-基础表'!BB5:BK5)</f>
        <v>3455.7</v>
      </c>
      <c r="F8" s="2653"/>
      <c r="G8" s="2654"/>
      <c r="H8" s="2654"/>
      <c r="I8" s="2653"/>
      <c r="J8" s="2653"/>
      <c r="K8" s="2653"/>
      <c r="L8" s="2653"/>
      <c r="M8" s="2653"/>
      <c r="N8" s="2653"/>
      <c r="O8" s="2653"/>
      <c r="P8" s="2653"/>
    </row>
    <row r="9" spans="1:16">
      <c r="A9" s="1644"/>
      <c r="B9" s="1645"/>
      <c r="C9" s="45" t="s">
        <v>1117</v>
      </c>
      <c r="D9" s="45">
        <f t="shared" si="0"/>
        <v>0</v>
      </c>
      <c r="E9" s="49">
        <v>0</v>
      </c>
      <c r="F9" s="2653"/>
      <c r="G9" s="2654"/>
      <c r="H9" s="2654"/>
      <c r="I9" s="2653"/>
      <c r="J9" s="2653"/>
      <c r="K9" s="2653"/>
      <c r="L9" s="2653"/>
      <c r="M9" s="2653"/>
      <c r="N9" s="2653"/>
      <c r="O9" s="2653"/>
      <c r="P9" s="2653"/>
    </row>
    <row r="10" spans="1:16">
      <c r="A10" s="1644"/>
      <c r="B10" s="1645"/>
      <c r="C10" s="45" t="s">
        <v>1126</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4"/>
      <c r="B11" s="1645"/>
      <c r="C11" s="45" t="s">
        <v>1118</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4"/>
      <c r="B12" s="1645"/>
      <c r="C12" s="45" t="s">
        <v>1119</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4"/>
      <c r="B13" s="1645"/>
      <c r="C13" s="45" t="s">
        <v>1120</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4"/>
      <c r="B14" s="1645"/>
      <c r="C14" s="45" t="s">
        <v>1132</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4"/>
      <c r="B15" s="1645"/>
      <c r="C15" s="45" t="s">
        <v>1127</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2"/>
      <c r="B16" s="1645"/>
      <c r="C16" s="47" t="s">
        <v>1121</v>
      </c>
      <c r="D16" s="47">
        <f>SUM(D8:D15)</f>
        <v>396.01</v>
      </c>
      <c r="E16" s="50">
        <f>SUM(E8:E15)</f>
        <v>3455.7</v>
      </c>
      <c r="F16" s="2653"/>
      <c r="G16" s="2654"/>
      <c r="H16" s="1646" t="s">
        <v>1133</v>
      </c>
      <c r="I16" s="1647"/>
      <c r="J16" s="1137"/>
      <c r="K16" s="3551" t="s">
        <v>1133</v>
      </c>
      <c r="L16" s="3552"/>
      <c r="M16" s="3552"/>
      <c r="N16" s="3552"/>
      <c r="O16" s="3552"/>
      <c r="P16" s="3553"/>
    </row>
    <row r="17" spans="1:19" ht="15">
      <c r="A17" s="1648" t="s">
        <v>1134</v>
      </c>
      <c r="B17" s="1649" t="s">
        <v>1135</v>
      </c>
      <c r="C17" s="1650" t="s">
        <v>1136</v>
      </c>
      <c r="D17" s="1651" t="s">
        <v>1124</v>
      </c>
      <c r="E17" s="1652" t="s">
        <v>1125</v>
      </c>
      <c r="F17" s="1653"/>
      <c r="G17" s="1654"/>
      <c r="H17" s="1655" t="s">
        <v>1137</v>
      </c>
      <c r="I17" s="1656" t="s">
        <v>1122</v>
      </c>
      <c r="J17" s="1137"/>
      <c r="K17" s="3548" t="s">
        <v>1138</v>
      </c>
      <c r="L17" s="3549"/>
      <c r="M17" s="3550"/>
      <c r="N17" s="3548" t="s">
        <v>1139</v>
      </c>
      <c r="O17" s="3549"/>
      <c r="P17" s="3550"/>
      <c r="R17" s="1638" t="s">
        <v>1140</v>
      </c>
      <c r="S17" s="56"/>
    </row>
    <row r="18" spans="1:19" ht="15">
      <c r="A18" s="1644"/>
      <c r="B18" s="1657"/>
      <c r="C18" s="1658"/>
      <c r="D18" s="1659"/>
      <c r="E18" s="1660" t="s">
        <v>1141</v>
      </c>
      <c r="F18" s="1661" t="s">
        <v>1142</v>
      </c>
      <c r="G18" s="1662" t="s">
        <v>1143</v>
      </c>
      <c r="H18" s="1039" t="s">
        <v>1144</v>
      </c>
      <c r="I18" s="1663" t="s">
        <v>1145</v>
      </c>
      <c r="J18" s="1137"/>
      <c r="K18" s="1039" t="s">
        <v>1146</v>
      </c>
      <c r="L18" s="1664" t="s">
        <v>1147</v>
      </c>
      <c r="M18" s="853" t="s">
        <v>1148</v>
      </c>
      <c r="N18" s="1039" t="s">
        <v>1146</v>
      </c>
      <c r="O18" s="1664" t="s">
        <v>1147</v>
      </c>
      <c r="P18" s="853" t="s">
        <v>1148</v>
      </c>
      <c r="R18" s="1024" t="s">
        <v>1149</v>
      </c>
      <c r="S18" s="1024" t="s">
        <v>1150</v>
      </c>
    </row>
    <row r="19" spans="1:19">
      <c r="A19" s="1665"/>
      <c r="B19" s="47" t="s">
        <v>1123</v>
      </c>
      <c r="C19" s="3412" t="s">
        <v>3382</v>
      </c>
      <c r="D19" s="45">
        <f>ROUND($D$3*E19/$E$3,2)</f>
        <v>396.01</v>
      </c>
      <c r="E19" s="53">
        <f t="shared" ref="E19:E26" si="1">SUM(F19:G19)</f>
        <v>3455.7</v>
      </c>
      <c r="F19" s="2788">
        <f>'数据-基础表'!I13</f>
        <v>3455.7</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396.01</v>
      </c>
      <c r="S19" s="1025">
        <f t="shared" si="5"/>
        <v>3455.7</v>
      </c>
    </row>
    <row r="20" spans="1:19">
      <c r="A20" s="1668"/>
      <c r="B20" s="47" t="s">
        <v>1151</v>
      </c>
      <c r="C20" s="3412"/>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1151</v>
      </c>
      <c r="C21" s="3412"/>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1151</v>
      </c>
      <c r="C22" s="3413"/>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1151</v>
      </c>
      <c r="C23" s="3413"/>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1151</v>
      </c>
      <c r="C24" s="3413"/>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1151</v>
      </c>
      <c r="C25" s="3413"/>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1151</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1152</v>
      </c>
      <c r="D27" s="1138">
        <f>SUM(D19:D26)</f>
        <v>396.01</v>
      </c>
      <c r="E27" s="1139">
        <f>IF(SUM(E19:E26)='数据-基础表'!BA5,SUM(E19:E26),IF(F27="地上面积有误","面积有误","地下面积有误"))</f>
        <v>3455.7</v>
      </c>
      <c r="F27" s="1138">
        <f>IF(SUM(F19:F26)=E8,SUM(F19:F26),"地上面积有误")</f>
        <v>3455.7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396.01</v>
      </c>
      <c r="S27" s="1024">
        <f>IF(SUM(S19:S26)=$E$3,SUM(S19:S26),SUM(S19:S26)&amp;"误差"&amp;ROUND(SUM(S19:S26)-E3,2))</f>
        <v>3455.7</v>
      </c>
    </row>
    <row r="28" spans="1:19">
      <c r="A28" s="1668"/>
      <c r="B28" s="47" t="s">
        <v>1153</v>
      </c>
      <c r="C28" s="1036" t="s">
        <v>1154</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8"/>
      <c r="B29" s="47" t="s">
        <v>1153</v>
      </c>
      <c r="C29" s="1672" t="s">
        <v>1155</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8"/>
      <c r="B30" s="47"/>
      <c r="C30" s="1673" t="s">
        <v>1152</v>
      </c>
      <c r="D30" s="1138">
        <f>SUM(D28:D29)</f>
        <v>0</v>
      </c>
      <c r="E30" s="1138">
        <f>SUM(E28:E29)</f>
        <v>0</v>
      </c>
      <c r="F30" s="1138">
        <f>SUM(F28:F29)</f>
        <v>0</v>
      </c>
      <c r="G30" s="1140">
        <f>SUM(G28:G29)</f>
        <v>0</v>
      </c>
      <c r="H30" s="2653"/>
      <c r="I30" s="2653"/>
      <c r="J30" s="2653"/>
      <c r="K30" s="2653"/>
      <c r="L30" s="2653"/>
      <c r="M30" s="2653"/>
      <c r="N30" s="2653"/>
      <c r="O30" s="2653"/>
      <c r="P30" s="2653"/>
    </row>
    <row r="31" spans="1:19" ht="15.75" thickBot="1">
      <c r="A31" s="1674"/>
      <c r="B31" s="1675"/>
      <c r="C31" s="833" t="s">
        <v>1156</v>
      </c>
      <c r="D31" s="674">
        <f>D27+D30</f>
        <v>396.01</v>
      </c>
      <c r="E31" s="674">
        <f>E27+E30</f>
        <v>3455.7</v>
      </c>
      <c r="F31" s="675">
        <f>F27+F30</f>
        <v>3455.7</v>
      </c>
      <c r="G31" s="676">
        <f>G27+G30</f>
        <v>0</v>
      </c>
      <c r="H31" s="2653"/>
      <c r="I31" s="2653"/>
      <c r="J31" s="2653"/>
      <c r="K31" s="2653"/>
      <c r="L31" s="2653"/>
      <c r="M31" s="2653"/>
      <c r="N31" s="2653"/>
      <c r="O31" s="2653"/>
      <c r="P31" s="2653"/>
    </row>
    <row r="32" spans="1:19">
      <c r="A32" s="1641"/>
      <c r="B32" s="1641" t="s">
        <v>1157</v>
      </c>
      <c r="C32" s="1641"/>
      <c r="D32" s="1641"/>
      <c r="E32" s="1051">
        <f>SUMIF(C19:C26,"*住宅*",E19:E26)</f>
        <v>0</v>
      </c>
      <c r="F32" s="1641"/>
      <c r="G32" s="1641"/>
      <c r="H32" s="2653"/>
      <c r="I32" s="2653"/>
      <c r="J32" s="2653"/>
      <c r="K32" s="2653"/>
      <c r="L32" s="2653"/>
      <c r="M32" s="2653"/>
      <c r="N32" s="2653"/>
      <c r="O32" s="2653"/>
      <c r="P32" s="2653"/>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Q21" sqref="Q21"/>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3">
        <f>项目基本情况!D3</f>
        <v>45037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2"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5" t="s">
        <v>1170</v>
      </c>
      <c r="F5" s="1697" t="s">
        <v>1171</v>
      </c>
      <c r="G5" s="1045" t="s">
        <v>1172</v>
      </c>
      <c r="H5" s="1045" t="s">
        <v>1173</v>
      </c>
      <c r="I5" s="1045" t="s">
        <v>1174</v>
      </c>
      <c r="J5" s="1698" t="s">
        <v>1175</v>
      </c>
      <c r="K5" s="1699" t="s">
        <v>1176</v>
      </c>
      <c r="L5" s="1700" t="s">
        <v>1177</v>
      </c>
      <c r="M5" s="1701" t="s">
        <v>1178</v>
      </c>
      <c r="N5" s="1702" t="s">
        <v>3383</v>
      </c>
      <c r="O5" s="1700" t="s">
        <v>1179</v>
      </c>
      <c r="P5" s="1703" t="s">
        <v>1180</v>
      </c>
      <c r="Q5" s="61" t="s">
        <v>1181</v>
      </c>
      <c r="R5" s="1704" t="s">
        <v>1182</v>
      </c>
      <c r="S5" s="1705" t="s">
        <v>1183</v>
      </c>
      <c r="T5" s="1706" t="s">
        <v>1184</v>
      </c>
      <c r="U5" s="1044" t="s">
        <v>1185</v>
      </c>
      <c r="V5" s="1045" t="s">
        <v>1186</v>
      </c>
      <c r="W5" s="1045" t="s">
        <v>1187</v>
      </c>
      <c r="X5" s="63"/>
      <c r="Y5" s="62" t="s">
        <v>1188</v>
      </c>
      <c r="Z5" s="1707" t="s">
        <v>1185</v>
      </c>
      <c r="AA5" s="1045" t="s">
        <v>1186</v>
      </c>
      <c r="AB5" s="1045" t="s">
        <v>1187</v>
      </c>
      <c r="AC5" s="63"/>
      <c r="AD5" s="63" t="s">
        <v>1188</v>
      </c>
      <c r="AE5" s="1044" t="s">
        <v>1189</v>
      </c>
      <c r="AF5" s="1045" t="s">
        <v>1190</v>
      </c>
      <c r="AG5" s="62" t="s">
        <v>1191</v>
      </c>
      <c r="AH5" s="1044" t="s">
        <v>1192</v>
      </c>
      <c r="AI5" s="1707" t="s">
        <v>1193</v>
      </c>
      <c r="AJ5" s="1707" t="s">
        <v>1194</v>
      </c>
      <c r="AK5" s="1045" t="s">
        <v>1195</v>
      </c>
      <c r="AL5" s="1045" t="s">
        <v>1196</v>
      </c>
      <c r="AM5" s="62" t="s">
        <v>1197</v>
      </c>
      <c r="AN5" s="1708" t="s">
        <v>1198</v>
      </c>
      <c r="AO5" s="1560" t="s">
        <v>1199</v>
      </c>
      <c r="AP5" s="1026"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IF(B6="","",SUMIF(项目基本情况!C$12:H$12,C6,项目基本情况!C$13:H$13))</f>
        <v>52629</v>
      </c>
      <c r="F6" s="64">
        <f>SUMIF(项目基本情况!C$12:I$12,C6,项目基本情况!C$15:I$15)</f>
        <v>20.8</v>
      </c>
      <c r="G6" s="65">
        <f>IF(ISERROR(ROUND(POWER(1+H6,D6-F6)*(POWER(1+H6,F6)-1)/(POWER(1+H6,D6)-1),3)),0,ROUND(POWER(1+H6,D6-F6)*(POWER(1+H6,F6)-1)/(POWER(1+H6,D6)-1),3))</f>
        <v>0.69799999999999995</v>
      </c>
      <c r="H6" s="730">
        <v>0.05</v>
      </c>
      <c r="I6" s="730">
        <v>5.5E-2</v>
      </c>
      <c r="J6" s="66">
        <v>0.08</v>
      </c>
      <c r="K6" s="1028">
        <f>SUMIF('数据-汇总表'!C$19:C$33,A6,'数据-汇总表'!E$19:E$33)</f>
        <v>3455.7</v>
      </c>
      <c r="L6" s="731">
        <v>3500</v>
      </c>
      <c r="M6" s="67">
        <f t="shared" ref="M6:M14" si="0">ROUND(K6*L6/10000,0)</f>
        <v>1209</v>
      </c>
      <c r="N6" s="729">
        <f>O21</f>
        <v>0.7</v>
      </c>
      <c r="O6" s="67" t="str">
        <f>IF($N$5="成新度","——",ROUND(M6*N6,0))</f>
        <v>——</v>
      </c>
      <c r="P6" s="68" t="str">
        <f>IF($N$5="成新度","——",M6-O6)</f>
        <v>——</v>
      </c>
      <c r="Q6" s="732">
        <v>0.15</v>
      </c>
      <c r="R6" s="69">
        <f ca="1">SUMIF('数据-汇总表'!C$19:C$33,A6,'数据-汇总表'!R$19:R$27)</f>
        <v>396.01</v>
      </c>
      <c r="S6" s="51">
        <f>IF('数据-汇总表'!$I$17="按面积比例",SUMIF('数据-汇总表'!C$19:C$33,A6,'数据-汇总表'!K$19:K$33),SUMIF('数据-汇总表'!C$19:C$33,A6,'数据-汇总表'!N$19:N$33))</f>
        <v>0</v>
      </c>
      <c r="T6" s="1170">
        <f>ROUND($L$14*S6/10000,0)</f>
        <v>0</v>
      </c>
      <c r="U6" s="3423">
        <v>6.8</v>
      </c>
      <c r="V6" s="70">
        <v>0.03</v>
      </c>
      <c r="W6" s="70">
        <v>0.1</v>
      </c>
      <c r="X6" s="1038"/>
      <c r="Y6" s="71">
        <f>N6</f>
        <v>0.7</v>
      </c>
      <c r="Z6" s="72"/>
      <c r="AA6" s="66"/>
      <c r="AB6" s="66"/>
      <c r="AC6" s="1038"/>
      <c r="AD6" s="73"/>
      <c r="AE6" s="1039">
        <f ca="1">IF(AN6="",0,SUMIF(INDIRECT("'"&amp;AN6&amp;"'"&amp;"!E:E"),$AE$5,INDIRECT("'"&amp;AN6&amp;"'"&amp;"!F:F")))</f>
        <v>20.8</v>
      </c>
      <c r="AF6" s="1346"/>
      <c r="AG6" s="138">
        <f>IF(AF6="",0,AE6-AF6)</f>
        <v>0</v>
      </c>
      <c r="AH6" s="74"/>
      <c r="AI6" s="76">
        <v>365</v>
      </c>
      <c r="AJ6" s="77"/>
      <c r="AK6" s="78">
        <v>0.01</v>
      </c>
      <c r="AL6" s="79">
        <v>1.5E-3</v>
      </c>
      <c r="AM6" s="80">
        <v>0.01</v>
      </c>
      <c r="AN6" s="1713" t="s">
        <v>3388</v>
      </c>
      <c r="AO6" s="52">
        <f ca="1">SUMIF(INDIRECT("'"&amp;AN6&amp;"'"&amp;"!A:A"),"总价",INDIRECT("'"&amp;AN6&amp;"'"&amp;"!B:B"))</f>
        <v>9849.5195000000003</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3"/>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IF(B8="","",SUMIF(项目基本情况!C$12:H$12,C8,项目基本情况!C$13:H$13))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4"/>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IF(B9="","",SUMIF(项目基本情况!C$12:H$12,C9,项目基本情况!C$13:H$13))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3"/>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IF(B10="","",SUMIF(项目基本情况!C$12:H$12,C10,项目基本情况!C$13:H$13))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3"/>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IF(B11="","",SUMIF(项目基本情况!C$12:H$12,C11,项目基本情况!C$13:H$13))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3"/>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3"/>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5"/>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1"/>
      <c r="D16" s="1718"/>
      <c r="E16" s="88"/>
      <c r="F16" s="88"/>
      <c r="G16" s="89">
        <f>ROUND(SUMPRODUCT(G6:G13,K6:K13)/SUMPRODUCT((G6:G13&gt;0)*(K6:K13)),3)</f>
        <v>0.69799999999999995</v>
      </c>
      <c r="H16" s="90">
        <f>ROUND(SUMPRODUCT(H6:H13,K6:K13)/SUMPRODUCT((H6:H13&gt;0)*(K6:K13)),3)</f>
        <v>0.05</v>
      </c>
      <c r="I16" s="91"/>
      <c r="J16" s="91"/>
      <c r="K16" s="92">
        <f>SUM(K6:K15)</f>
        <v>3455.7</v>
      </c>
      <c r="L16" s="93">
        <f>ROUND(M16*10000/SUM(K6:K14),0)</f>
        <v>3499</v>
      </c>
      <c r="M16" s="93">
        <f>SUM(M6:M14)</f>
        <v>1209</v>
      </c>
      <c r="N16" s="94">
        <f>ROUND(SUMPRODUCT(M6:M14,N6:N14)/M16,3)</f>
        <v>0.7</v>
      </c>
      <c r="O16" s="93">
        <f>SUM(O6:O14)</f>
        <v>0</v>
      </c>
      <c r="P16" s="93">
        <f>SUM(P6:P14)</f>
        <v>0</v>
      </c>
      <c r="Q16" s="95">
        <f>ROUND(SUMPRODUCT(Q6:Q13,K6:K13)/SUMPRODUCT((Q6:Q13&gt;0)*(K6:K13)),2)</f>
        <v>0.15</v>
      </c>
      <c r="R16" s="1032">
        <f ca="1">SUM(R6:R13)</f>
        <v>396.01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c r="C19" s="2792" t="s">
        <v>2296</v>
      </c>
      <c r="D19" s="2669"/>
      <c r="E19" s="2666"/>
      <c r="F19" s="2666"/>
      <c r="G19" s="2666"/>
      <c r="H19" s="2666"/>
      <c r="I19" s="2666"/>
      <c r="J19" s="2666"/>
      <c r="K19" s="2665"/>
      <c r="L19" s="2665"/>
      <c r="M19" s="2664"/>
      <c r="N19" s="3441" t="s">
        <v>3384</v>
      </c>
      <c r="O19" s="3442">
        <f>ROUND(1-(2023-1996)/60,2)</f>
        <v>0.55000000000000004</v>
      </c>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2</v>
      </c>
      <c r="C20" s="2793" t="s">
        <v>2294</v>
      </c>
      <c r="D20" s="2669"/>
      <c r="E20" s="2666"/>
      <c r="F20" s="2666"/>
      <c r="G20" s="2666"/>
      <c r="H20" s="2666"/>
      <c r="I20" s="2666"/>
      <c r="J20" s="2666"/>
      <c r="K20" s="2665"/>
      <c r="L20" s="2665"/>
      <c r="M20" s="2664"/>
      <c r="N20" s="3441" t="s">
        <v>3385</v>
      </c>
      <c r="O20" s="3442">
        <v>0.85</v>
      </c>
      <c r="P20" s="2664"/>
      <c r="Q20" s="2664"/>
      <c r="R20" s="2664"/>
      <c r="S20" s="2664"/>
      <c r="T20" s="2664"/>
      <c r="U20" s="3475">
        <f>188/30</f>
        <v>6.2666666666666666</v>
      </c>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v>2</v>
      </c>
      <c r="C21" s="2666"/>
      <c r="D21" s="2669"/>
      <c r="E21" s="2666"/>
      <c r="F21" s="2666"/>
      <c r="G21" s="2666"/>
      <c r="H21" s="2666"/>
      <c r="I21" s="2666"/>
      <c r="J21" s="2666"/>
      <c r="K21" s="2665"/>
      <c r="L21" s="2665"/>
      <c r="M21" s="2664"/>
      <c r="N21" s="3441" t="s">
        <v>3386</v>
      </c>
      <c r="O21" s="3442">
        <f>ROUND((O19+O20)/2,2)</f>
        <v>0.7</v>
      </c>
      <c r="P21" s="2664"/>
      <c r="Q21" s="2664"/>
      <c r="R21" s="2664"/>
      <c r="S21" s="2664"/>
      <c r="T21" s="2664"/>
      <c r="U21" s="3475">
        <f>195/30</f>
        <v>6.5</v>
      </c>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2</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2</v>
      </c>
      <c r="C23" s="2666"/>
      <c r="D23" s="2669"/>
      <c r="E23" s="2666"/>
      <c r="F23" s="2666"/>
      <c r="G23" s="2666"/>
      <c r="H23" s="2666"/>
      <c r="I23" s="2666"/>
      <c r="J23" s="2666"/>
      <c r="K23" s="2665"/>
      <c r="L23" s="2665"/>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v>160</v>
      </c>
      <c r="C27" s="2794" t="s">
        <v>2298</v>
      </c>
      <c r="D27" s="2672"/>
      <c r="E27" s="2655"/>
      <c r="F27" s="2655"/>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1219</v>
      </c>
      <c r="B28" s="110">
        <v>200</v>
      </c>
      <c r="C28" s="2673"/>
      <c r="D28" s="2672"/>
      <c r="E28" s="2655"/>
      <c r="F28" s="2655"/>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1220</v>
      </c>
      <c r="B29" s="112">
        <f>ROUND(200*K16/10000,0)</f>
        <v>69</v>
      </c>
      <c r="C29" s="2795" t="s">
        <v>2285</v>
      </c>
      <c r="D29" s="2672"/>
      <c r="E29" s="2655"/>
      <c r="F29" s="2655"/>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1221</v>
      </c>
      <c r="B30" s="669">
        <v>200</v>
      </c>
      <c r="C30" s="2673"/>
      <c r="D30" s="2672"/>
      <c r="E30" s="2655"/>
      <c r="F30" s="2655"/>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1222</v>
      </c>
      <c r="B31" s="111">
        <f>B30-B32</f>
        <v>200</v>
      </c>
      <c r="C31" s="2671"/>
      <c r="D31" s="2672"/>
      <c r="E31" s="2655"/>
      <c r="F31" s="2655"/>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1223</v>
      </c>
      <c r="B32" s="670"/>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1224</v>
      </c>
      <c r="B33" s="671">
        <v>0.03</v>
      </c>
      <c r="C33" s="2796" t="s">
        <v>2286</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1225</v>
      </c>
      <c r="B34" s="113">
        <v>0</v>
      </c>
      <c r="C34" s="2796" t="s">
        <v>2287</v>
      </c>
      <c r="D34" s="2677" t="s">
        <v>2295</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1226</v>
      </c>
      <c r="B35" s="110">
        <v>200</v>
      </c>
      <c r="C35" s="2796" t="s">
        <v>2288</v>
      </c>
      <c r="D35" s="2672"/>
      <c r="E35" s="2655"/>
      <c r="F35" s="2655"/>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1227</v>
      </c>
      <c r="B36" s="114">
        <v>1.4999999999999999E-2</v>
      </c>
      <c r="C36" s="2796" t="s">
        <v>2289</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1.4999999999999999E-2</v>
      </c>
      <c r="C37" s="2796" t="s">
        <v>2290</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5">
        <v>1.4999999999999999E-2</v>
      </c>
      <c r="C38" s="2796" t="s">
        <v>2290</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20.25" customHeight="1" thickBot="1">
      <c r="A40" s="2808" t="s">
        <v>3387</v>
      </c>
      <c r="B40" s="1076">
        <f ca="1">IF(A40="利息：取LPR",存贷款利率!G1,存贷款利率!G1+C40)</f>
        <v>4.1499999999999995E-2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7.0000000000000007E-2</v>
      </c>
      <c r="C44" s="2796" t="s">
        <v>2299</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5" t="s">
        <v>2291</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5" t="s">
        <v>2292</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8" t="s">
        <v>2300</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5" t="s">
        <v>2291</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5" t="s">
        <v>2293</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5"/>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5"/>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30</v>
      </c>
      <c r="C52" s="2655"/>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144</v>
      </c>
      <c r="C53" s="2655" t="s">
        <v>1244</v>
      </c>
      <c r="D53" s="2797" t="s">
        <v>2297</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v>30</v>
      </c>
      <c r="C54" s="2655">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v>24</v>
      </c>
      <c r="C55" s="2655">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v>18</v>
      </c>
      <c r="C56" s="2655">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v>12</v>
      </c>
      <c r="C57" s="2655">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v>3</v>
      </c>
      <c r="C58" s="2655">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v>1.5</v>
      </c>
      <c r="C59" s="2655">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1" customFormat="1">
      <c r="A64" s="2658"/>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1" customFormat="1">
      <c r="A65" s="2658"/>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1" customFormat="1">
      <c r="A66" s="2658"/>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1" customFormat="1">
      <c r="A67" s="2658"/>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1" customFormat="1">
      <c r="A68" s="2658"/>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5" sqref="F5"/>
    </sheetView>
  </sheetViews>
  <sheetFormatPr defaultColWidth="9" defaultRowHeight="14.25"/>
  <cols>
    <col min="1" max="1" width="9.5" style="1684" customWidth="1"/>
    <col min="2" max="2" width="24.5" style="1570" customWidth="1"/>
    <col min="3" max="3" width="24.5" style="2504" customWidth="1"/>
    <col min="4" max="4" width="2.625" style="2504" customWidth="1"/>
    <col min="5" max="5" width="5.875" style="2504" customWidth="1"/>
    <col min="6" max="6" width="27" style="1570"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7"/>
    <col min="30" max="16384" width="9" style="1684"/>
  </cols>
  <sheetData>
    <row r="1" spans="1:29" s="2451" customFormat="1" ht="18.75" thickBot="1">
      <c r="A1" s="3563" t="s">
        <v>2277</v>
      </c>
      <c r="B1" s="3564"/>
      <c r="C1" s="3564"/>
      <c r="D1" s="3564"/>
      <c r="E1" s="3564"/>
      <c r="F1" s="3564"/>
      <c r="G1" s="3564"/>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2273</v>
      </c>
      <c r="D2" s="2455"/>
      <c r="E2" s="2452"/>
      <c r="F2" s="2456"/>
      <c r="G2" s="2454" t="s">
        <v>2274</v>
      </c>
      <c r="H2" s="797"/>
      <c r="I2" s="797"/>
      <c r="J2" s="797"/>
      <c r="K2" s="797"/>
      <c r="L2" s="797"/>
      <c r="M2" s="797"/>
      <c r="N2" s="797"/>
      <c r="O2" s="797"/>
      <c r="P2" s="797"/>
      <c r="Q2" s="797"/>
      <c r="R2" s="797"/>
    </row>
    <row r="3" spans="1:29" ht="25.5">
      <c r="A3" s="2435" t="s">
        <v>2275</v>
      </c>
      <c r="B3" s="2457" t="s">
        <v>2247</v>
      </c>
      <c r="C3" s="2458"/>
      <c r="D3" s="2459"/>
      <c r="E3" s="2436" t="s">
        <v>2275</v>
      </c>
      <c r="F3" s="2460" t="s">
        <v>2248</v>
      </c>
      <c r="G3" s="2461" t="s">
        <v>2276</v>
      </c>
      <c r="H3" s="797"/>
      <c r="I3" s="797"/>
      <c r="J3" s="797"/>
      <c r="K3" s="797"/>
      <c r="L3" s="797"/>
      <c r="M3" s="797"/>
      <c r="N3" s="797"/>
      <c r="O3" s="797"/>
      <c r="P3" s="797"/>
      <c r="Q3" s="797"/>
      <c r="R3" s="797"/>
    </row>
    <row r="4" spans="1:29" ht="36">
      <c r="A4" s="2436"/>
      <c r="B4" s="323" t="s">
        <v>2249</v>
      </c>
      <c r="C4" s="2462"/>
      <c r="D4" s="2459"/>
      <c r="E4" s="2463"/>
      <c r="F4" s="1371" t="s">
        <v>2250</v>
      </c>
      <c r="G4" s="2464" t="s">
        <v>2251</v>
      </c>
      <c r="H4" s="797"/>
      <c r="I4" s="797"/>
      <c r="J4" s="797"/>
      <c r="K4" s="797"/>
      <c r="L4" s="797"/>
      <c r="M4" s="797"/>
      <c r="N4" s="797"/>
      <c r="O4" s="797"/>
      <c r="P4" s="797"/>
      <c r="Q4" s="797"/>
      <c r="R4" s="797"/>
    </row>
    <row r="5" spans="1:29" ht="51">
      <c r="A5" s="2436"/>
      <c r="B5" s="323" t="s">
        <v>2252</v>
      </c>
      <c r="C5" s="2462" t="s">
        <v>3442</v>
      </c>
      <c r="D5" s="2459"/>
      <c r="E5" s="2463"/>
      <c r="F5" s="323" t="s">
        <v>2253</v>
      </c>
      <c r="G5" s="2464" t="s">
        <v>2254</v>
      </c>
      <c r="H5" s="797"/>
      <c r="I5" s="797"/>
      <c r="J5" s="797"/>
      <c r="K5" s="797"/>
      <c r="L5" s="797"/>
      <c r="M5" s="797"/>
      <c r="N5" s="797"/>
      <c r="O5" s="797"/>
      <c r="P5" s="797"/>
      <c r="Q5" s="797"/>
      <c r="R5" s="797"/>
    </row>
    <row r="6" spans="1:29" ht="51">
      <c r="A6" s="2436"/>
      <c r="B6" s="323" t="s">
        <v>2255</v>
      </c>
      <c r="C6" s="2464" t="s">
        <v>3443</v>
      </c>
      <c r="D6" s="2459"/>
      <c r="E6" s="2463"/>
      <c r="F6" s="323" t="s">
        <v>2256</v>
      </c>
      <c r="G6" s="2464" t="s">
        <v>2257</v>
      </c>
      <c r="H6" s="797"/>
      <c r="I6" s="797"/>
      <c r="J6" s="797"/>
      <c r="K6" s="797"/>
      <c r="L6" s="797"/>
      <c r="M6" s="797"/>
      <c r="N6" s="797"/>
      <c r="O6" s="797"/>
      <c r="P6" s="797"/>
      <c r="Q6" s="797"/>
      <c r="R6" s="797"/>
    </row>
    <row r="7" spans="1:29" ht="39" thickBot="1">
      <c r="A7" s="2436"/>
      <c r="B7" s="323" t="s">
        <v>2253</v>
      </c>
      <c r="C7" s="2464" t="s">
        <v>3444</v>
      </c>
      <c r="D7" s="2465"/>
      <c r="E7" s="2466"/>
      <c r="F7" s="2467" t="s">
        <v>2258</v>
      </c>
      <c r="G7" s="2468" t="s">
        <v>2259</v>
      </c>
      <c r="H7" s="797"/>
      <c r="I7" s="797"/>
      <c r="J7" s="797"/>
      <c r="K7" s="797"/>
      <c r="L7" s="797"/>
      <c r="M7" s="797"/>
      <c r="N7" s="797"/>
      <c r="O7" s="797"/>
      <c r="P7" s="797"/>
      <c r="Q7" s="797"/>
      <c r="R7" s="797"/>
    </row>
    <row r="8" spans="1:29" ht="25.5">
      <c r="A8" s="2436"/>
      <c r="B8" s="323" t="s">
        <v>2256</v>
      </c>
      <c r="C8" s="2464" t="s">
        <v>3445</v>
      </c>
      <c r="D8" s="2465"/>
      <c r="E8" s="2465"/>
      <c r="F8" s="2469"/>
      <c r="G8" s="2469"/>
      <c r="H8" s="797"/>
      <c r="I8" s="797"/>
      <c r="J8" s="797"/>
      <c r="K8" s="797"/>
      <c r="L8" s="797"/>
      <c r="M8" s="797"/>
      <c r="N8" s="797"/>
      <c r="O8" s="797"/>
      <c r="P8" s="797"/>
      <c r="Q8" s="797"/>
      <c r="R8" s="797"/>
    </row>
    <row r="9" spans="1:29" ht="51">
      <c r="A9" s="2436"/>
      <c r="B9" s="323" t="s">
        <v>2260</v>
      </c>
      <c r="C9" s="2462" t="s">
        <v>3446</v>
      </c>
      <c r="D9" s="2459"/>
      <c r="E9" s="2465"/>
      <c r="F9" s="2469"/>
      <c r="G9" s="2469"/>
      <c r="H9" s="797"/>
      <c r="I9" s="797"/>
      <c r="J9" s="797"/>
      <c r="K9" s="797"/>
      <c r="L9" s="797"/>
      <c r="M9" s="797"/>
      <c r="N9" s="797"/>
      <c r="O9" s="797"/>
      <c r="P9" s="797"/>
      <c r="Q9" s="797"/>
      <c r="R9" s="797"/>
    </row>
    <row r="10" spans="1:29" s="2475" customFormat="1" ht="15" thickBot="1">
      <c r="A10" s="2437"/>
      <c r="B10" s="2470" t="s">
        <v>2261</v>
      </c>
      <c r="C10" s="2471" t="s">
        <v>3447</v>
      </c>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2278</v>
      </c>
      <c r="B13" s="2478"/>
      <c r="C13" s="2478"/>
      <c r="D13" s="2476"/>
      <c r="E13" s="2478"/>
      <c r="F13" s="2478"/>
      <c r="G13" s="2478"/>
    </row>
    <row r="14" spans="1:29" ht="15" thickBot="1">
      <c r="A14" s="2488"/>
      <c r="B14" s="2488"/>
      <c r="C14" s="2489" t="s">
        <v>2262</v>
      </c>
      <c r="D14" s="2459"/>
      <c r="E14" s="2490"/>
      <c r="F14" s="2490"/>
      <c r="G14" s="2454" t="s">
        <v>2263</v>
      </c>
    </row>
    <row r="15" spans="1:29" ht="25.5">
      <c r="A15" s="2438" t="s">
        <v>2264</v>
      </c>
      <c r="B15" s="2491" t="s">
        <v>2247</v>
      </c>
      <c r="C15" s="2492">
        <f>C3</f>
        <v>0</v>
      </c>
      <c r="D15" s="2459"/>
      <c r="E15" s="2439" t="s">
        <v>2265</v>
      </c>
      <c r="F15" s="2491" t="s">
        <v>2266</v>
      </c>
      <c r="G15" s="2493" t="str">
        <f>G3</f>
        <v>估价对象位于XX开发区，园区建设成熟度XX，产业集聚程度XX</v>
      </c>
    </row>
    <row r="16" spans="1:29" ht="38.25">
      <c r="A16" s="2440"/>
      <c r="B16" s="2494" t="s">
        <v>2249</v>
      </c>
      <c r="C16" s="2495">
        <f>C4</f>
        <v>0</v>
      </c>
      <c r="D16" s="2459"/>
      <c r="E16" s="2441"/>
      <c r="F16" s="2496" t="s">
        <v>2250</v>
      </c>
      <c r="G16" s="2497" t="str">
        <f>G4</f>
        <v>估价对象周边道路状况、公共交通通达情况、停车便捷程度，综合评价交通便捷度较好</v>
      </c>
    </row>
    <row r="17" spans="1:18" ht="51">
      <c r="A17" s="2440"/>
      <c r="B17" s="2494" t="s">
        <v>2252</v>
      </c>
      <c r="C17" s="2495" t="str">
        <f>C5</f>
        <v>估价对象位于朝阳门商圈，周边办公楼项目较多，有联合大厦、华普国际大厦等写字楼，入驻率高，办公集聚程度较好</v>
      </c>
      <c r="D17" s="2465"/>
      <c r="E17" s="2441"/>
      <c r="F17" s="2496" t="s">
        <v>2267</v>
      </c>
      <c r="G17" s="2498"/>
    </row>
    <row r="18" spans="1:18" ht="51">
      <c r="A18" s="2440"/>
      <c r="B18" s="2496" t="s">
        <v>2255</v>
      </c>
      <c r="C18" s="2497" t="str">
        <f>C6</f>
        <v>周边有75、110、420路及地铁2号、6号线，周边道路密集，停车便捷程度，综合评价交通便捷度好</v>
      </c>
      <c r="D18" s="2465"/>
      <c r="E18" s="2441"/>
      <c r="F18" s="2496" t="s">
        <v>2258</v>
      </c>
      <c r="G18" s="2497" t="str">
        <f>G7</f>
        <v>该园区内是否有污染型企业，绿化情况，卫生条件，整体环境状况判断</v>
      </c>
    </row>
    <row r="19" spans="1:18" ht="25.5">
      <c r="A19" s="2440"/>
      <c r="B19" s="2496" t="s">
        <v>2268</v>
      </c>
      <c r="C19" s="2498"/>
      <c r="D19" s="2459"/>
      <c r="E19" s="2441"/>
      <c r="F19" s="323" t="s">
        <v>2253</v>
      </c>
      <c r="G19" s="2497" t="str">
        <f>G5</f>
        <v>估价对象所在区域公共配套设施齐备情况</v>
      </c>
    </row>
    <row r="20" spans="1:18" ht="51">
      <c r="A20" s="2440"/>
      <c r="B20" s="2496" t="s">
        <v>2269</v>
      </c>
      <c r="C20" s="2495" t="str">
        <f>C9</f>
        <v>区域内有东城职业大学、日坛公园、富国海底世界等自然及人文环境，综合评价自然及人文环境状况较好。</v>
      </c>
      <c r="D20" s="2465"/>
      <c r="E20" s="2441"/>
      <c r="F20" s="323" t="s">
        <v>2256</v>
      </c>
      <c r="G20" s="2497" t="str">
        <f>G6</f>
        <v>估价对象所在区域基础设施水平</v>
      </c>
    </row>
    <row r="21" spans="1:18" ht="38.25">
      <c r="A21" s="2440"/>
      <c r="B21" s="323" t="s">
        <v>2253</v>
      </c>
      <c r="C21" s="2497" t="str">
        <f>C7</f>
        <v>估价对象所在区域银行、购物场所、学校等公共配套设施齐备，综合评价公共配套设施水平好。</v>
      </c>
      <c r="D21" s="2459"/>
      <c r="E21" s="2441"/>
      <c r="F21" s="2496" t="s">
        <v>2270</v>
      </c>
      <c r="G21" s="2499"/>
    </row>
    <row r="22" spans="1:18" ht="13.5" customHeight="1">
      <c r="A22" s="2440"/>
      <c r="B22" s="323" t="s">
        <v>2256</v>
      </c>
      <c r="C22" s="2497" t="str">
        <f>C8</f>
        <v>估价对象所在区域基础设施水平“七通一平</v>
      </c>
      <c r="D22" s="2459"/>
      <c r="E22" s="2441"/>
      <c r="F22" s="2496" t="s">
        <v>2261</v>
      </c>
      <c r="G22" s="2498"/>
    </row>
    <row r="23" spans="1:18" s="797" customFormat="1" ht="15" thickBot="1">
      <c r="A23" s="2440"/>
      <c r="B23" s="2496" t="s">
        <v>2270</v>
      </c>
      <c r="C23" s="2499"/>
      <c r="D23" s="1739"/>
      <c r="E23" s="2442"/>
      <c r="F23" s="2500" t="s">
        <v>2271</v>
      </c>
      <c r="G23" s="2501"/>
      <c r="H23" s="2485"/>
      <c r="I23" s="2486"/>
      <c r="J23" s="2485"/>
      <c r="K23" s="2485"/>
      <c r="L23" s="2486"/>
      <c r="M23" s="2485"/>
      <c r="N23" s="2485"/>
      <c r="O23" s="2486"/>
      <c r="P23" s="2485"/>
      <c r="Q23" s="2485"/>
      <c r="R23" s="2487"/>
    </row>
    <row r="24" spans="1:18" s="797" customFormat="1" ht="15" thickBot="1">
      <c r="A24" s="2443"/>
      <c r="B24" s="2500" t="s">
        <v>2272</v>
      </c>
      <c r="C24" s="2502" t="str">
        <f>C10</f>
        <v>城市主干道——朝阳门外大街</v>
      </c>
      <c r="D24" s="1739"/>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C16" sqref="C16"/>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3455.7</v>
      </c>
      <c r="C1" s="2679"/>
      <c r="D1" s="2679"/>
      <c r="E1" s="2679"/>
      <c r="F1" s="2679"/>
      <c r="G1" s="2680"/>
      <c r="H1" s="2681"/>
      <c r="I1" s="2681"/>
      <c r="J1" s="2681"/>
      <c r="K1" s="2681"/>
    </row>
    <row r="2" spans="1:11" ht="16.5">
      <c r="A2" s="2506" t="s">
        <v>653</v>
      </c>
      <c r="B2" s="2506">
        <f>SUM(C14:C23)</f>
        <v>396.01</v>
      </c>
      <c r="C2" s="2679"/>
      <c r="D2" s="2679"/>
      <c r="E2" s="2679"/>
      <c r="F2" s="2679"/>
      <c r="G2" s="2680"/>
      <c r="H2" s="2681"/>
      <c r="I2" s="2681"/>
      <c r="J2" s="2681"/>
      <c r="K2" s="2681"/>
    </row>
    <row r="3" spans="1:11" ht="16.5">
      <c r="A3" s="2506" t="s">
        <v>662</v>
      </c>
      <c r="B3" s="2508">
        <f>项目基本情况!D3</f>
        <v>45037</v>
      </c>
      <c r="C3" s="2679"/>
      <c r="D3" s="2679"/>
      <c r="E3" s="2679"/>
      <c r="F3" s="2679"/>
      <c r="G3" s="2680"/>
      <c r="H3" s="2681"/>
      <c r="I3" s="2681"/>
      <c r="J3" s="2681"/>
      <c r="K3" s="2681"/>
    </row>
    <row r="4" spans="1:11" ht="33">
      <c r="A4" s="2506" t="s">
        <v>661</v>
      </c>
      <c r="B4" s="2506" t="s">
        <v>660</v>
      </c>
      <c r="C4" s="2506" t="s">
        <v>659</v>
      </c>
      <c r="D4" s="2506" t="s">
        <v>658</v>
      </c>
      <c r="E4" s="2679"/>
      <c r="F4" s="2680"/>
      <c r="G4" s="2680"/>
      <c r="H4" s="2681"/>
      <c r="I4" s="2681"/>
      <c r="J4" s="2681"/>
      <c r="K4" s="2681"/>
    </row>
    <row r="5" spans="1:11" ht="16.5">
      <c r="A5" s="2506" t="s">
        <v>657</v>
      </c>
      <c r="B5" s="2506">
        <f ca="1">SUM(D14:D23)</f>
        <v>12008</v>
      </c>
      <c r="C5" s="2506">
        <f ca="1">IF(B5=D14,结果表!H102,ROUND(B5*10000/$B$1,0))</f>
        <v>34749</v>
      </c>
      <c r="D5" s="2506">
        <f ca="1">ROUND(B5*10000/$B$2,0)</f>
        <v>303225</v>
      </c>
      <c r="E5" s="2679"/>
      <c r="F5" s="2680"/>
      <c r="G5" s="2680"/>
      <c r="H5" s="2681"/>
      <c r="I5" s="2681"/>
      <c r="J5" s="2681"/>
      <c r="K5" s="2681"/>
    </row>
    <row r="6" spans="1:11" ht="16.5">
      <c r="A6" s="2506" t="s">
        <v>656</v>
      </c>
      <c r="B6" s="2506">
        <f ca="1">SUM(G14:G23)</f>
        <v>12008</v>
      </c>
      <c r="C6" s="2506">
        <f ca="1">IF(B6=G14,结果表!H108,ROUND(B6*10000/$B$1,0))</f>
        <v>34749</v>
      </c>
      <c r="D6" s="2506">
        <f ca="1">ROUND(B6*10000/$B$2,0)</f>
        <v>303225</v>
      </c>
      <c r="E6" s="2679"/>
      <c r="F6" s="2680"/>
      <c r="G6" s="2680"/>
      <c r="H6" s="2681"/>
      <c r="I6" s="2681"/>
      <c r="J6" s="2681"/>
      <c r="K6" s="2681"/>
    </row>
    <row r="7" spans="1:11" ht="16.5">
      <c r="A7" s="2506" t="s">
        <v>664</v>
      </c>
      <c r="B7" s="2506">
        <f>SUM(H14:H23)</f>
        <v>0</v>
      </c>
      <c r="C7" s="2506" t="str">
        <f>IF(B7=H14,结果表!H110,ROUND(B7*10000/$B$1,0))</f>
        <v>——</v>
      </c>
      <c r="D7" s="2506">
        <f>ROUND(B7*10000/$B$2,0)</f>
        <v>0</v>
      </c>
      <c r="E7" s="2679"/>
      <c r="F7" s="2680"/>
      <c r="G7" s="2680"/>
      <c r="H7" s="2681"/>
      <c r="I7" s="2681"/>
      <c r="J7" s="2681"/>
      <c r="K7" s="2681"/>
    </row>
    <row r="8" spans="1:11" ht="16.5">
      <c r="A8" s="2506" t="s">
        <v>587</v>
      </c>
      <c r="B8" s="2506">
        <f>SUM(I14:I23)</f>
        <v>0</v>
      </c>
      <c r="C8" s="2506">
        <f ca="1">IF(B8=I14,结果表!H112,ROUND(B8*10000/$B$1,0))</f>
        <v>26724</v>
      </c>
      <c r="D8" s="2506">
        <f>ROUND(B8*10000/$B$2,0)</f>
        <v>0</v>
      </c>
      <c r="E8" s="2679"/>
      <c r="F8" s="2680"/>
      <c r="G8" s="2680"/>
      <c r="H8" s="2681"/>
      <c r="I8" s="2681"/>
      <c r="J8" s="2681"/>
      <c r="K8" s="2681"/>
    </row>
    <row r="9" spans="1:11" ht="16.5">
      <c r="A9" s="2506" t="s">
        <v>655</v>
      </c>
      <c r="B9" s="2514"/>
      <c r="C9" s="2679"/>
      <c r="D9" s="2679"/>
      <c r="E9" s="2679"/>
      <c r="F9" s="2680"/>
      <c r="G9" s="2680"/>
      <c r="H9" s="2681"/>
      <c r="I9" s="2681"/>
      <c r="J9" s="2681"/>
      <c r="K9" s="2681"/>
    </row>
    <row r="10" spans="1:11" ht="16.5">
      <c r="A10" s="2506" t="s">
        <v>654</v>
      </c>
      <c r="B10" s="2506">
        <f>IF(E10="",0,ROUND(B1*(E10*365/G10)/10000,0))</f>
        <v>0</v>
      </c>
      <c r="C10" s="2506" t="s">
        <v>3358</v>
      </c>
      <c r="D10" s="2506" t="s">
        <v>3359</v>
      </c>
      <c r="E10" s="3436"/>
      <c r="F10" s="3440" t="s">
        <v>3360</v>
      </c>
      <c r="G10" s="3437"/>
      <c r="H10" s="2681"/>
      <c r="I10" s="2681"/>
      <c r="J10" s="2681"/>
      <c r="K10" s="2681"/>
    </row>
    <row r="11" spans="1:11" ht="16.5">
      <c r="A11" s="2506" t="s">
        <v>670</v>
      </c>
      <c r="B11" s="2514"/>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9" t="s">
        <v>669</v>
      </c>
      <c r="B13" s="2510" t="s">
        <v>666</v>
      </c>
      <c r="C13" s="2510" t="s">
        <v>668</v>
      </c>
      <c r="D13" s="2510" t="s">
        <v>667</v>
      </c>
      <c r="E13" s="2506" t="s">
        <v>659</v>
      </c>
      <c r="F13" s="2506" t="s">
        <v>658</v>
      </c>
      <c r="G13" s="2510" t="s">
        <v>652</v>
      </c>
      <c r="H13" s="2510" t="s">
        <v>663</v>
      </c>
      <c r="I13" s="2510" t="s">
        <v>651</v>
      </c>
      <c r="J13" s="2680"/>
      <c r="K13" s="2681"/>
    </row>
    <row r="14" spans="1:11" ht="16.5">
      <c r="A14" s="2511" t="s">
        <v>650</v>
      </c>
      <c r="B14" s="2512">
        <f>典型户型修正!B22</f>
        <v>3455.7</v>
      </c>
      <c r="C14" s="2512">
        <f>结果表!C118</f>
        <v>396.01</v>
      </c>
      <c r="D14" s="2512">
        <f ca="1">结果表!G19</f>
        <v>12008</v>
      </c>
      <c r="E14" s="2512">
        <f ca="1">结果表!I118</f>
        <v>34749</v>
      </c>
      <c r="F14" s="2512">
        <f ca="1">ROUND(D14*10000/C14,0)</f>
        <v>303225</v>
      </c>
      <c r="G14" s="2512">
        <f ca="1">D14</f>
        <v>12008</v>
      </c>
      <c r="H14" s="2512"/>
      <c r="I14" s="2512"/>
      <c r="J14" s="2680"/>
      <c r="K14" s="2681"/>
    </row>
    <row r="15" spans="1:11" ht="16.5">
      <c r="A15" s="2511" t="s">
        <v>649</v>
      </c>
      <c r="B15" s="2513"/>
      <c r="C15" s="2513"/>
      <c r="D15" s="2513"/>
      <c r="E15" s="2512" t="e">
        <f t="shared" ref="E15:E23" si="0">ROUND(D15*10000/B15,0)</f>
        <v>#DIV/0!</v>
      </c>
      <c r="F15" s="2512" t="e">
        <f t="shared" ref="F15:F23" si="1">ROUND(D15*10000/C15,0)</f>
        <v>#DIV/0!</v>
      </c>
      <c r="G15" s="1329"/>
      <c r="H15" s="1329"/>
      <c r="I15" s="2513"/>
      <c r="J15" s="2680"/>
      <c r="K15" s="2681"/>
    </row>
    <row r="16" spans="1:11" ht="16.5">
      <c r="A16" s="2511" t="s">
        <v>648</v>
      </c>
      <c r="B16" s="2513"/>
      <c r="C16" s="2513"/>
      <c r="D16" s="2513"/>
      <c r="E16" s="2512" t="e">
        <f t="shared" si="0"/>
        <v>#DIV/0!</v>
      </c>
      <c r="F16" s="2512" t="e">
        <f t="shared" si="1"/>
        <v>#DIV/0!</v>
      </c>
      <c r="G16" s="1329"/>
      <c r="H16" s="1329"/>
      <c r="I16" s="2513"/>
      <c r="J16" s="2681"/>
      <c r="K16" s="2681"/>
    </row>
    <row r="17" spans="1:11" ht="16.5">
      <c r="A17" s="2511" t="s">
        <v>647</v>
      </c>
      <c r="B17" s="2513"/>
      <c r="C17" s="2513"/>
      <c r="D17" s="2513"/>
      <c r="E17" s="2512" t="e">
        <f t="shared" si="0"/>
        <v>#DIV/0!</v>
      </c>
      <c r="F17" s="2512" t="e">
        <f t="shared" si="1"/>
        <v>#DIV/0!</v>
      </c>
      <c r="G17" s="1329"/>
      <c r="H17" s="1329"/>
      <c r="I17" s="2513"/>
      <c r="J17" s="2681"/>
      <c r="K17" s="2681"/>
    </row>
    <row r="18" spans="1:11" ht="16.5">
      <c r="A18" s="2511" t="s">
        <v>646</v>
      </c>
      <c r="B18" s="2513"/>
      <c r="C18" s="2513"/>
      <c r="D18" s="2513"/>
      <c r="E18" s="2512" t="e">
        <f t="shared" si="0"/>
        <v>#DIV/0!</v>
      </c>
      <c r="F18" s="2512" t="e">
        <f t="shared" si="1"/>
        <v>#DIV/0!</v>
      </c>
      <c r="G18" s="2513"/>
      <c r="H18" s="2513"/>
      <c r="I18" s="2513"/>
      <c r="J18" s="2681"/>
      <c r="K18" s="2681"/>
    </row>
    <row r="19" spans="1:11" ht="16.5">
      <c r="A19" s="2511" t="s">
        <v>645</v>
      </c>
      <c r="B19" s="2513"/>
      <c r="C19" s="2513"/>
      <c r="D19" s="2513"/>
      <c r="E19" s="2512" t="e">
        <f t="shared" si="0"/>
        <v>#DIV/0!</v>
      </c>
      <c r="F19" s="2512" t="e">
        <f t="shared" si="1"/>
        <v>#DIV/0!</v>
      </c>
      <c r="G19" s="2513"/>
      <c r="H19" s="2513"/>
      <c r="I19" s="2513"/>
      <c r="J19" s="2681"/>
      <c r="K19" s="2681"/>
    </row>
    <row r="20" spans="1:11" ht="16.5">
      <c r="A20" s="2511" t="s">
        <v>644</v>
      </c>
      <c r="B20" s="2513"/>
      <c r="C20" s="2513"/>
      <c r="D20" s="2513"/>
      <c r="E20" s="2512" t="e">
        <f t="shared" si="0"/>
        <v>#DIV/0!</v>
      </c>
      <c r="F20" s="2512" t="e">
        <f t="shared" si="1"/>
        <v>#DIV/0!</v>
      </c>
      <c r="G20" s="2513"/>
      <c r="H20" s="2513"/>
      <c r="I20" s="2513"/>
      <c r="J20" s="2681"/>
      <c r="K20" s="2681"/>
    </row>
    <row r="21" spans="1:11" ht="16.5">
      <c r="A21" s="2511" t="s">
        <v>643</v>
      </c>
      <c r="B21" s="2513"/>
      <c r="C21" s="2513"/>
      <c r="D21" s="2513"/>
      <c r="E21" s="2512" t="e">
        <f t="shared" si="0"/>
        <v>#DIV/0!</v>
      </c>
      <c r="F21" s="2512" t="e">
        <f t="shared" si="1"/>
        <v>#DIV/0!</v>
      </c>
      <c r="G21" s="2513"/>
      <c r="H21" s="2513"/>
      <c r="I21" s="2513"/>
      <c r="J21" s="2681"/>
      <c r="K21" s="2681"/>
    </row>
    <row r="22" spans="1:11" ht="16.5">
      <c r="A22" s="2511" t="s">
        <v>642</v>
      </c>
      <c r="B22" s="2513"/>
      <c r="C22" s="2513"/>
      <c r="D22" s="2513"/>
      <c r="E22" s="2512" t="e">
        <f t="shared" si="0"/>
        <v>#DIV/0!</v>
      </c>
      <c r="F22" s="2512" t="e">
        <f t="shared" si="1"/>
        <v>#DIV/0!</v>
      </c>
      <c r="G22" s="2513"/>
      <c r="H22" s="2513"/>
      <c r="I22" s="2513"/>
      <c r="J22" s="2681"/>
      <c r="K22" s="2681"/>
    </row>
    <row r="23" spans="1:11" ht="16.5">
      <c r="A23" s="2511" t="s">
        <v>641</v>
      </c>
      <c r="B23" s="2513"/>
      <c r="C23" s="2513"/>
      <c r="D23" s="2513"/>
      <c r="E23" s="2514" t="e">
        <f t="shared" si="0"/>
        <v>#DIV/0!</v>
      </c>
      <c r="F23" s="2514" t="e">
        <f t="shared" si="1"/>
        <v>#DIV/0!</v>
      </c>
      <c r="G23" s="2513"/>
      <c r="H23" s="2513"/>
      <c r="I23" s="2513"/>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workbookViewId="0">
      <selection activeCell="E9" sqref="E9:J9"/>
    </sheetView>
  </sheetViews>
  <sheetFormatPr defaultRowHeight="15"/>
  <cols>
    <col min="1" max="16384" width="9" style="3458"/>
  </cols>
  <sheetData>
    <row r="1" spans="2:10">
      <c r="B1" s="3457"/>
      <c r="C1" s="3457"/>
      <c r="D1" s="3457"/>
      <c r="E1" s="3457"/>
      <c r="F1" s="3457"/>
      <c r="G1" s="3457"/>
      <c r="H1" s="3457"/>
      <c r="I1" s="3457"/>
      <c r="J1" s="3457"/>
    </row>
    <row r="2" spans="2:10">
      <c r="B2" s="3576" t="s">
        <v>3462</v>
      </c>
      <c r="C2" s="3576"/>
      <c r="D2" s="3576"/>
      <c r="E2" s="3576"/>
      <c r="F2" s="3576"/>
      <c r="G2" s="3576"/>
      <c r="H2" s="3576"/>
      <c r="I2" s="3576"/>
      <c r="J2" s="3576"/>
    </row>
    <row r="3" spans="2:10">
      <c r="B3" s="3565" t="s">
        <v>3463</v>
      </c>
      <c r="C3" s="3565" t="s">
        <v>3464</v>
      </c>
      <c r="D3" s="3565" t="s">
        <v>3465</v>
      </c>
      <c r="E3" s="3565" t="s">
        <v>3466</v>
      </c>
      <c r="F3" s="3565"/>
      <c r="G3" s="3565" t="s">
        <v>3467</v>
      </c>
      <c r="H3" s="3565"/>
      <c r="I3" s="3565" t="s">
        <v>3468</v>
      </c>
      <c r="J3" s="3565"/>
    </row>
    <row r="4" spans="2:10">
      <c r="B4" s="3565"/>
      <c r="C4" s="3565"/>
      <c r="D4" s="3565"/>
      <c r="E4" s="3459" t="s">
        <v>3469</v>
      </c>
      <c r="F4" s="3459" t="s">
        <v>3434</v>
      </c>
      <c r="G4" s="3459" t="s">
        <v>3469</v>
      </c>
      <c r="H4" s="3459" t="s">
        <v>3434</v>
      </c>
      <c r="I4" s="3459" t="s">
        <v>3469</v>
      </c>
      <c r="J4" s="3459" t="s">
        <v>3434</v>
      </c>
    </row>
    <row r="5" spans="2:10">
      <c r="B5" s="3459" t="str">
        <f>[2]典型户型修正!A24</f>
        <v>512-516</v>
      </c>
      <c r="C5" s="3459">
        <f>[2]典型户型修正!B24</f>
        <v>1286.47</v>
      </c>
      <c r="D5" s="3459">
        <f>[2]结果表!C121</f>
        <v>147.41999999999999</v>
      </c>
      <c r="E5" s="3459">
        <f ca="1">I5-G5</f>
        <v>3764</v>
      </c>
      <c r="F5" s="3459">
        <f ca="1">J5-H5</f>
        <v>29259</v>
      </c>
      <c r="G5" s="3459">
        <f ca="1">ROUND(H5*C5/10000,0)</f>
        <v>706</v>
      </c>
      <c r="H5" s="3459">
        <f ca="1">ROUND(J5*F21,0)</f>
        <v>5490</v>
      </c>
      <c r="I5" s="3459">
        <f ca="1">ROUND(J5*C5/10000,0)</f>
        <v>4470</v>
      </c>
      <c r="J5" s="3460">
        <f ca="1">典型户型修正!R24</f>
        <v>34749</v>
      </c>
    </row>
    <row r="6" spans="2:10">
      <c r="B6" s="3459">
        <f>[2]典型户型修正!A26</f>
        <v>2101</v>
      </c>
      <c r="C6" s="3459">
        <f>[2]典型户型修正!B26</f>
        <v>236.83</v>
      </c>
      <c r="D6" s="3459">
        <f>ROUND(C6/$C$16*$C$17,2)</f>
        <v>27.14</v>
      </c>
      <c r="E6" s="3459" t="e">
        <f t="shared" ref="E6:E7" ca="1" si="0">I6-G6</f>
        <v>#N/A</v>
      </c>
      <c r="F6" s="3459" t="e">
        <f ca="1">J6-H6</f>
        <v>#N/A</v>
      </c>
      <c r="G6" s="3459">
        <f ca="1">ROUND(H6*C6/10000,0)</f>
        <v>130</v>
      </c>
      <c r="H6" s="3459">
        <f ca="1">H5</f>
        <v>5490</v>
      </c>
      <c r="I6" s="3459" t="e">
        <f ca="1">ROUND(J6*C6/10000,0)</f>
        <v>#N/A</v>
      </c>
      <c r="J6" s="3460" t="e">
        <f ca="1">典型户型修正!R25</f>
        <v>#N/A</v>
      </c>
    </row>
    <row r="7" spans="2:10">
      <c r="B7" s="3459">
        <f>[2]典型户型修正!A27</f>
        <v>2201</v>
      </c>
      <c r="C7" s="3459">
        <f>[2]典型户型修正!B27</f>
        <v>240.11</v>
      </c>
      <c r="D7" s="3459">
        <f>ROUND(C7/$C$16*$C$17,2)</f>
        <v>27.52</v>
      </c>
      <c r="E7" s="3459" t="e">
        <f t="shared" ca="1" si="0"/>
        <v>#N/A</v>
      </c>
      <c r="F7" s="3459" t="e">
        <f ca="1">J7-H7</f>
        <v>#N/A</v>
      </c>
      <c r="G7" s="3459">
        <f ca="1">ROUND(H7*C7/10000,0)</f>
        <v>132</v>
      </c>
      <c r="H7" s="3459">
        <f ca="1">H6</f>
        <v>5490</v>
      </c>
      <c r="I7" s="3459" t="e">
        <f ca="1">ROUND(J7*C7/10000,0)</f>
        <v>#N/A</v>
      </c>
      <c r="J7" s="3460" t="e">
        <f ca="1">典型户型修正!R26</f>
        <v>#N/A</v>
      </c>
    </row>
    <row r="8" spans="2:10">
      <c r="B8" s="3459" t="s">
        <v>3470</v>
      </c>
      <c r="C8" s="3459">
        <f>SUM(C5:C7)</f>
        <v>1763.4099999999999</v>
      </c>
      <c r="D8" s="3459">
        <f>SUM(D5:D7)</f>
        <v>202.08</v>
      </c>
      <c r="E8" s="3573" t="e">
        <f ca="1">SUM(E5:E7)</f>
        <v>#N/A</v>
      </c>
      <c r="F8" s="3574"/>
      <c r="G8" s="3573">
        <f ca="1">SUM(G5:G7)</f>
        <v>968</v>
      </c>
      <c r="H8" s="3574"/>
      <c r="I8" s="3573" t="e">
        <f ca="1">SUM(I5:I7)</f>
        <v>#N/A</v>
      </c>
      <c r="J8" s="3574"/>
    </row>
    <row r="9" spans="2:10">
      <c r="B9" s="3565" t="s">
        <v>3471</v>
      </c>
      <c r="C9" s="3565"/>
      <c r="D9" s="3565"/>
      <c r="E9" s="3575" t="e">
        <f ca="1">E8*10000</f>
        <v>#N/A</v>
      </c>
      <c r="F9" s="3575"/>
      <c r="G9" s="3575">
        <f ca="1">G8*10000</f>
        <v>9680000</v>
      </c>
      <c r="H9" s="3575"/>
      <c r="I9" s="3575" t="e">
        <f ca="1">I8*10000</f>
        <v>#N/A</v>
      </c>
      <c r="J9" s="3575"/>
    </row>
    <row r="10" spans="2:10">
      <c r="B10" s="3569" t="s">
        <v>3472</v>
      </c>
      <c r="C10" s="3569"/>
      <c r="D10" s="3569"/>
      <c r="E10" s="3570">
        <v>0</v>
      </c>
      <c r="F10" s="3571"/>
      <c r="G10" s="3571"/>
      <c r="H10" s="3571"/>
      <c r="I10" s="3571"/>
      <c r="J10" s="3572"/>
    </row>
    <row r="11" spans="2:10">
      <c r="B11" s="3565" t="s">
        <v>3473</v>
      </c>
      <c r="C11" s="3565"/>
      <c r="D11" s="3565"/>
      <c r="E11" s="3566">
        <f>E10*10000</f>
        <v>0</v>
      </c>
      <c r="F11" s="3567"/>
      <c r="G11" s="3567"/>
      <c r="H11" s="3567"/>
      <c r="I11" s="3567"/>
      <c r="J11" s="3568"/>
    </row>
    <row r="12" spans="2:10">
      <c r="B12" s="3569" t="s">
        <v>3367</v>
      </c>
      <c r="C12" s="3569"/>
      <c r="D12" s="3569"/>
      <c r="E12" s="3570" t="e">
        <f ca="1">I8</f>
        <v>#N/A</v>
      </c>
      <c r="F12" s="3571"/>
      <c r="G12" s="3571"/>
      <c r="H12" s="3571"/>
      <c r="I12" s="3571"/>
      <c r="J12" s="3572"/>
    </row>
    <row r="13" spans="2:10">
      <c r="B13" s="3565" t="s">
        <v>3473</v>
      </c>
      <c r="C13" s="3565"/>
      <c r="D13" s="3565"/>
      <c r="E13" s="3566" t="e">
        <f ca="1">E12*10000</f>
        <v>#N/A</v>
      </c>
      <c r="F13" s="3567"/>
      <c r="G13" s="3567"/>
      <c r="H13" s="3567"/>
      <c r="I13" s="3567"/>
      <c r="J13" s="3568"/>
    </row>
    <row r="14" spans="2:10">
      <c r="B14" s="3457"/>
      <c r="C14" s="3457"/>
      <c r="D14" s="3457"/>
      <c r="E14" s="3457"/>
      <c r="F14" s="3457"/>
      <c r="G14" s="3457"/>
      <c r="H14" s="3457"/>
      <c r="I14" s="3457"/>
      <c r="J14" s="3457"/>
    </row>
    <row r="15" spans="2:10">
      <c r="B15" s="3457"/>
      <c r="C15" s="3457"/>
      <c r="D15" s="3457"/>
      <c r="E15" s="3457"/>
      <c r="F15" s="3457"/>
      <c r="G15" s="3457"/>
      <c r="H15" s="3457"/>
      <c r="I15" s="3457"/>
      <c r="J15" s="3457"/>
    </row>
    <row r="16" spans="2:10">
      <c r="B16" s="3457" t="s">
        <v>3474</v>
      </c>
      <c r="C16" s="3457">
        <v>93222.79</v>
      </c>
      <c r="D16" s="3457"/>
      <c r="E16" s="3457"/>
      <c r="F16" s="3457"/>
      <c r="G16" s="3457"/>
      <c r="H16" s="3457"/>
      <c r="I16" s="3457"/>
      <c r="J16" s="3457"/>
    </row>
    <row r="17" spans="2:10">
      <c r="B17" s="3457" t="s">
        <v>3475</v>
      </c>
      <c r="C17" s="3457">
        <v>10682.89</v>
      </c>
      <c r="D17" s="3457"/>
      <c r="E17" s="3457"/>
      <c r="F17" s="3457"/>
      <c r="G17" s="3457"/>
      <c r="H17" s="3457"/>
      <c r="I17" s="3457"/>
      <c r="J17" s="3457"/>
    </row>
    <row r="18" spans="2:10">
      <c r="B18" s="3457"/>
      <c r="C18" s="3457"/>
      <c r="D18" s="3457"/>
      <c r="E18" s="3457"/>
      <c r="F18" s="3457"/>
      <c r="G18" s="3457"/>
      <c r="H18" s="3457"/>
      <c r="I18" s="3457"/>
      <c r="J18" s="3457"/>
    </row>
    <row r="19" spans="2:10">
      <c r="B19" s="3457"/>
      <c r="C19" s="3461" t="s">
        <v>3476</v>
      </c>
      <c r="D19" s="3462"/>
      <c r="E19" s="3463"/>
      <c r="F19" s="3464" t="s">
        <v>3477</v>
      </c>
      <c r="G19" s="3457"/>
      <c r="H19" s="3457"/>
      <c r="I19" s="3457"/>
      <c r="J19" s="3457"/>
    </row>
    <row r="20" spans="2:10">
      <c r="B20" s="3457"/>
      <c r="C20" s="3465"/>
      <c r="D20" s="3466" t="s">
        <v>3478</v>
      </c>
      <c r="E20" s="3467">
        <f ca="1">E18-E21</f>
        <v>0</v>
      </c>
      <c r="F20" s="3468">
        <f ca="1">'收益法 (元)'!C79</f>
        <v>0.84199999999999997</v>
      </c>
      <c r="G20" s="3457"/>
      <c r="H20" s="3457"/>
      <c r="I20" s="3457"/>
      <c r="J20" s="3457"/>
    </row>
    <row r="21" spans="2:10" ht="15.75" thickBot="1">
      <c r="B21" s="3457"/>
      <c r="C21" s="3469"/>
      <c r="D21" s="3470" t="s">
        <v>3479</v>
      </c>
      <c r="E21" s="3471">
        <f ca="1">ROUND(E18*F21,0)</f>
        <v>0</v>
      </c>
      <c r="F21" s="3468">
        <f ca="1">'收益法 (元)'!C80</f>
        <v>0.158</v>
      </c>
      <c r="G21" s="3457"/>
      <c r="H21" s="3457"/>
      <c r="I21" s="3457"/>
      <c r="J21" s="3457"/>
    </row>
    <row r="22" spans="2:10">
      <c r="B22" s="3457"/>
      <c r="C22" s="3457"/>
      <c r="D22" s="3457"/>
      <c r="E22" s="3457"/>
      <c r="F22" s="3457"/>
      <c r="G22" s="3457"/>
      <c r="H22" s="3457"/>
      <c r="I22" s="3457"/>
      <c r="J22" s="3457"/>
    </row>
  </sheetData>
  <mergeCells count="22">
    <mergeCell ref="B2:J2"/>
    <mergeCell ref="B3:B4"/>
    <mergeCell ref="C3:C4"/>
    <mergeCell ref="D3:D4"/>
    <mergeCell ref="E3:F3"/>
    <mergeCell ref="G3:H3"/>
    <mergeCell ref="I3:J3"/>
    <mergeCell ref="E8:F8"/>
    <mergeCell ref="G8:H8"/>
    <mergeCell ref="I8:J8"/>
    <mergeCell ref="B9:D9"/>
    <mergeCell ref="E9:F9"/>
    <mergeCell ref="G9:H9"/>
    <mergeCell ref="I9:J9"/>
    <mergeCell ref="B13:D13"/>
    <mergeCell ref="E13:J13"/>
    <mergeCell ref="B10:D10"/>
    <mergeCell ref="E10:J10"/>
    <mergeCell ref="B11:D11"/>
    <mergeCell ref="E11:J11"/>
    <mergeCell ref="B12:D12"/>
    <mergeCell ref="E12:J12"/>
  </mergeCells>
  <phoneticPr fontId="134" type="noConversion"/>
  <dataValidations count="1">
    <dataValidation type="list" allowBlank="1" showInputMessage="1" showErrorMessage="1" sqref="F19">
      <formula1>"成本法成本比率,收益法收益比率,收益法成本比率,自定义"</formula1>
    </dataValidation>
  </dataValidation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G20"/>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1260</v>
      </c>
      <c r="B1" s="1745"/>
      <c r="C1" s="1746" t="s">
        <v>21</v>
      </c>
      <c r="D1" s="1745"/>
      <c r="E1" s="1745"/>
      <c r="F1" s="1747" t="s">
        <v>1261</v>
      </c>
      <c r="G1" s="1559" t="s">
        <v>3376</v>
      </c>
      <c r="H1" s="1748" t="str">
        <f>IF(G1="现房","——","估价对象范围")</f>
        <v>——</v>
      </c>
      <c r="I1" s="1749" t="s">
        <v>3393</v>
      </c>
    </row>
    <row r="2" spans="1:12" ht="21.75" customHeight="1" thickBot="1">
      <c r="A2" s="3646" t="str">
        <f>项目基本情况!S2</f>
        <v>北京市朝阳区朝阳门外大街18号房地产</v>
      </c>
      <c r="B2" s="3647"/>
      <c r="C2" s="3647"/>
      <c r="D2" s="3647"/>
      <c r="E2" s="3647"/>
      <c r="F2" s="3647"/>
      <c r="G2" s="3647"/>
      <c r="H2" s="3647"/>
      <c r="I2" s="3648"/>
    </row>
    <row r="3" spans="1:12" ht="12.75">
      <c r="A3" s="3650" t="s">
        <v>1262</v>
      </c>
      <c r="B3" s="3651"/>
      <c r="C3" s="3651"/>
      <c r="D3" s="3651"/>
      <c r="E3" s="3651"/>
      <c r="F3" s="3651"/>
      <c r="G3" s="3651"/>
      <c r="H3" s="3651"/>
      <c r="I3" s="3651"/>
    </row>
    <row r="4" spans="1:12" ht="14.25">
      <c r="A4" s="1752" t="s">
        <v>1263</v>
      </c>
      <c r="B4" s="1753" t="s">
        <v>1264</v>
      </c>
      <c r="C4" s="1754" t="s">
        <v>3392</v>
      </c>
      <c r="D4" s="1754" t="s">
        <v>3499</v>
      </c>
      <c r="E4" s="3652" t="s">
        <v>1265</v>
      </c>
      <c r="F4" s="3653"/>
      <c r="G4" s="3653"/>
      <c r="H4" s="3653"/>
      <c r="I4" s="365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592" t="s">
        <v>1266</v>
      </c>
      <c r="B5" s="3649">
        <v>25</v>
      </c>
      <c r="C5" s="3638"/>
      <c r="D5" s="3638"/>
      <c r="E5" s="131" t="s">
        <v>1267</v>
      </c>
      <c r="F5" s="1755"/>
      <c r="G5" s="1755"/>
      <c r="H5" s="1755"/>
      <c r="I5" s="1371"/>
    </row>
    <row r="6" spans="1:12" ht="12.75" customHeight="1">
      <c r="A6" s="3592"/>
      <c r="B6" s="3649"/>
      <c r="C6" s="3639"/>
      <c r="D6" s="3639"/>
      <c r="E6" s="131" t="s">
        <v>1268</v>
      </c>
      <c r="F6" s="1755"/>
      <c r="G6" s="1755"/>
      <c r="H6" s="1755"/>
      <c r="I6" s="1371"/>
    </row>
    <row r="7" spans="1:12" ht="12.75" customHeight="1">
      <c r="A7" s="3592"/>
      <c r="B7" s="3649"/>
      <c r="C7" s="3640"/>
      <c r="D7" s="3640"/>
      <c r="E7" s="131" t="s">
        <v>1269</v>
      </c>
      <c r="F7" s="1755"/>
      <c r="G7" s="1755"/>
      <c r="H7" s="1755"/>
      <c r="I7" s="1371"/>
    </row>
    <row r="8" spans="1:12" ht="12.75" customHeight="1">
      <c r="A8" s="3592" t="s">
        <v>1270</v>
      </c>
      <c r="B8" s="3649">
        <v>15</v>
      </c>
      <c r="C8" s="3638"/>
      <c r="D8" s="3638"/>
      <c r="E8" s="131" t="s">
        <v>1271</v>
      </c>
      <c r="F8" s="1755"/>
      <c r="G8" s="1755"/>
      <c r="H8" s="1755"/>
      <c r="I8" s="1371"/>
    </row>
    <row r="9" spans="1:12" ht="12.75" customHeight="1">
      <c r="A9" s="3592"/>
      <c r="B9" s="3649"/>
      <c r="C9" s="3640"/>
      <c r="D9" s="3640"/>
      <c r="E9" s="131" t="s">
        <v>1272</v>
      </c>
      <c r="F9" s="1755"/>
      <c r="G9" s="1755"/>
      <c r="H9" s="1755"/>
      <c r="I9" s="1371"/>
    </row>
    <row r="10" spans="1:12" ht="12.75" customHeight="1">
      <c r="A10" s="3592" t="s">
        <v>1273</v>
      </c>
      <c r="B10" s="3649">
        <v>15</v>
      </c>
      <c r="C10" s="3638"/>
      <c r="D10" s="3638"/>
      <c r="E10" s="131" t="s">
        <v>1274</v>
      </c>
      <c r="F10" s="1755"/>
      <c r="G10" s="1755"/>
      <c r="H10" s="1755"/>
      <c r="I10" s="1371"/>
    </row>
    <row r="11" spans="1:12" ht="12.75" customHeight="1">
      <c r="A11" s="3592"/>
      <c r="B11" s="3649"/>
      <c r="C11" s="3640"/>
      <c r="D11" s="3640"/>
      <c r="E11" s="131" t="s">
        <v>1275</v>
      </c>
      <c r="F11" s="1755"/>
      <c r="G11" s="1755"/>
      <c r="H11" s="1755"/>
      <c r="I11" s="1371"/>
    </row>
    <row r="12" spans="1:12" ht="12.75" customHeight="1">
      <c r="A12" s="3592" t="s">
        <v>1276</v>
      </c>
      <c r="B12" s="3649">
        <v>15</v>
      </c>
      <c r="C12" s="3638"/>
      <c r="D12" s="3638"/>
      <c r="E12" s="131" t="s">
        <v>1277</v>
      </c>
      <c r="F12" s="1755"/>
      <c r="G12" s="1755"/>
      <c r="H12" s="1755"/>
      <c r="I12" s="1371"/>
    </row>
    <row r="13" spans="1:12" ht="12.75" customHeight="1">
      <c r="A13" s="3592"/>
      <c r="B13" s="3649"/>
      <c r="C13" s="3640"/>
      <c r="D13" s="3640"/>
      <c r="E13" s="131" t="s">
        <v>1278</v>
      </c>
      <c r="F13" s="1755"/>
      <c r="G13" s="1755"/>
      <c r="H13" s="1755"/>
      <c r="I13" s="1371"/>
    </row>
    <row r="14" spans="1:12" ht="12.75" customHeight="1">
      <c r="A14" s="3592" t="s">
        <v>1279</v>
      </c>
      <c r="B14" s="3649">
        <v>30</v>
      </c>
      <c r="C14" s="3638">
        <v>7</v>
      </c>
      <c r="D14" s="3638">
        <v>3</v>
      </c>
      <c r="E14" s="131" t="s">
        <v>1280</v>
      </c>
      <c r="F14" s="1755"/>
      <c r="G14" s="1755"/>
      <c r="H14" s="1755"/>
      <c r="I14" s="1371"/>
    </row>
    <row r="15" spans="1:12" ht="12.75" customHeight="1">
      <c r="A15" s="3592"/>
      <c r="B15" s="3649"/>
      <c r="C15" s="3639"/>
      <c r="D15" s="3639"/>
      <c r="E15" s="131" t="s">
        <v>1281</v>
      </c>
      <c r="F15" s="1755"/>
      <c r="G15" s="1755"/>
      <c r="H15" s="1755"/>
      <c r="I15" s="1371"/>
    </row>
    <row r="16" spans="1:12" ht="12.75" customHeight="1">
      <c r="A16" s="3592"/>
      <c r="B16" s="3649"/>
      <c r="C16" s="3640"/>
      <c r="D16" s="3640"/>
      <c r="E16" s="131" t="s">
        <v>1282</v>
      </c>
      <c r="F16" s="1755"/>
      <c r="G16" s="1755"/>
      <c r="H16" s="1755"/>
      <c r="I16" s="1371"/>
    </row>
    <row r="17" spans="1:36" ht="15">
      <c r="A17" s="1756" t="s">
        <v>1283</v>
      </c>
      <c r="B17" s="56"/>
      <c r="C17" s="132">
        <f>SUM(C5:C16)</f>
        <v>7</v>
      </c>
      <c r="D17" s="132">
        <f>SUM(D5:D16)</f>
        <v>3</v>
      </c>
      <c r="E17" s="129"/>
      <c r="F17" s="129"/>
      <c r="G17" s="129"/>
      <c r="H17" s="129"/>
      <c r="I17" s="129"/>
      <c r="K17" s="302"/>
      <c r="L17" s="302" t="s">
        <v>1284</v>
      </c>
      <c r="M17" s="302" t="s">
        <v>1285</v>
      </c>
    </row>
    <row r="18" spans="1:36" ht="31.9" customHeight="1" thickBot="1">
      <c r="A18" s="1757" t="s">
        <v>1286</v>
      </c>
      <c r="B18" s="1758"/>
      <c r="C18" s="133">
        <f>ROUND(C17/SUM(C17:D17),2)</f>
        <v>0.7</v>
      </c>
      <c r="D18" s="133">
        <f>1-C18</f>
        <v>0.30000000000000004</v>
      </c>
      <c r="E18" s="3668" t="s">
        <v>2126</v>
      </c>
      <c r="F18" s="3669"/>
      <c r="G18" s="3669"/>
      <c r="H18" s="3669"/>
      <c r="I18" s="3669"/>
      <c r="K18" s="302" t="s">
        <v>1287</v>
      </c>
      <c r="L18" s="302">
        <f>IF(C1="",'数据-汇总表'!E3,SUMIF(项目类型,C1,'数据-汇总表'!E17:E26)+SUMIF(项目类型,C1,'数据-汇总表'!I17:I26))</f>
        <v>3455.7</v>
      </c>
      <c r="M18" s="302">
        <f>IF(C1="",'数据-汇总表'!E3,SUMIF(项目类型,C1,'数据-汇总表'!E17:E26))</f>
        <v>3455.7</v>
      </c>
    </row>
    <row r="19" spans="1:36" ht="15">
      <c r="A19" s="1759" t="s">
        <v>1288</v>
      </c>
      <c r="B19" s="1760" t="s">
        <v>1289</v>
      </c>
      <c r="C19" s="134">
        <f ca="1">ROUND(SUMIF(INDIRECT("'"&amp;C4&amp;"'"&amp;"!A:A"),结果表!B19,INDIRECT("'"&amp;C4&amp;"'"&amp;"!B:B")),0)</f>
        <v>12941</v>
      </c>
      <c r="D19" s="135">
        <f ca="1">ROUND(SUMIF(INDIRECT("'"&amp;D4&amp;"'"&amp;"!A:A"),结果表!B19,INDIRECT("'"&amp;D4&amp;"'"&amp;"!B:B")),0)</f>
        <v>9832</v>
      </c>
      <c r="E19" s="1759" t="s">
        <v>1290</v>
      </c>
      <c r="F19" s="1760" t="s">
        <v>1289</v>
      </c>
      <c r="G19" s="136">
        <f ca="1">ROUND(C19*$C$18+D19*$D$18,0)</f>
        <v>12008</v>
      </c>
      <c r="H19" s="1761" t="s">
        <v>1291</v>
      </c>
      <c r="I19" s="129"/>
      <c r="K19" s="302" t="s">
        <v>1292</v>
      </c>
      <c r="L19" s="302">
        <f>IF(C1="",'数据-汇总表'!D3,SUMIF(项目类型,C1,'数据-汇总表'!D17:D26)+SUMIF(项目类型,C1,'数据-汇总表'!H17:H27))</f>
        <v>396.01</v>
      </c>
      <c r="M19" s="302">
        <f>IF(C1="",'数据-汇总表'!D3,SUMIF(项目类型,C1,'数据-汇总表'!D17:D26))</f>
        <v>396.01</v>
      </c>
    </row>
    <row r="20" spans="1:36" ht="15">
      <c r="A20" s="1762"/>
      <c r="B20" s="1024" t="s">
        <v>1293</v>
      </c>
      <c r="C20" s="137">
        <f ca="1">SUMIF(INDIRECT("'"&amp;C4&amp;"'"&amp;"!A:A"),结果表!B20,INDIRECT("'"&amp;C4&amp;"'"&amp;"!B:B"))</f>
        <v>37447</v>
      </c>
      <c r="D20" s="138">
        <f ca="1">SUMIF(INDIRECT("'"&amp;D4&amp;"'"&amp;"!A:A"),结果表!B20,INDIRECT("'"&amp;D4&amp;"'"&amp;"!B:B"))</f>
        <v>28452</v>
      </c>
      <c r="E20" s="1762"/>
      <c r="F20" s="1024" t="s">
        <v>1293</v>
      </c>
      <c r="G20" s="139">
        <f ca="1">ROUND(C20*$C$18+D20*$D$18,0)</f>
        <v>34749</v>
      </c>
      <c r="H20" s="806" t="s">
        <v>1294</v>
      </c>
      <c r="I20" s="129"/>
      <c r="J20" s="723">
        <f ca="1">23900/G20</f>
        <v>0.68778957667846552</v>
      </c>
    </row>
    <row r="21" spans="1:36" ht="15" customHeight="1" thickBot="1">
      <c r="A21" s="826"/>
      <c r="B21" s="1763" t="s">
        <v>1295</v>
      </c>
      <c r="C21" s="717">
        <f ca="1">ROUND(C19*10000/L19,0)</f>
        <v>326785</v>
      </c>
      <c r="D21" s="718">
        <f ca="1">ROUND(D19*10000/L19,0)</f>
        <v>248277</v>
      </c>
      <c r="E21" s="826"/>
      <c r="F21" s="1763" t="s">
        <v>1295</v>
      </c>
      <c r="G21" s="140">
        <f ca="1">ROUND(G19*10000/L19,0)</f>
        <v>303225</v>
      </c>
      <c r="H21" s="1764" t="s">
        <v>1294</v>
      </c>
      <c r="I21" s="129"/>
    </row>
    <row r="22" spans="1:36" ht="15" thickBot="1">
      <c r="A22" s="1686" t="s">
        <v>1296</v>
      </c>
      <c r="B22" s="1765"/>
      <c r="C22" s="1766"/>
      <c r="D22" s="719">
        <f ca="1">IF(C19&lt;D19,D19/C19-1,C19/D19-1)</f>
        <v>0.31621236777868189</v>
      </c>
      <c r="E22" s="129"/>
      <c r="F22" s="129"/>
      <c r="G22" s="129"/>
      <c r="H22" s="129"/>
      <c r="I22" s="129"/>
    </row>
    <row r="23" spans="1:36" ht="13.5" thickBot="1">
      <c r="A23" s="1745"/>
      <c r="B23" s="1745"/>
      <c r="C23" s="1745"/>
      <c r="D23" s="1745"/>
      <c r="E23" s="129"/>
      <c r="F23" s="129"/>
      <c r="G23" s="129"/>
      <c r="H23" s="129"/>
      <c r="I23" s="129"/>
    </row>
    <row r="24" spans="1:36" ht="14.25">
      <c r="A24" s="3661" t="s">
        <v>1297</v>
      </c>
      <c r="B24" s="1760" t="s">
        <v>1289</v>
      </c>
      <c r="C24" s="136">
        <f>IF(B30=0,0,D30)</f>
        <v>0</v>
      </c>
      <c r="D24" s="1767"/>
      <c r="E24" s="129"/>
      <c r="F24" s="129"/>
      <c r="G24" s="129"/>
      <c r="H24" s="129"/>
      <c r="I24" s="129"/>
    </row>
    <row r="25" spans="1:36" ht="14.25">
      <c r="A25" s="3662"/>
      <c r="B25" s="1024" t="s">
        <v>1293</v>
      </c>
      <c r="C25" s="141">
        <f>IF(B30=0,0,C30)</f>
        <v>0</v>
      </c>
      <c r="D25" s="1768"/>
      <c r="E25" s="129"/>
      <c r="F25" s="129"/>
      <c r="G25" s="129"/>
      <c r="H25" s="129"/>
      <c r="I25" s="129"/>
    </row>
    <row r="26" spans="1:36" ht="13.5" customHeight="1">
      <c r="A26" s="1769" t="s">
        <v>1298</v>
      </c>
      <c r="B26" s="142" t="s">
        <v>1299</v>
      </c>
      <c r="C26" s="142" t="s">
        <v>1300</v>
      </c>
      <c r="D26" s="143" t="s">
        <v>1301</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1302</v>
      </c>
      <c r="B30" s="142"/>
      <c r="C30" s="142"/>
      <c r="D30" s="142"/>
      <c r="E30" s="2301" t="s">
        <v>2127</v>
      </c>
      <c r="F30" s="129"/>
      <c r="G30" s="129"/>
      <c r="H30" s="129"/>
      <c r="I30" s="129"/>
    </row>
    <row r="31" spans="1:36" s="2307" customFormat="1" ht="26.45" customHeight="1" thickTop="1" thickBot="1">
      <c r="A31" s="2302"/>
      <c r="B31" s="2303"/>
      <c r="C31" s="2303"/>
      <c r="D31" s="2303"/>
      <c r="E31" s="2303"/>
      <c r="F31" s="2303"/>
      <c r="G31" s="2303"/>
      <c r="H31" s="2303"/>
      <c r="I31" s="2304" t="s">
        <v>2128</v>
      </c>
      <c r="J31" s="2682"/>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1303</v>
      </c>
      <c r="B32" s="1772"/>
      <c r="C32" s="144">
        <f ca="1">IF(D32="总价",G19-C24,G20-C25)</f>
        <v>34749</v>
      </c>
      <c r="D32" s="1773" t="s">
        <v>3434</v>
      </c>
      <c r="E32" s="129"/>
      <c r="F32" s="129"/>
      <c r="G32" s="129"/>
      <c r="H32" s="129"/>
      <c r="I32" s="129"/>
    </row>
    <row r="33" spans="1:15" ht="15">
      <c r="A33" s="784" t="s">
        <v>1304</v>
      </c>
      <c r="B33" s="1774"/>
      <c r="C33" s="1775" t="s">
        <v>3435</v>
      </c>
      <c r="D33" s="1776" t="s">
        <v>3388</v>
      </c>
      <c r="E33" s="1777" t="s">
        <v>1305</v>
      </c>
      <c r="F33" s="1778" t="str">
        <f>IF(D32="楼面单价","取值（单价）","取值（总价）")</f>
        <v>取值（单价）</v>
      </c>
      <c r="G33" s="129"/>
      <c r="H33" s="129"/>
      <c r="I33" s="129"/>
    </row>
    <row r="34" spans="1:15" ht="15">
      <c r="A34" s="1779"/>
      <c r="B34" s="1780" t="s">
        <v>1306</v>
      </c>
      <c r="C34" s="148">
        <f ca="1">IF(C33="自定义",F34,C32-C35)</f>
        <v>29259</v>
      </c>
      <c r="D34" s="859">
        <f ca="1">IF(C33="自定义",ROUND(C34/C32,3),IF(C33="收益比率",SUMIF(INDIRECT("'"&amp;D33&amp;"'"&amp;"!b:b"),"土地收益比率",INDIRECT("'"&amp;D33&amp;"'"&amp;"!c:c")),SUMIF(INDIRECT("'"&amp;D33&amp;"'"&amp;"!b:b"),"土地成本比率",INDIRECT("'"&amp;D33&amp;"'"&amp;"!c:c"))))</f>
        <v>0.84199999999999997</v>
      </c>
      <c r="E34" s="1781" t="s">
        <v>1307</v>
      </c>
      <c r="F34" s="1328"/>
      <c r="G34" s="129"/>
      <c r="H34" s="129"/>
      <c r="I34" s="129"/>
    </row>
    <row r="35" spans="1:15" ht="15.75" thickBot="1">
      <c r="A35" s="1782"/>
      <c r="B35" s="1783" t="s">
        <v>1308</v>
      </c>
      <c r="C35" s="1168">
        <f ca="1">IF(C33="自定义",F35,ROUND(C32*D35,0))</f>
        <v>5490</v>
      </c>
      <c r="D35" s="1169">
        <f ca="1">IF(C33="自定义",ROUND(C35/C32,3),IF(C33="收益比率",SUMIF(INDIRECT("'"&amp;D33&amp;"'"&amp;"!b:b"),"建筑物收益比率",INDIRECT("'"&amp;D33&amp;"'"&amp;"!c:c")),SUMIF(INDIRECT("'"&amp;D33&amp;"'"&amp;"!b:b"),"建筑物成本比率",INDIRECT("'"&amp;D33&amp;"'"&amp;"!c:c"))))</f>
        <v>0.158</v>
      </c>
      <c r="E35" s="1784" t="s">
        <v>1309</v>
      </c>
      <c r="F35" s="154"/>
      <c r="G35" s="129"/>
      <c r="H35" s="129"/>
      <c r="I35" s="129"/>
    </row>
    <row r="36" spans="1:15" ht="15.75" thickBot="1">
      <c r="A36" s="3641" t="s">
        <v>1310</v>
      </c>
      <c r="B36" s="1785" t="s">
        <v>1311</v>
      </c>
      <c r="C36" s="145"/>
      <c r="D36" s="1786"/>
      <c r="E36" s="1787"/>
      <c r="F36" s="1788"/>
      <c r="G36" s="129"/>
      <c r="H36" s="129"/>
      <c r="I36" s="129"/>
    </row>
    <row r="37" spans="1:15" ht="15.75" thickBot="1">
      <c r="A37" s="3642"/>
      <c r="B37" s="1672" t="s">
        <v>1312</v>
      </c>
      <c r="C37" s="147"/>
      <c r="D37" s="1137"/>
      <c r="E37" s="1137"/>
      <c r="F37" s="1788"/>
      <c r="G37" s="129"/>
      <c r="H37" s="129"/>
      <c r="I37" s="129"/>
    </row>
    <row r="38" spans="1:15" ht="15.75" thickBot="1">
      <c r="A38" s="3643"/>
      <c r="B38" s="1789" t="s">
        <v>1313</v>
      </c>
      <c r="C38" s="672"/>
      <c r="D38" s="1790" t="s">
        <v>1314</v>
      </c>
      <c r="E38" s="1137"/>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1322</v>
      </c>
      <c r="B44" s="1799"/>
      <c r="C44" s="1799"/>
      <c r="D44" s="1800"/>
      <c r="E44" s="1800"/>
      <c r="F44" s="1801"/>
      <c r="G44" s="1801"/>
      <c r="H44" s="1801"/>
      <c r="I44" s="1801"/>
      <c r="J44" s="1802" t="s">
        <v>1323</v>
      </c>
      <c r="K44" s="1803"/>
      <c r="L44" s="1803"/>
      <c r="M44" s="1803"/>
      <c r="N44" s="1803"/>
      <c r="O44" s="1803"/>
    </row>
    <row r="45" spans="1:15" ht="14.25" customHeight="1" thickBot="1">
      <c r="A45" s="3658" t="s">
        <v>1324</v>
      </c>
      <c r="B45" s="3659"/>
      <c r="C45" s="3660"/>
      <c r="D45" s="155">
        <f ca="1">G19</f>
        <v>12008</v>
      </c>
      <c r="E45" s="156" t="s">
        <v>1325</v>
      </c>
      <c r="F45" s="157">
        <v>1</v>
      </c>
      <c r="G45" s="158" t="s">
        <v>1326</v>
      </c>
      <c r="H45" s="129"/>
      <c r="I45" s="129"/>
      <c r="J45" s="3579" t="s">
        <v>1327</v>
      </c>
      <c r="K45" s="3579"/>
      <c r="L45" s="3579"/>
      <c r="M45" s="3579"/>
      <c r="N45" s="3579"/>
      <c r="O45" s="3579"/>
    </row>
    <row r="46" spans="1:15" ht="14.25" customHeight="1">
      <c r="A46" s="3655" t="s">
        <v>1328</v>
      </c>
      <c r="B46" s="3656"/>
      <c r="C46" s="3656"/>
      <c r="D46" s="3656"/>
      <c r="E46" s="3656"/>
      <c r="F46" s="3656"/>
      <c r="G46" s="3657"/>
      <c r="H46" s="1804"/>
      <c r="I46" s="159"/>
      <c r="J46" s="2517">
        <v>1</v>
      </c>
      <c r="K46" s="3580" t="s">
        <v>1329</v>
      </c>
      <c r="L46" s="3580"/>
      <c r="M46" s="3581"/>
      <c r="N46" s="3581"/>
      <c r="O46" s="3581"/>
    </row>
    <row r="47" spans="1:15" ht="12" customHeight="1">
      <c r="A47" s="160" t="s">
        <v>1330</v>
      </c>
      <c r="B47" s="161"/>
      <c r="C47" s="162"/>
      <c r="D47" s="1085" t="s">
        <v>1331</v>
      </c>
      <c r="E47" s="302" t="s">
        <v>1332</v>
      </c>
      <c r="F47" s="163" t="s">
        <v>1333</v>
      </c>
      <c r="G47" s="2540" t="s">
        <v>1334</v>
      </c>
      <c r="H47" s="2541"/>
      <c r="I47" s="159"/>
      <c r="J47" s="2517">
        <v>2</v>
      </c>
      <c r="K47" s="3580" t="s">
        <v>1335</v>
      </c>
      <c r="L47" s="3580"/>
      <c r="M47" s="3582">
        <f>'数据-取费表'!B2</f>
        <v>45037</v>
      </c>
      <c r="N47" s="3582"/>
      <c r="O47" s="3582"/>
    </row>
    <row r="48" spans="1:15" ht="25.5">
      <c r="A48" s="3644" t="s">
        <v>1336</v>
      </c>
      <c r="B48" s="3645"/>
      <c r="C48" s="3645"/>
      <c r="D48" s="2322">
        <f ca="1">IF(H48="情况1",0,IF(H48="情况2",D52,IF(H48="情况3",D53,IF(H48="情况4",D54))))</f>
        <v>640</v>
      </c>
      <c r="E48" s="2332" t="str">
        <f>IF(H48="情况4","(销售额-原购置价)×税（费）率","销售额×税（费）率")</f>
        <v>销售额×税（费）率</v>
      </c>
      <c r="F48" s="2542">
        <f>IF(H48="情况1","免征",'数据-取费表'!B41)</f>
        <v>5.6000000000000001E-2</v>
      </c>
      <c r="G48" s="2543" t="s">
        <v>1337</v>
      </c>
      <c r="H48" s="2544" t="s">
        <v>3457</v>
      </c>
      <c r="I48" s="1804"/>
      <c r="J48" s="2517">
        <v>3</v>
      </c>
      <c r="K48" s="3580" t="s">
        <v>1338</v>
      </c>
      <c r="L48" s="3580"/>
      <c r="M48" s="3583">
        <f ca="1">H107</f>
        <v>12008</v>
      </c>
      <c r="N48" s="3583"/>
      <c r="O48" s="3583"/>
    </row>
    <row r="49" spans="1:35" ht="25.5" customHeight="1">
      <c r="A49" s="2331" t="s">
        <v>1339</v>
      </c>
      <c r="B49" s="3628" t="s">
        <v>1340</v>
      </c>
      <c r="C49" s="3628"/>
      <c r="D49" s="1588">
        <v>0</v>
      </c>
      <c r="E49" s="324" t="s">
        <v>1341</v>
      </c>
      <c r="F49" s="2418" t="s">
        <v>28</v>
      </c>
      <c r="G49" s="3611"/>
      <c r="H49" s="2308" t="s">
        <v>2129</v>
      </c>
      <c r="I49" s="2309"/>
      <c r="J49" s="2517">
        <v>4</v>
      </c>
      <c r="K49" s="3580" t="str">
        <f>IF(项目基本情况!E8="房地产抵押价值","房地产抵押价值","抵押担保权已注销时的房地产抵押价值")</f>
        <v>房地产抵押价值</v>
      </c>
      <c r="L49" s="3580"/>
      <c r="M49" s="3583">
        <f ca="1">M48</f>
        <v>12008</v>
      </c>
      <c r="N49" s="3583"/>
      <c r="O49" s="3583"/>
    </row>
    <row r="50" spans="1:35" ht="25.5" customHeight="1">
      <c r="A50" s="2545"/>
      <c r="B50" s="3628" t="s">
        <v>1342</v>
      </c>
      <c r="C50" s="3628"/>
      <c r="D50" s="2546"/>
      <c r="E50" s="332"/>
      <c r="F50" s="2418"/>
      <c r="G50" s="3612"/>
      <c r="H50" s="2310" t="s">
        <v>2130</v>
      </c>
      <c r="I50" s="2309"/>
      <c r="J50" s="3579" t="s">
        <v>1343</v>
      </c>
      <c r="K50" s="3579"/>
      <c r="L50" s="3579"/>
      <c r="M50" s="3579"/>
      <c r="N50" s="3579"/>
      <c r="O50" s="3579"/>
    </row>
    <row r="51" spans="1:35" ht="20.45" customHeight="1">
      <c r="A51" s="2547"/>
      <c r="B51" s="3628" t="s">
        <v>1344</v>
      </c>
      <c r="C51" s="3628"/>
      <c r="D51" s="1085"/>
      <c r="E51" s="327"/>
      <c r="F51" s="2418"/>
      <c r="G51" s="3613"/>
      <c r="H51" s="2310" t="s">
        <v>2131</v>
      </c>
      <c r="I51" s="2309"/>
      <c r="J51" s="2518" t="s">
        <v>1345</v>
      </c>
      <c r="K51" s="3580" t="s">
        <v>1346</v>
      </c>
      <c r="L51" s="3580"/>
      <c r="M51" s="2518" t="s">
        <v>1347</v>
      </c>
      <c r="N51" s="2518" t="s">
        <v>1348</v>
      </c>
      <c r="O51" s="2518" t="s">
        <v>1349</v>
      </c>
    </row>
    <row r="52" spans="1:35" ht="24" customHeight="1">
      <c r="A52" s="2333" t="s">
        <v>1350</v>
      </c>
      <c r="B52" s="3628" t="s">
        <v>1351</v>
      </c>
      <c r="C52" s="3628"/>
      <c r="D52" s="1085">
        <f ca="1">ROUND(D45*'数据-取费表'!B41/(1+'数据-取费表'!C42),0)</f>
        <v>640</v>
      </c>
      <c r="E52" s="2332" t="s">
        <v>1352</v>
      </c>
      <c r="F52" s="2548">
        <f>'数据-取费表'!B41</f>
        <v>5.6000000000000001E-2</v>
      </c>
      <c r="G52" s="2549"/>
      <c r="H52" s="2538"/>
      <c r="I52" s="1805"/>
      <c r="J52" s="2517">
        <v>1</v>
      </c>
      <c r="K52" s="3605" t="s">
        <v>1353</v>
      </c>
      <c r="L52" s="3605"/>
      <c r="M52" s="2519">
        <f ca="1">D48</f>
        <v>640</v>
      </c>
      <c r="N52" s="2517" t="str">
        <f>E48</f>
        <v>销售额×税（费）率</v>
      </c>
      <c r="O52" s="2520">
        <f>F48</f>
        <v>5.6000000000000001E-2</v>
      </c>
    </row>
    <row r="53" spans="1:35" ht="12" customHeight="1">
      <c r="A53" s="2333" t="s">
        <v>1354</v>
      </c>
      <c r="B53" s="3629" t="s">
        <v>2282</v>
      </c>
      <c r="C53" s="3630"/>
      <c r="D53" s="1085">
        <f ca="1">ROUND(D45*'数据-取费表'!B41/(1+'数据-取费表'!C42),0)</f>
        <v>640</v>
      </c>
      <c r="E53" s="2332" t="s">
        <v>1352</v>
      </c>
      <c r="F53" s="2548">
        <f>'数据-取费表'!B41</f>
        <v>5.6000000000000001E-2</v>
      </c>
      <c r="G53" s="2549"/>
      <c r="H53" s="2538"/>
      <c r="I53" s="1805"/>
      <c r="J53" s="2517">
        <v>2</v>
      </c>
      <c r="K53" s="3605" t="s">
        <v>1355</v>
      </c>
      <c r="L53" s="3605"/>
      <c r="M53" s="2519">
        <f t="shared" ref="M53:O54" ca="1" si="0">D55</f>
        <v>6</v>
      </c>
      <c r="N53" s="2517" t="str">
        <f t="shared" si="0"/>
        <v>销售额×税（费）率</v>
      </c>
      <c r="O53" s="2520">
        <f t="shared" si="0"/>
        <v>5.0000000000000001E-4</v>
      </c>
    </row>
    <row r="54" spans="1:35" ht="12" customHeight="1">
      <c r="A54" s="2333" t="s">
        <v>1356</v>
      </c>
      <c r="B54" s="3629" t="s">
        <v>2283</v>
      </c>
      <c r="C54" s="3630"/>
      <c r="D54" s="1085">
        <f ca="1">C68</f>
        <v>640</v>
      </c>
      <c r="E54" s="327" t="s">
        <v>1357</v>
      </c>
      <c r="F54" s="2548">
        <f>'数据-取费表'!B41</f>
        <v>5.6000000000000001E-2</v>
      </c>
      <c r="G54" s="2549"/>
      <c r="H54" s="2550"/>
      <c r="I54" s="1805"/>
      <c r="J54" s="2517">
        <v>3</v>
      </c>
      <c r="K54" s="3605" t="s">
        <v>1358</v>
      </c>
      <c r="L54" s="3605"/>
      <c r="M54" s="2519">
        <f t="shared" ca="1" si="0"/>
        <v>2127</v>
      </c>
      <c r="N54" s="2517" t="str">
        <f t="shared" si="0"/>
        <v>增值额×税（费）率</v>
      </c>
      <c r="O54" s="2521" t="str">
        <f t="shared" si="0"/>
        <v>——</v>
      </c>
    </row>
    <row r="55" spans="1:35" ht="24" customHeight="1">
      <c r="A55" s="3664" t="s">
        <v>1359</v>
      </c>
      <c r="B55" s="3645"/>
      <c r="C55" s="3645"/>
      <c r="D55" s="2322">
        <f ca="1">IF(H55="个人住宅",0,ROUND(D45*I55,0))</f>
        <v>6</v>
      </c>
      <c r="E55" s="2332" t="s">
        <v>1360</v>
      </c>
      <c r="F55" s="2548">
        <f>IF(H55="正常",I55,"免征")</f>
        <v>5.0000000000000001E-4</v>
      </c>
      <c r="G55" s="2549"/>
      <c r="H55" s="2544" t="s">
        <v>3395</v>
      </c>
      <c r="I55" s="165">
        <f>'数据-取费表'!B49</f>
        <v>5.0000000000000001E-4</v>
      </c>
      <c r="J55" s="2517" t="str">
        <f>IF(H59="非个人房产","",4)</f>
        <v/>
      </c>
      <c r="K55" s="3605" t="str">
        <f>IF(H59="非个人房产","——","个人所得税")</f>
        <v>——</v>
      </c>
      <c r="L55" s="3605"/>
      <c r="M55" s="2522" t="str">
        <f>D59</f>
        <v>——</v>
      </c>
      <c r="N55" s="2038" t="str">
        <f>E59</f>
        <v>——</v>
      </c>
      <c r="O55" s="2523" t="str">
        <f>F59</f>
        <v>——</v>
      </c>
    </row>
    <row r="56" spans="1:35" ht="24.75">
      <c r="A56" s="3664" t="s">
        <v>1361</v>
      </c>
      <c r="B56" s="3645"/>
      <c r="C56" s="3645"/>
      <c r="D56" s="2322">
        <f ca="1">IF(H56="个人住宅",D57,D58)</f>
        <v>2127</v>
      </c>
      <c r="E56" s="2332" t="s">
        <v>1362</v>
      </c>
      <c r="F56" s="2548" t="str">
        <f>IF(H56="正常",F58,"免征")</f>
        <v>——</v>
      </c>
      <c r="G56" s="2551" t="s">
        <v>1363</v>
      </c>
      <c r="H56" s="2552" t="s">
        <v>3395</v>
      </c>
      <c r="I56" s="1806"/>
      <c r="J56" s="2517" t="str">
        <f>IF(项目基本情况!K6="上海银行",IF(J55="",4,J55+1),"")</f>
        <v/>
      </c>
      <c r="K56" s="3586" t="str">
        <f>IF(项目基本情况!K6="上海银行","其他处置费用","")</f>
        <v/>
      </c>
      <c r="L56" s="3587"/>
      <c r="M56" s="2519" t="str">
        <f>IF(项目基本情况!K6="上海银行",M69,"")</f>
        <v/>
      </c>
      <c r="N56" s="3586" t="str">
        <f>IF(项目基本情况!K6="上海银行","包含处置中涉及的律师、诉讼、拍卖、评估等费用","")</f>
        <v/>
      </c>
      <c r="O56" s="3589"/>
    </row>
    <row r="57" spans="1:35" ht="12.75">
      <c r="A57" s="2333" t="s">
        <v>1339</v>
      </c>
      <c r="B57" s="3629" t="s">
        <v>1364</v>
      </c>
      <c r="C57" s="3630"/>
      <c r="D57" s="1588">
        <v>0</v>
      </c>
      <c r="E57" s="324" t="s">
        <v>1341</v>
      </c>
      <c r="F57" s="302"/>
      <c r="G57" s="2549"/>
      <c r="H57" s="2553"/>
      <c r="I57" s="1806"/>
      <c r="J57" s="3605">
        <f>IF(AND(J55="",J56=""),4,IF(项目基本情况!K6="上海银行",结果表!J56+1,结果表!J55+1))</f>
        <v>4</v>
      </c>
      <c r="K57" s="3605" t="s">
        <v>1365</v>
      </c>
      <c r="L57" s="2524" t="s">
        <v>1366</v>
      </c>
      <c r="M57" s="2525"/>
      <c r="N57" s="2526">
        <f ca="1">SUMIF(M52:M56,"&lt;9e307")</f>
        <v>2773</v>
      </c>
      <c r="O57" s="2527"/>
      <c r="P57" s="2683">
        <f ca="1">N57/M49</f>
        <v>0.23092938041305797</v>
      </c>
    </row>
    <row r="58" spans="1:35" ht="24.75">
      <c r="A58" s="2333" t="s">
        <v>1350</v>
      </c>
      <c r="B58" s="3629" t="s">
        <v>1367</v>
      </c>
      <c r="C58" s="3628"/>
      <c r="D58" s="2322">
        <f ca="1">IF(H58="转让取得",C81,C97)</f>
        <v>2127</v>
      </c>
      <c r="E58" s="2332" t="s">
        <v>1362</v>
      </c>
      <c r="F58" s="302" t="s">
        <v>28</v>
      </c>
      <c r="G58" s="2549"/>
      <c r="H58" s="2552" t="s">
        <v>3458</v>
      </c>
      <c r="I58" s="1806"/>
      <c r="J58" s="3605"/>
      <c r="K58" s="3605"/>
      <c r="L58" s="2524" t="s">
        <v>1368</v>
      </c>
      <c r="M58" s="2528"/>
      <c r="N58" s="2529" t="str">
        <f ca="1">NUMBERSTRING(INT(N57*10000),2)&amp;"元整"</f>
        <v>贰仟柒佰柒拾叁万元整</v>
      </c>
      <c r="O58" s="2530"/>
    </row>
    <row r="59" spans="1:35" ht="24.75" thickBot="1">
      <c r="A59" s="3609" t="s">
        <v>1369</v>
      </c>
      <c r="B59" s="3610"/>
      <c r="C59" s="3610"/>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1363</v>
      </c>
      <c r="H59" s="2312" t="s">
        <v>3461</v>
      </c>
      <c r="I59" s="2311" t="s">
        <v>2132</v>
      </c>
      <c r="J59" s="3607">
        <f>J57+1</f>
        <v>5</v>
      </c>
      <c r="K59" s="3605" t="s">
        <v>1370</v>
      </c>
      <c r="L59" s="2517" t="s">
        <v>1366</v>
      </c>
      <c r="M59" s="2531"/>
      <c r="N59" s="2532">
        <f ca="1">M49-N57</f>
        <v>9235</v>
      </c>
      <c r="O59" s="2533"/>
    </row>
    <row r="60" spans="1:35" ht="12" customHeight="1">
      <c r="A60" s="1807"/>
      <c r="B60" s="1745"/>
      <c r="C60" s="1745"/>
      <c r="D60" s="1745"/>
      <c r="E60" s="1576"/>
      <c r="F60" s="1806"/>
      <c r="G60" s="1806"/>
      <c r="H60" s="1808"/>
      <c r="I60" s="129"/>
      <c r="J60" s="3608"/>
      <c r="K60" s="3605"/>
      <c r="L60" s="2524" t="s">
        <v>1368</v>
      </c>
      <c r="M60" s="2528"/>
      <c r="N60" s="2529" t="str">
        <f ca="1">NUMBERSTRING(INT(N59*10000),2)&amp;"元整"</f>
        <v>玖仟贰佰叁拾伍万元整</v>
      </c>
      <c r="O60" s="2530"/>
    </row>
    <row r="61" spans="1:35" ht="13.5" thickBot="1">
      <c r="A61" s="3663" t="s">
        <v>1371</v>
      </c>
      <c r="B61" s="3663"/>
      <c r="C61" s="3663"/>
      <c r="D61" s="3663"/>
      <c r="E61" s="3663"/>
      <c r="F61" s="1806"/>
      <c r="G61" s="1806"/>
      <c r="H61" s="1808"/>
      <c r="I61" s="129"/>
      <c r="J61" s="2517">
        <f>J59+1</f>
        <v>6</v>
      </c>
      <c r="K61" s="3605" t="s">
        <v>1372</v>
      </c>
      <c r="L61" s="3605"/>
      <c r="M61" s="2534"/>
      <c r="N61" s="2535">
        <f ca="1">ROUND(N59*10000/'数据-基础表'!B3,0)</f>
        <v>26724</v>
      </c>
      <c r="O61" s="2536"/>
    </row>
    <row r="62" spans="1:35" ht="12.75">
      <c r="A62" s="3624" t="s">
        <v>1373</v>
      </c>
      <c r="B62" s="3625"/>
      <c r="C62" s="2019"/>
      <c r="D62" s="2019" t="s">
        <v>1374</v>
      </c>
      <c r="E62" s="166" t="s">
        <v>1375</v>
      </c>
      <c r="F62" s="1806"/>
      <c r="G62" s="1806"/>
      <c r="H62" s="1808"/>
      <c r="I62" s="129"/>
    </row>
    <row r="63" spans="1:35" ht="12.75">
      <c r="A63" s="173" t="s">
        <v>330</v>
      </c>
      <c r="B63" s="167" t="s">
        <v>1376</v>
      </c>
      <c r="C63" s="2558">
        <f ca="1">ROUND((C64+C65)/(1+'数据-取费表'!C42),0)</f>
        <v>11436</v>
      </c>
      <c r="D63" s="167"/>
      <c r="E63" s="168"/>
      <c r="F63" s="1806"/>
      <c r="G63" s="1806"/>
      <c r="H63" s="1808"/>
      <c r="I63" s="129"/>
      <c r="J63" s="3588" t="s">
        <v>1377</v>
      </c>
      <c r="K63" s="1330" t="s">
        <v>1378</v>
      </c>
      <c r="L63" s="1330">
        <f ca="1">IF(M49&gt;10000,M49*0.5%,IF(AND(M49&gt;1000,M49&lt;=10000),M49*1%,IF(AND(M49&gt;100,M49&lt;=1000),M49*3%,IF(AND(M49&gt;10,M49&lt;=100),M49*5%,M49*8%))))</f>
        <v>60.04</v>
      </c>
      <c r="M63" s="302">
        <f ca="1">ROUND(L63,1)</f>
        <v>60</v>
      </c>
      <c r="N63" s="2537"/>
      <c r="Z63" s="1750"/>
      <c r="AI63" s="1751"/>
    </row>
    <row r="64" spans="1:35" ht="14.25" customHeight="1">
      <c r="A64" s="169" t="s">
        <v>325</v>
      </c>
      <c r="B64" s="170" t="s">
        <v>1379</v>
      </c>
      <c r="C64" s="2559">
        <f ca="1">D45</f>
        <v>12008</v>
      </c>
      <c r="D64" s="170" t="s">
        <v>26</v>
      </c>
      <c r="E64" s="172"/>
      <c r="F64" s="1806"/>
      <c r="G64" s="1806"/>
      <c r="H64" s="1808"/>
      <c r="I64" s="129"/>
      <c r="J64" s="3588"/>
      <c r="K64" s="1330" t="s">
        <v>1380</v>
      </c>
      <c r="L64" s="1330">
        <f ca="1">IF(M49&gt;2000,M49*0.5%,IF(AND(M49&gt;1000,M49&lt;=2000),M49*0.6%,IF(AND(M49&gt;500,M49&lt;=1000),M49*0.7%,IF(AND(M49&gt;200,M49&lt;=500),M49*0.8%,IF(AND(M49&gt;100,M49&lt;=200),M49*0.9%,IF(AND(M49&gt;50,M49&lt;=100),M49*1%,IF(AND(M49&gt;20,M49&lt;=50),M49*1.5%,IF(AND(M49&gt;10,M49&lt;=20),M49*2%,IF(AND(M49&gt;1,M49&lt;=10),M49*2.5%)))))))))</f>
        <v>60.04</v>
      </c>
      <c r="M64" s="302">
        <f t="shared" ref="M64:M65" ca="1" si="1">ROUND(L64,1)</f>
        <v>60</v>
      </c>
      <c r="N64" s="2538" t="s">
        <v>1381</v>
      </c>
      <c r="Z64" s="1750"/>
      <c r="AI64" s="1751"/>
    </row>
    <row r="65" spans="1:35" ht="14.25" customHeight="1">
      <c r="A65" s="169" t="s">
        <v>326</v>
      </c>
      <c r="B65" s="170" t="s">
        <v>1382</v>
      </c>
      <c r="C65" s="2560"/>
      <c r="D65" s="170"/>
      <c r="E65" s="172"/>
      <c r="F65" s="1806"/>
      <c r="G65" s="1806"/>
      <c r="H65" s="1808"/>
      <c r="I65" s="129"/>
      <c r="J65" s="3588"/>
      <c r="K65" s="1330" t="s">
        <v>1383</v>
      </c>
      <c r="L65" s="1330">
        <f ca="1">IF(M49&gt;1000,M49*0.1%,IF(AND(M49&gt;500,M49&lt;=1000),M49*0.5%,IF(AND(M49&gt;50,M49&lt;=500),M49*1%,IF(AND(M49&gt;1,M49&lt;=50),M49*1.5%))))</f>
        <v>12.008000000000001</v>
      </c>
      <c r="M65" s="302">
        <f t="shared" ca="1" si="1"/>
        <v>12</v>
      </c>
      <c r="N65" s="2538" t="s">
        <v>1381</v>
      </c>
      <c r="Z65" s="1750"/>
      <c r="AI65" s="1751"/>
    </row>
    <row r="66" spans="1:35" ht="14.25" customHeight="1">
      <c r="A66" s="173" t="s">
        <v>327</v>
      </c>
      <c r="B66" s="174" t="s">
        <v>1384</v>
      </c>
      <c r="C66" s="2561"/>
      <c r="D66" s="174" t="s">
        <v>26</v>
      </c>
      <c r="E66" s="1336" t="s">
        <v>671</v>
      </c>
      <c r="F66" s="1806"/>
      <c r="G66" s="1806"/>
      <c r="H66" s="1808"/>
      <c r="I66" s="129"/>
      <c r="J66" s="3588"/>
      <c r="K66" s="1330" t="s">
        <v>1385</v>
      </c>
      <c r="L66" s="1330">
        <f ca="1">M49*0.5%</f>
        <v>60.04</v>
      </c>
      <c r="M66" s="302">
        <f ca="1">IF(L66&gt;0.5,0.5,ROUND(L66,0))</f>
        <v>0.5</v>
      </c>
      <c r="N66" s="2538" t="s">
        <v>1386</v>
      </c>
      <c r="Z66" s="1750"/>
      <c r="AI66" s="1751"/>
    </row>
    <row r="67" spans="1:35" ht="14.25" customHeight="1">
      <c r="A67" s="173" t="s">
        <v>328</v>
      </c>
      <c r="B67" s="174" t="s">
        <v>1387</v>
      </c>
      <c r="C67" s="2562">
        <f ca="1">C63-C66</f>
        <v>11436</v>
      </c>
      <c r="D67" s="170" t="s">
        <v>26</v>
      </c>
      <c r="E67" s="172"/>
      <c r="F67" s="1806"/>
      <c r="G67" s="1806"/>
      <c r="H67" s="1808"/>
      <c r="I67" s="129"/>
      <c r="J67" s="3588"/>
      <c r="K67" s="1330" t="s">
        <v>1388</v>
      </c>
      <c r="L67" s="1330">
        <f ca="1">IF(M49&gt;=10000,(8.25+(M49-10000)*0.01%),IF(AND(M49&gt;=8000,M49&lt;10000),(7.85+(M49-8000)*0.02%),IF(AND(M49&gt;=5000,M49&lt;8000),(6.65+(M49-5000)*0.04%),IF(AND(M49&gt;=2000,M49&lt;5000),(4.25+(PM49-2000)*0.08%),IF(AND(M49&gt;=1000,M49&lt;2000),(2.75+(M49-1000)*0.15%),IF(AND(M49&gt;=100,M49&lt;1000),(0.5+(M49-100)*0.25%),IF(AND(M49&gt;0,M49&lt;100),M49*0.5%)))))))</f>
        <v>8.4507999999999992</v>
      </c>
      <c r="M67" s="302">
        <f ca="1">ROUND(L67*0.9,1)</f>
        <v>7.6</v>
      </c>
      <c r="N67" s="2537"/>
      <c r="Z67" s="1750"/>
      <c r="AI67" s="1751"/>
    </row>
    <row r="68" spans="1:35" ht="14.25" customHeight="1" thickBot="1">
      <c r="A68" s="176" t="s">
        <v>329</v>
      </c>
      <c r="B68" s="177" t="s">
        <v>1389</v>
      </c>
      <c r="C68" s="2563">
        <f ca="1">IF(C67&lt;=0,0,ROUND(C67*D68,0))</f>
        <v>640</v>
      </c>
      <c r="D68" s="2564">
        <f>'数据-取费表'!B41</f>
        <v>5.6000000000000001E-2</v>
      </c>
      <c r="E68" s="178"/>
      <c r="F68" s="1806"/>
      <c r="G68" s="1806"/>
      <c r="H68" s="1808"/>
      <c r="I68" s="129"/>
      <c r="J68" s="3588"/>
      <c r="K68" s="1330" t="s">
        <v>1390</v>
      </c>
      <c r="L68" s="1330">
        <f ca="1">IF(M49&gt;10000,M49*0.5%,IF(AND(M49&gt;5000,M49&lt;=10000),M49*1%,IF(AND(M49&gt;1000,M49&lt;=5000),M49*2%,IF(AND(M49&gt;200,M49&lt;=1000),M49*3%,M49*5%))))</f>
        <v>60.04</v>
      </c>
      <c r="M68" s="302">
        <f ca="1">ROUND(L68,1)</f>
        <v>60</v>
      </c>
      <c r="N68" s="2537"/>
      <c r="Z68" s="1750"/>
      <c r="AI68" s="1751"/>
    </row>
    <row r="69" spans="1:35" s="1770" customFormat="1" ht="16.5" customHeight="1">
      <c r="A69" s="1809"/>
      <c r="B69" s="1810"/>
      <c r="C69" s="1811"/>
      <c r="D69" s="1812"/>
      <c r="E69" s="1813"/>
      <c r="F69" s="1576"/>
      <c r="G69" s="1576"/>
      <c r="H69" s="1575"/>
      <c r="I69" s="1745"/>
      <c r="J69" s="3588"/>
      <c r="K69" s="1330" t="s">
        <v>1391</v>
      </c>
      <c r="L69" s="1330"/>
      <c r="M69" s="302">
        <f ca="1">ROUND(SUM(M63:M68),0)</f>
        <v>200</v>
      </c>
      <c r="N69" s="2539">
        <f ca="1">M69/M49</f>
        <v>1.6655562958027982E-2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32" t="s">
        <v>1392</v>
      </c>
      <c r="B70" s="3633"/>
      <c r="C70" s="3633"/>
      <c r="D70" s="3633"/>
      <c r="E70" s="3633"/>
      <c r="F70" s="3633"/>
      <c r="G70" s="3633"/>
      <c r="H70" s="363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4" t="s">
        <v>1373</v>
      </c>
      <c r="B71" s="3625"/>
      <c r="C71" s="2019"/>
      <c r="D71" s="2019"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1393</v>
      </c>
      <c r="C72" s="2562">
        <f ca="1">ROUND(D45/(1+'数据-取费表'!C42),0)</f>
        <v>11436</v>
      </c>
      <c r="D72" s="170" t="s">
        <v>26</v>
      </c>
      <c r="E72" s="2329"/>
      <c r="F72" s="2328"/>
      <c r="G72" s="2328"/>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1394</v>
      </c>
      <c r="C73" s="2562">
        <f ca="1">C74+C78</f>
        <v>69</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1395</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1396</v>
      </c>
      <c r="C75" s="2565"/>
      <c r="D75" s="170" t="s">
        <v>26</v>
      </c>
      <c r="E75" s="184" t="s">
        <v>1397</v>
      </c>
      <c r="F75" s="2566"/>
      <c r="G75" s="184" t="s">
        <v>1398</v>
      </c>
      <c r="H75" s="2567"/>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1399</v>
      </c>
      <c r="C76" s="170">
        <f>IF(F75="购房发票",ROUND(C75*H75*D76,0),0)</f>
        <v>0</v>
      </c>
      <c r="D76" s="2568">
        <v>0.05</v>
      </c>
      <c r="E76" s="3629" t="s">
        <v>1400</v>
      </c>
      <c r="F76" s="3628"/>
      <c r="G76" s="3628"/>
      <c r="H76" s="363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1401</v>
      </c>
      <c r="C77" s="170">
        <f>ROUND(IF(G77="个人住宅",0,IF(G77="2016年5月1日前购买",C75*D77,C75*D77/(1+'数据-取费表'!C42))),0)</f>
        <v>0</v>
      </c>
      <c r="D77" s="2569">
        <f>'数据-取费表'!B48+'数据-取费表'!B49</f>
        <v>3.0499999999999999E-2</v>
      </c>
      <c r="E77" s="2322" t="s">
        <v>1402</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1403</v>
      </c>
      <c r="C78" s="2570">
        <f ca="1">ROUND(D45*D78/(1+'数据-取费表'!C42),0)</f>
        <v>69</v>
      </c>
      <c r="D78" s="2571">
        <f>'数据-取费表'!B43</f>
        <v>6.000000000000001E-3</v>
      </c>
      <c r="E78" s="3621" t="s">
        <v>1404</v>
      </c>
      <c r="F78" s="3622"/>
      <c r="G78" s="3622"/>
      <c r="H78" s="362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1405</v>
      </c>
      <c r="C79" s="2562">
        <f ca="1">C72-C73</f>
        <v>11367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1406</v>
      </c>
      <c r="C80" s="2572">
        <f ca="1">IF(C79&lt;=0,0,C79/C73)</f>
        <v>164.7391304347826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1407</v>
      </c>
      <c r="C81" s="2573">
        <f ca="1">ROUND(IF(C79&lt;=0,0,IF(C80&gt;=200%,C79*60%-C73*35%,IF(C80&gt;=100%,C79*50%-C73*15%,IF(C80&gt;=50%,C79*40%-C73*5%,IF(C80&lt;50%,C79*30%,0))))),0)</f>
        <v>6796</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32" t="s">
        <v>1408</v>
      </c>
      <c r="B83" s="3633"/>
      <c r="C83" s="3633"/>
      <c r="D83" s="3633"/>
      <c r="E83" s="3633"/>
      <c r="F83" s="3633"/>
      <c r="G83" s="3633"/>
      <c r="H83" s="363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4" t="s">
        <v>1373</v>
      </c>
      <c r="B84" s="3625"/>
      <c r="C84" s="2019"/>
      <c r="D84" s="2019" t="s">
        <v>1374</v>
      </c>
      <c r="E84" s="179" t="s">
        <v>1375</v>
      </c>
      <c r="F84" s="180"/>
      <c r="G84" s="180"/>
      <c r="H84" s="191"/>
      <c r="I84" s="1819"/>
      <c r="J84" s="1816"/>
      <c r="K84" s="1816">
        <f>'数据-基础表'!B3</f>
        <v>3455.7</v>
      </c>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1393</v>
      </c>
      <c r="C85" s="2562">
        <f ca="1">ROUND(D45/(1+'数据-取费表'!C42),0)</f>
        <v>11436</v>
      </c>
      <c r="D85" s="170" t="s">
        <v>26</v>
      </c>
      <c r="E85" s="2329"/>
      <c r="F85" s="2328"/>
      <c r="G85" s="2328"/>
      <c r="H85" s="192"/>
      <c r="I85" s="1819"/>
      <c r="J85" s="1816"/>
      <c r="K85" s="2684">
        <v>11899.22</v>
      </c>
      <c r="L85" s="3456">
        <f ca="1">'收益法 (元)'!C19/'收益法 (元)'!F7</f>
        <v>3857.5000723442431</v>
      </c>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1394</v>
      </c>
      <c r="C86" s="2562">
        <f ca="1">IF(H88="仅含出让金",C87+C90+C91+C92+C93+C94,C87+C91+C92+C93+C94)</f>
        <v>5525</v>
      </c>
      <c r="D86" s="2575"/>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1409</v>
      </c>
      <c r="C87" s="2570">
        <f ca="1">C88+C89</f>
        <v>2864</v>
      </c>
      <c r="D87" s="2571"/>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1410</v>
      </c>
      <c r="C88" s="2576">
        <f ca="1">ROUND((K85-L85)*K84/10000,0)</f>
        <v>2779</v>
      </c>
      <c r="D88" s="2571"/>
      <c r="E88" s="193" t="s">
        <v>1411</v>
      </c>
      <c r="F88" s="2325"/>
      <c r="G88" s="194" t="s">
        <v>1412</v>
      </c>
      <c r="H88" s="1822" t="s">
        <v>3459</v>
      </c>
      <c r="I88" s="1819"/>
      <c r="J88" s="2515"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1401</v>
      </c>
      <c r="C89" s="2570">
        <f ca="1">ROUND(C88*D89,0)</f>
        <v>85</v>
      </c>
      <c r="D89" s="2571">
        <f>'数据-取费表'!B48+'数据-取费表'!B49</f>
        <v>3.0499999999999999E-2</v>
      </c>
      <c r="E89" s="193" t="s">
        <v>1413</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1414</v>
      </c>
      <c r="C90" s="2576"/>
      <c r="D90" s="2571"/>
      <c r="E90" s="193" t="str">
        <f>IF(H88="-","土地取得成本中已包含该笔费用"," ")</f>
        <v xml:space="preserve"> </v>
      </c>
      <c r="F90" s="2325"/>
      <c r="G90" s="3590" t="s">
        <v>2124</v>
      </c>
      <c r="H90" s="3591"/>
      <c r="I90" s="1819"/>
      <c r="J90" s="2515"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1415</v>
      </c>
      <c r="B91" s="170" t="s">
        <v>1416</v>
      </c>
      <c r="C91" s="2570">
        <f ca="1">IF(H91="——",成本法!C33,I91)</f>
        <v>1333</v>
      </c>
      <c r="D91" s="2571"/>
      <c r="E91" s="3621" t="s">
        <v>1417</v>
      </c>
      <c r="F91" s="3622"/>
      <c r="G91" s="3622"/>
      <c r="H91" s="1823" t="s">
        <v>3460</v>
      </c>
      <c r="I91" s="1824">
        <f ca="1">ROUND(K84*L85/10000,0)</f>
        <v>1333</v>
      </c>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1418</v>
      </c>
      <c r="B92" s="170" t="s">
        <v>1419</v>
      </c>
      <c r="C92" s="2570">
        <f ca="1">ROUND((C87+C90+C91)*D92,0)</f>
        <v>420</v>
      </c>
      <c r="D92" s="2577">
        <v>0.1</v>
      </c>
      <c r="E92" s="3621" t="s">
        <v>1420</v>
      </c>
      <c r="F92" s="3622"/>
      <c r="G92" s="3622"/>
      <c r="H92" s="3623"/>
      <c r="I92" s="1819"/>
      <c r="J92" s="2516"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1421</v>
      </c>
      <c r="B93" s="170" t="s">
        <v>1403</v>
      </c>
      <c r="C93" s="2570">
        <f ca="1">ROUND(D45*D93/(1+'数据-取费表'!C42),0)</f>
        <v>69</v>
      </c>
      <c r="D93" s="2571">
        <f>'数据-取费表'!B43</f>
        <v>6.000000000000001E-3</v>
      </c>
      <c r="E93" s="3621" t="s">
        <v>1404</v>
      </c>
      <c r="F93" s="3622"/>
      <c r="G93" s="3622"/>
      <c r="H93" s="362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1422</v>
      </c>
      <c r="B94" s="170" t="s">
        <v>1423</v>
      </c>
      <c r="C94" s="2576">
        <f ca="1">ROUND((C87+C90+C91)*D94,0)</f>
        <v>839</v>
      </c>
      <c r="D94" s="2571">
        <v>0.2</v>
      </c>
      <c r="E94" s="3665" t="s">
        <v>3500</v>
      </c>
      <c r="F94" s="3666"/>
      <c r="G94" s="3666"/>
      <c r="H94" s="366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1405</v>
      </c>
      <c r="C95" s="2562">
        <f ca="1">ROUND(C85-C86,0)</f>
        <v>5911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1406</v>
      </c>
      <c r="C96" s="2572">
        <f ca="1">IF(C95&lt;=0,0,C95/C86)</f>
        <v>1.0698642533936651</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1407</v>
      </c>
      <c r="C97" s="2573">
        <f ca="1">ROUND(IF(C95&lt;=0,0,IF(C96&gt;=200%,C95*60%-C86*35%,IF(C96&gt;=100%,C95*50%-C86*15%,IF(C96&gt;=50%,C95*40%-C86*5%,IF(C96&lt;50%,C95*30%,0))))),0)</f>
        <v>2127</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1424</v>
      </c>
      <c r="B99" s="1745"/>
      <c r="C99" s="1745"/>
      <c r="D99" s="1745"/>
      <c r="E99" s="1576"/>
      <c r="F99" s="1576"/>
      <c r="G99" s="1576"/>
      <c r="H99" s="1575"/>
      <c r="I99" s="129"/>
    </row>
    <row r="100" spans="1:35" ht="18.75" customHeight="1">
      <c r="A100" s="3559" t="s">
        <v>1425</v>
      </c>
      <c r="B100" s="3560"/>
      <c r="C100" s="3560"/>
      <c r="D100" s="3606"/>
      <c r="E100" s="3560" t="s">
        <v>1426</v>
      </c>
      <c r="F100" s="3560"/>
      <c r="G100" s="3560"/>
      <c r="H100" s="3606"/>
      <c r="I100" s="129"/>
    </row>
    <row r="101" spans="1:35" ht="18.75" customHeight="1">
      <c r="A101" s="3614" t="s">
        <v>1427</v>
      </c>
      <c r="B101" s="3615"/>
      <c r="C101" s="2579" t="str">
        <f>C4</f>
        <v>比较法-办公</v>
      </c>
      <c r="D101" s="2580" t="str">
        <f>D4</f>
        <v>收益法</v>
      </c>
      <c r="E101" s="3584" t="s">
        <v>1428</v>
      </c>
      <c r="F101" s="3585"/>
      <c r="G101" s="1825" t="s">
        <v>1429</v>
      </c>
      <c r="H101" s="2589">
        <f ca="1">H118</f>
        <v>12008</v>
      </c>
      <c r="I101" s="129"/>
    </row>
    <row r="102" spans="1:35" ht="18.75" customHeight="1">
      <c r="A102" s="3616" t="s">
        <v>1430</v>
      </c>
      <c r="B102" s="2578" t="s">
        <v>1429</v>
      </c>
      <c r="C102" s="2579">
        <f ca="1">IF(D32="楼面单价",ROUND(C19,0),C19)</f>
        <v>12941</v>
      </c>
      <c r="D102" s="2580">
        <f ca="1">IF(D32="楼面单价",ROUND(D19,0),D19)</f>
        <v>9832</v>
      </c>
      <c r="E102" s="3584"/>
      <c r="F102" s="3585"/>
      <c r="G102" s="1825" t="s">
        <v>1431</v>
      </c>
      <c r="H102" s="2549">
        <f ca="1">I118</f>
        <v>34749</v>
      </c>
      <c r="I102" s="129"/>
    </row>
    <row r="103" spans="1:35" ht="42.75" customHeight="1">
      <c r="A103" s="3616"/>
      <c r="B103" s="2578" t="s">
        <v>1431</v>
      </c>
      <c r="C103" s="2581">
        <f ca="1">C20</f>
        <v>37447</v>
      </c>
      <c r="D103" s="2582">
        <f ca="1">D20</f>
        <v>28452</v>
      </c>
      <c r="E103" s="3577" t="s">
        <v>1432</v>
      </c>
      <c r="F103" s="3578"/>
      <c r="G103" s="1826" t="s">
        <v>1433</v>
      </c>
      <c r="H103" s="2589">
        <f>IF(D36="正常操作",H104+H105+H106,H105+H106)</f>
        <v>0</v>
      </c>
      <c r="I103" s="129"/>
    </row>
    <row r="104" spans="1:35" ht="18.75" customHeight="1">
      <c r="A104" s="3616" t="s">
        <v>1434</v>
      </c>
      <c r="B104" s="2583" t="s">
        <v>1429</v>
      </c>
      <c r="C104" s="2584">
        <f ca="1">H118</f>
        <v>12008</v>
      </c>
      <c r="D104" s="2585"/>
      <c r="E104" s="1672" t="s">
        <v>1435</v>
      </c>
      <c r="F104" s="1664"/>
      <c r="G104" s="1826" t="s">
        <v>1433</v>
      </c>
      <c r="H104" s="2590">
        <f>IF(D36="同一抵押权人同一抵押物续贷",C36&amp;"（续贷，未扣减，详见特别提示）",C36)</f>
        <v>0</v>
      </c>
      <c r="I104" s="129"/>
    </row>
    <row r="105" spans="1:35" ht="18.75" customHeight="1" thickBot="1">
      <c r="A105" s="3626"/>
      <c r="B105" s="2586" t="s">
        <v>1431</v>
      </c>
      <c r="C105" s="2587">
        <f ca="1">I118</f>
        <v>34749</v>
      </c>
      <c r="D105" s="2588"/>
      <c r="E105" s="1672" t="s">
        <v>1436</v>
      </c>
      <c r="F105" s="1664"/>
      <c r="G105" s="1826" t="s">
        <v>1433</v>
      </c>
      <c r="H105" s="2591">
        <f>C37</f>
        <v>0</v>
      </c>
      <c r="I105" s="129"/>
    </row>
    <row r="106" spans="1:35" ht="18.75" customHeight="1">
      <c r="A106" s="1745" t="s">
        <v>1437</v>
      </c>
      <c r="B106" s="1745"/>
      <c r="C106" s="1745"/>
      <c r="D106" s="1745"/>
      <c r="E106" s="1827" t="s">
        <v>1438</v>
      </c>
      <c r="F106" s="1664"/>
      <c r="G106" s="1826" t="s">
        <v>1433</v>
      </c>
      <c r="H106" s="2591">
        <f>C38</f>
        <v>0</v>
      </c>
      <c r="I106" s="129"/>
    </row>
    <row r="107" spans="1:35" ht="18.75" customHeight="1">
      <c r="A107" s="129"/>
      <c r="B107" s="129"/>
      <c r="C107" s="129"/>
      <c r="D107" s="129"/>
      <c r="E107" s="3617" t="str">
        <f>IF(项目基本情况!E8="已注销","——","3.房地产抵押价值")</f>
        <v>3.房地产抵押价值</v>
      </c>
      <c r="F107" s="3585"/>
      <c r="G107" s="1825" t="s">
        <v>1429</v>
      </c>
      <c r="H107" s="2589">
        <f ca="1">IF(E107="——","——",H101-H103)</f>
        <v>12008</v>
      </c>
      <c r="I107" s="129"/>
    </row>
    <row r="108" spans="1:35" ht="18.75" customHeight="1">
      <c r="A108" s="129"/>
      <c r="B108" s="129"/>
      <c r="C108" s="129"/>
      <c r="D108" s="129"/>
      <c r="E108" s="3617"/>
      <c r="F108" s="3585"/>
      <c r="G108" s="1825" t="s">
        <v>1431</v>
      </c>
      <c r="H108" s="2549">
        <f ca="1">IF(H107=H101,H102,ROUND(H107*10000/'数据-汇总表'!E3,0))</f>
        <v>34749</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5" t="s">
        <v>1429</v>
      </c>
      <c r="H109" s="2592" t="str">
        <f>IF(E109="——","——",H101-H105-H106)</f>
        <v>——</v>
      </c>
      <c r="I109" s="129"/>
    </row>
    <row r="110" spans="1:35" ht="18.75" customHeight="1">
      <c r="A110" s="129"/>
      <c r="B110" s="129"/>
      <c r="C110" s="129"/>
      <c r="D110" s="129"/>
      <c r="E110" s="3617"/>
      <c r="F110" s="3585"/>
      <c r="G110" s="1825" t="s">
        <v>1431</v>
      </c>
      <c r="H110" s="2549"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4.抵押净值</v>
      </c>
      <c r="F111" s="3604"/>
      <c r="G111" s="1825" t="s">
        <v>1429</v>
      </c>
      <c r="H111" s="2589">
        <f ca="1">IF(E111="——","——",N59)</f>
        <v>9235</v>
      </c>
      <c r="I111" s="129"/>
    </row>
    <row r="112" spans="1:35" ht="18.75" customHeight="1" thickBot="1">
      <c r="A112" s="129"/>
      <c r="B112" s="129"/>
      <c r="C112" s="129"/>
      <c r="D112" s="129"/>
      <c r="E112" s="3619"/>
      <c r="F112" s="3620"/>
      <c r="G112" s="1828" t="s">
        <v>1431</v>
      </c>
      <c r="H112" s="2593">
        <f ca="1">IF(E111="——","——",N61)</f>
        <v>26724</v>
      </c>
      <c r="I112" s="129"/>
    </row>
    <row r="113" spans="1:27" ht="18.75" customHeight="1">
      <c r="A113" s="129"/>
      <c r="B113" s="129"/>
      <c r="C113" s="129"/>
      <c r="D113" s="129"/>
      <c r="E113" s="3627" t="s">
        <v>1437</v>
      </c>
      <c r="F113" s="3627"/>
      <c r="G113" s="3627"/>
      <c r="H113" s="3627"/>
      <c r="I113" s="129"/>
    </row>
    <row r="114" spans="1:27" ht="3.75" customHeight="1">
      <c r="A114" s="1745"/>
      <c r="B114" s="1745"/>
      <c r="C114" s="1745"/>
      <c r="D114" s="1745"/>
      <c r="E114" s="1807"/>
      <c r="F114" s="1807"/>
      <c r="G114" s="1807"/>
      <c r="H114" s="1807"/>
      <c r="I114" s="1745"/>
    </row>
    <row r="115" spans="1:27" ht="18.75" customHeight="1">
      <c r="A115" s="3635" t="s">
        <v>1439</v>
      </c>
      <c r="B115" s="3636"/>
      <c r="C115" s="3636"/>
      <c r="D115" s="3636"/>
      <c r="E115" s="3636"/>
      <c r="F115" s="3636"/>
      <c r="G115" s="3636"/>
      <c r="H115" s="3636"/>
      <c r="I115" s="3637"/>
    </row>
    <row r="116" spans="1:27" ht="27" customHeight="1">
      <c r="A116" s="3592" t="s">
        <v>1440</v>
      </c>
      <c r="B116" s="3596" t="s">
        <v>1441</v>
      </c>
      <c r="C116" s="3596" t="s">
        <v>1442</v>
      </c>
      <c r="D116" s="3602" t="s">
        <v>1443</v>
      </c>
      <c r="E116" s="3603"/>
      <c r="F116" s="3634" t="s">
        <v>1444</v>
      </c>
      <c r="G116" s="3634"/>
      <c r="H116" s="3592" t="s">
        <v>1445</v>
      </c>
      <c r="I116" s="3592"/>
    </row>
    <row r="117" spans="1:27" ht="18.75" customHeight="1">
      <c r="A117" s="3592"/>
      <c r="B117" s="3597"/>
      <c r="C117" s="3597"/>
      <c r="D117" s="2327" t="s">
        <v>1446</v>
      </c>
      <c r="E117" s="2327" t="s">
        <v>1447</v>
      </c>
      <c r="F117" s="2327" t="s">
        <v>1446</v>
      </c>
      <c r="G117" s="2327" t="s">
        <v>1448</v>
      </c>
      <c r="H117" s="2327" t="s">
        <v>1446</v>
      </c>
      <c r="I117" s="2327" t="s">
        <v>1448</v>
      </c>
    </row>
    <row r="118" spans="1:27" ht="24.75" customHeight="1">
      <c r="A118" s="2594" t="str">
        <f>项目基本情况!S2</f>
        <v>北京市朝阳区朝阳门外大街18号房地产</v>
      </c>
      <c r="B118" s="2327">
        <f>M18</f>
        <v>3455.7</v>
      </c>
      <c r="C118" s="2327">
        <f>M19</f>
        <v>396.01</v>
      </c>
      <c r="D118" s="2327">
        <f ca="1">ROUND(IF(D32="总价",C34,E118*B118/10000),0)</f>
        <v>10111</v>
      </c>
      <c r="E118" s="2327">
        <f ca="1">ROUND(IF(C33="自定义",IF(D32="楼面单价",C34,D118*10000/B118),I118-G118),0)</f>
        <v>29259</v>
      </c>
      <c r="F118" s="2327">
        <f ca="1">ROUND(IF(D32="总价",C35,G118*B118/10000),0)</f>
        <v>1897</v>
      </c>
      <c r="G118" s="2327">
        <f ca="1">ROUND(IF(D32="楼面单价",C35,F118*10000/B118),0)</f>
        <v>5490</v>
      </c>
      <c r="H118" s="2327">
        <f ca="1">ROUND(IF(D32="总价",C32,I118*B118/10000),0)</f>
        <v>12008</v>
      </c>
      <c r="I118" s="2327">
        <f ca="1">ROUND(IF(D32="楼面单价",C32,H118*10000/B118),0)</f>
        <v>34749</v>
      </c>
      <c r="J118" s="723">
        <f>[3]结果表!$I$118</f>
        <v>22676</v>
      </c>
    </row>
    <row r="119" spans="1:27" ht="18.75" customHeight="1">
      <c r="A119" s="3592" t="s">
        <v>1449</v>
      </c>
      <c r="B119" s="3592"/>
      <c r="C119" s="3592"/>
      <c r="D119" s="3598" t="str">
        <f ca="1">NUMBERSTRING(INT(D118*10000),2)&amp;"元整"</f>
        <v>壹亿零壹佰壹拾壹万元整</v>
      </c>
      <c r="E119" s="3599"/>
      <c r="F119" s="3598" t="str">
        <f ca="1">NUMBERSTRING(INT(F118*10000),2)&amp;"元整"</f>
        <v>壹仟捌佰玖拾柒万元整</v>
      </c>
      <c r="G119" s="3599"/>
      <c r="H119" s="3598" t="str">
        <f ca="1">NUMBERSTRING(INT(H118*10000),2)&amp;"元整"</f>
        <v>壹亿贰仟零捌万元整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8" t="s">
        <v>1449</v>
      </c>
      <c r="B121" s="3600"/>
      <c r="C121" s="3599"/>
      <c r="D121" s="3598" t="str">
        <f>IF(D120=0,"零元整",NUMBERSTRING(INT(D120*10000),2)&amp;"元整")</f>
        <v>零元整</v>
      </c>
      <c r="E121" s="3600"/>
      <c r="F121" s="3600"/>
      <c r="G121" s="3600"/>
      <c r="H121" s="3600"/>
      <c r="I121" s="3599"/>
      <c r="AA121" s="723"/>
    </row>
    <row r="122" spans="1:27" ht="18.75" customHeight="1">
      <c r="A122" s="3604" t="str">
        <f>IF(项目基本情况!B9="房地产市场价值","",MID(E107,3,LEN(E107)-2))</f>
        <v>房地产抵押价值</v>
      </c>
      <c r="B122" s="3604"/>
      <c r="C122" s="3604"/>
      <c r="D122" s="3593">
        <f ca="1">H107</f>
        <v>12008</v>
      </c>
      <c r="E122" s="3594"/>
      <c r="F122" s="3594"/>
      <c r="G122" s="3594"/>
      <c r="H122" s="3594"/>
      <c r="I122" s="3595"/>
      <c r="AA122" s="723"/>
    </row>
    <row r="123" spans="1:27" ht="18.75" customHeight="1">
      <c r="A123" s="3592" t="s">
        <v>1449</v>
      </c>
      <c r="B123" s="3592"/>
      <c r="C123" s="3592"/>
      <c r="D123" s="3598" t="str">
        <f ca="1">NUMBERSTRING(INT(D122*10000),2)&amp;"元整"</f>
        <v>壹亿贰仟零捌万元整</v>
      </c>
      <c r="E123" s="3600"/>
      <c r="F123" s="3600"/>
      <c r="G123" s="3600"/>
      <c r="H123" s="3600"/>
      <c r="I123" s="3599"/>
      <c r="AA123" s="723"/>
    </row>
    <row r="124" spans="1:27" ht="18.75" customHeight="1">
      <c r="A124" s="3604" t="str">
        <f>IF(项目基本情况!B9="房地产市场价值","",MID(E109,3,LEN(E109)-2))</f>
        <v/>
      </c>
      <c r="B124" s="3604"/>
      <c r="C124" s="3604"/>
      <c r="D124" s="3593" t="str">
        <f>H109</f>
        <v>——</v>
      </c>
      <c r="E124" s="3594"/>
      <c r="F124" s="3594"/>
      <c r="G124" s="3594"/>
      <c r="H124" s="3594"/>
      <c r="I124" s="3595"/>
      <c r="AA124" s="723"/>
    </row>
    <row r="125" spans="1:27" ht="18.75" customHeight="1">
      <c r="A125" s="3592" t="s">
        <v>1449</v>
      </c>
      <c r="B125" s="3592"/>
      <c r="C125" s="3592"/>
      <c r="D125" s="3598" t="e">
        <f>NUMBERSTRING(INT(D124*10000),2)&amp;"元整"</f>
        <v>#VALUE!</v>
      </c>
      <c r="E125" s="3600"/>
      <c r="F125" s="3600"/>
      <c r="G125" s="3600"/>
      <c r="H125" s="3600"/>
      <c r="I125" s="3599"/>
      <c r="AA125" s="723"/>
    </row>
    <row r="126" spans="1:27" ht="18.75" customHeight="1">
      <c r="A126" s="3604" t="str">
        <f>IF(项目基本情况!B9="房地产市场价值","",MID(E111,3,LEN(E111)-2))</f>
        <v>抵押净值</v>
      </c>
      <c r="B126" s="3604"/>
      <c r="C126" s="3604"/>
      <c r="D126" s="3593">
        <f ca="1">H111</f>
        <v>9235</v>
      </c>
      <c r="E126" s="3594"/>
      <c r="F126" s="3594"/>
      <c r="G126" s="3594"/>
      <c r="H126" s="3594"/>
      <c r="I126" s="3595"/>
      <c r="AA126" s="723"/>
    </row>
    <row r="127" spans="1:27" ht="18.75" customHeight="1">
      <c r="A127" s="3592" t="s">
        <v>1449</v>
      </c>
      <c r="B127" s="3592"/>
      <c r="C127" s="3592"/>
      <c r="D127" s="3598" t="str">
        <f ca="1">NUMBERSTRING(INT(D126*10000),2)&amp;"元整"</f>
        <v>玖仟贰佰叁拾伍万元整</v>
      </c>
      <c r="E127" s="3600"/>
      <c r="F127" s="3600"/>
      <c r="G127" s="3600"/>
      <c r="H127" s="3600"/>
      <c r="I127" s="3599"/>
      <c r="AA127" s="723"/>
    </row>
    <row r="128" spans="1:27" ht="21.75" customHeight="1">
      <c r="A128" s="3601" t="s">
        <v>1450</v>
      </c>
      <c r="B128" s="3601"/>
      <c r="C128" s="3601"/>
      <c r="D128" s="3601"/>
      <c r="E128" s="3601"/>
      <c r="F128" s="3601"/>
      <c r="G128" s="3601"/>
      <c r="H128" s="3601"/>
      <c r="I128" s="3601"/>
      <c r="AA128" s="723"/>
    </row>
    <row r="129" spans="1:35" ht="21.75" customHeight="1">
      <c r="A129" s="1829" t="s">
        <v>1451</v>
      </c>
      <c r="B129" s="1830"/>
      <c r="C129" s="1831" t="s">
        <v>1452</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1453</v>
      </c>
      <c r="G135" s="1846"/>
      <c r="H135" s="1846"/>
      <c r="I135" s="1847" t="s">
        <v>1454</v>
      </c>
    </row>
    <row r="136" spans="1:35" ht="21.75" customHeight="1">
      <c r="A136" s="723"/>
      <c r="B136" s="1848" t="s">
        <v>1455</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1456</v>
      </c>
    </row>
    <row r="139" spans="1:35" ht="21.75" customHeight="1">
      <c r="A139" s="723"/>
      <c r="B139" s="1848" t="s">
        <v>1457</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1456</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7" priority="25" stopIfTrue="1" operator="equal">
      <formula>25</formula>
    </cfRule>
  </conditionalFormatting>
  <conditionalFormatting sqref="C8:C9">
    <cfRule type="cellIs" dxfId="176" priority="23" stopIfTrue="1" operator="equal">
      <formula>15</formula>
    </cfRule>
  </conditionalFormatting>
  <conditionalFormatting sqref="C14:C16">
    <cfRule type="cellIs" dxfId="175" priority="17" stopIfTrue="1" operator="equal">
      <formula>30</formula>
    </cfRule>
  </conditionalFormatting>
  <conditionalFormatting sqref="C10:C13">
    <cfRule type="cellIs" dxfId="174" priority="12" stopIfTrue="1" operator="equal">
      <formula>15</formula>
    </cfRule>
  </conditionalFormatting>
  <conditionalFormatting sqref="C90">
    <cfRule type="expression" dxfId="173" priority="7" stopIfTrue="1">
      <formula>$H$88&lt;&gt;"仅含出让金"</formula>
    </cfRule>
  </conditionalFormatting>
  <conditionalFormatting sqref="C91">
    <cfRule type="expression" dxfId="172" priority="6" stopIfTrue="1">
      <formula>$H$91="由企业提供"</formula>
    </cfRule>
  </conditionalFormatting>
  <conditionalFormatting sqref="E36">
    <cfRule type="expression" dxfId="171" priority="5" stopIfTrue="1">
      <formula>$D$36="同一抵押权人同一抵押物续贷"</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D14:D16">
    <cfRule type="cellIs" dxfId="168" priority="2" stopIfTrue="1" operator="equal">
      <formula>30</formula>
    </cfRule>
  </conditionalFormatting>
  <conditionalFormatting sqref="D10:D13">
    <cfRule type="cellIs" dxfId="167" priority="1"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6" t="str">
        <f>项目基本情况!B1</f>
        <v>北京市朝阳区朝阳门外大街18号房地产抵押价值预评估</v>
      </c>
      <c r="C37" s="3476"/>
      <c r="D37" s="3476"/>
      <c r="E37" s="3476"/>
      <c r="F37" s="3476"/>
      <c r="G37" s="3476"/>
      <c r="H37" s="3476"/>
      <c r="I37" s="347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 ca="1">项目基本情况!K4</f>
        <v>郑燚（注册号：1120070131)、吴薇（注册号：1419970001)</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8"/>
      <c r="C1" s="198"/>
      <c r="D1" s="198"/>
      <c r="E1" s="198"/>
      <c r="F1" s="198"/>
      <c r="G1" s="1124">
        <f>MATCH(B1,'数据-取费表'!A6:A16,0)+5</f>
        <v>7</v>
      </c>
    </row>
    <row r="2" spans="1:9" s="200" customFormat="1" ht="18" customHeight="1">
      <c r="A2" s="201" t="s">
        <v>1459</v>
      </c>
      <c r="B2" s="202">
        <f ca="1">IF(D2="——",C52,C52-E2)</f>
        <v>1400</v>
      </c>
      <c r="C2" s="199" t="s">
        <v>1460</v>
      </c>
      <c r="D2" s="1851" t="s">
        <v>43</v>
      </c>
      <c r="E2" s="1167" t="e">
        <f ca="1">SUMIF(INDIRECT("'"&amp;G2&amp;"'"&amp;"!A:A"),"承租人权益价值",INDIRECT("'"&amp;G2&amp;"'"&amp;"!c:c"))</f>
        <v>#REF!</v>
      </c>
      <c r="F2" s="1852" t="s">
        <v>1460</v>
      </c>
      <c r="G2" s="1853"/>
    </row>
    <row r="3" spans="1:9" s="200" customFormat="1" ht="18" customHeight="1" thickBot="1">
      <c r="A3" s="203" t="s">
        <v>1461</v>
      </c>
      <c r="B3" s="204">
        <f ca="1">ROUND(B2*10000/(IF(B1="",'数据-汇总表'!E3,INDIRECT("'数据-取费表'!k"&amp;$G$1))),0)</f>
        <v>4051</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C6+C7+C8</f>
        <v>69</v>
      </c>
      <c r="D5" s="211" t="s">
        <v>1466</v>
      </c>
      <c r="E5" s="212" t="s">
        <v>1467</v>
      </c>
      <c r="F5" s="212" t="s">
        <v>1468</v>
      </c>
      <c r="G5" s="213"/>
    </row>
    <row r="6" spans="1:9" s="214" customFormat="1" ht="13.5" customHeight="1">
      <c r="A6" s="776" t="s">
        <v>1469</v>
      </c>
      <c r="B6" s="215" t="s">
        <v>1470</v>
      </c>
      <c r="C6" s="216"/>
      <c r="D6" s="217"/>
      <c r="E6" s="218"/>
      <c r="F6" s="218"/>
      <c r="G6" s="219"/>
    </row>
    <row r="7" spans="1:9" s="214" customFormat="1" ht="13.5" customHeight="1">
      <c r="A7" s="776" t="s">
        <v>1471</v>
      </c>
      <c r="B7" s="215" t="s">
        <v>1472</v>
      </c>
      <c r="C7" s="220">
        <f>ROUND(C6*F7,0)</f>
        <v>0</v>
      </c>
      <c r="D7" s="220"/>
      <c r="E7" s="218"/>
      <c r="F7" s="221">
        <f>IF(项目基本情况!B8="出让",0,'数据-取费表'!B48+'数据-取费表'!B49)</f>
        <v>3.0499999999999999E-2</v>
      </c>
      <c r="G7" s="219"/>
    </row>
    <row r="8" spans="1:9" s="223" customFormat="1">
      <c r="A8" s="776" t="s">
        <v>1473</v>
      </c>
      <c r="B8" s="215" t="s">
        <v>1474</v>
      </c>
      <c r="C8" s="220">
        <f>IF(G8="已包含在土地购买价格中","0",IF(B1="",'数据-取费表'!B29,IF(G9="全部缴纳",C9+C10,H9)))</f>
        <v>69</v>
      </c>
      <c r="D8" s="222"/>
      <c r="E8" s="220"/>
      <c r="F8" s="221"/>
      <c r="G8" s="1854"/>
    </row>
    <row r="9" spans="1:9" s="214" customFormat="1" ht="13.5" customHeight="1">
      <c r="A9" s="777" t="s">
        <v>355</v>
      </c>
      <c r="B9" s="224" t="s">
        <v>1475</v>
      </c>
      <c r="C9" s="225">
        <f ca="1">ROUND(D9*E9/10000,0)</f>
        <v>0</v>
      </c>
      <c r="D9" s="843">
        <f ca="1">IF(B1="",'数据-汇总表'!E5,IF(INDIRECT("'数据-取费表'!c"&amp;$G$1)="住宅",INDIRECT("'数据-取费表'!k"&amp;$G$1),0))</f>
        <v>0</v>
      </c>
      <c r="E9" s="225">
        <f>'数据-取费表'!B27</f>
        <v>160</v>
      </c>
      <c r="F9" s="221"/>
      <c r="G9" s="1855"/>
      <c r="H9" s="1135"/>
      <c r="I9" s="1856" t="s">
        <v>1476</v>
      </c>
    </row>
    <row r="10" spans="1:9" s="214" customFormat="1" ht="13.5" customHeight="1">
      <c r="A10" s="777" t="s">
        <v>356</v>
      </c>
      <c r="B10" s="224" t="s">
        <v>1477</v>
      </c>
      <c r="C10" s="225">
        <f ca="1">ROUND(D10*E10/10000,0)</f>
        <v>69</v>
      </c>
      <c r="D10" s="843">
        <f ca="1">IF(B1="",'数据-汇总表'!E6,IF(INDIRECT("'数据-取费表'!c"&amp;$G$1)="住宅",INDIRECT("'数据-取费表'!s"&amp;$G$1),INDIRECT("'数据-取费表'!k"&amp;$G$1)+INDIRECT("'数据-取费表'!s"&amp;$G$1)))</f>
        <v>3455.7</v>
      </c>
      <c r="E10" s="225">
        <f>'数据-取费表'!B28</f>
        <v>200</v>
      </c>
      <c r="F10" s="221"/>
      <c r="G10" s="226"/>
    </row>
    <row r="11" spans="1:9" s="214" customFormat="1" ht="13.5" hidden="1" customHeight="1">
      <c r="A11" s="227" t="s">
        <v>4</v>
      </c>
      <c r="B11" s="215" t="s">
        <v>1478</v>
      </c>
      <c r="C11" s="211"/>
      <c r="D11" s="845"/>
      <c r="E11" s="218"/>
      <c r="F11" s="218"/>
      <c r="G11" s="219"/>
    </row>
    <row r="12" spans="1:9" s="214" customFormat="1" ht="13.5" hidden="1" customHeight="1">
      <c r="A12" s="227" t="s">
        <v>5</v>
      </c>
      <c r="B12" s="215" t="s">
        <v>1479</v>
      </c>
      <c r="C12" s="211">
        <v>0</v>
      </c>
      <c r="D12" s="845"/>
      <c r="E12" s="228"/>
      <c r="F12" s="221">
        <v>3.0499999999999999E-2</v>
      </c>
      <c r="G12" s="219"/>
    </row>
    <row r="13" spans="1:9" s="214" customFormat="1" ht="13.5" hidden="1" customHeight="1">
      <c r="A13" s="227" t="s">
        <v>6</v>
      </c>
      <c r="B13" s="215" t="s">
        <v>1480</v>
      </c>
      <c r="C13" s="211"/>
      <c r="D13" s="845"/>
      <c r="E13" s="218"/>
      <c r="F13" s="218"/>
      <c r="G13" s="219"/>
    </row>
    <row r="14" spans="1:9" s="214" customFormat="1" ht="13.5" hidden="1" customHeight="1">
      <c r="A14" s="227" t="s">
        <v>7</v>
      </c>
      <c r="B14" s="215" t="s">
        <v>1481</v>
      </c>
      <c r="C14" s="211"/>
      <c r="D14" s="845"/>
      <c r="E14" s="218"/>
      <c r="F14" s="218"/>
      <c r="G14" s="219" t="s">
        <v>1482</v>
      </c>
    </row>
    <row r="15" spans="1:9" s="214" customFormat="1" ht="13.5" hidden="1" customHeight="1">
      <c r="A15" s="227" t="s">
        <v>8</v>
      </c>
      <c r="B15" s="215" t="s">
        <v>1483</v>
      </c>
      <c r="C15" s="220"/>
      <c r="D15" s="845"/>
      <c r="E15" s="218"/>
      <c r="F15" s="218"/>
      <c r="G15" s="219" t="s">
        <v>1484</v>
      </c>
    </row>
    <row r="16" spans="1:9" s="214" customFormat="1" ht="13.5" hidden="1" customHeight="1">
      <c r="A16" s="227" t="s">
        <v>9</v>
      </c>
      <c r="B16" s="215" t="s">
        <v>1481</v>
      </c>
      <c r="C16" s="220"/>
      <c r="D16" s="845"/>
      <c r="E16" s="218"/>
      <c r="F16" s="218"/>
      <c r="G16" s="219"/>
    </row>
    <row r="17" spans="1:7" s="214" customFormat="1" ht="13.5" hidden="1" customHeight="1">
      <c r="A17" s="227" t="s">
        <v>10</v>
      </c>
      <c r="B17" s="215" t="s">
        <v>1485</v>
      </c>
      <c r="C17" s="229"/>
      <c r="D17" s="846"/>
      <c r="E17" s="229"/>
      <c r="F17" s="229"/>
      <c r="G17" s="219" t="s">
        <v>1484</v>
      </c>
    </row>
    <row r="18" spans="1:7" s="214" customFormat="1" ht="13.5" hidden="1" customHeight="1">
      <c r="A18" s="227" t="s">
        <v>11</v>
      </c>
      <c r="B18" s="215" t="s">
        <v>1486</v>
      </c>
      <c r="C18" s="220">
        <v>0</v>
      </c>
      <c r="D18" s="845"/>
      <c r="E18" s="218"/>
      <c r="F18" s="221">
        <v>3.0499999999999999E-2</v>
      </c>
      <c r="G18" s="219" t="s">
        <v>1487</v>
      </c>
    </row>
    <row r="19" spans="1:7" s="223" customFormat="1" ht="13.5" customHeight="1">
      <c r="A19" s="255" t="s">
        <v>1488</v>
      </c>
      <c r="B19" s="210" t="s">
        <v>1489</v>
      </c>
      <c r="C19" s="211">
        <f ca="1">IF(G19="已包含在土地取得成本中","0",ROUND(D19*E19/10000,0))</f>
        <v>69</v>
      </c>
      <c r="D19" s="847">
        <f ca="1">D9+D10</f>
        <v>3455.7</v>
      </c>
      <c r="E19" s="211">
        <f>'数据-取费表'!B31</f>
        <v>200</v>
      </c>
      <c r="F19" s="231"/>
      <c r="G19" s="1854"/>
    </row>
    <row r="20" spans="1:7" s="214" customFormat="1" ht="13.5" customHeight="1">
      <c r="A20" s="255" t="s">
        <v>1490</v>
      </c>
      <c r="B20" s="210" t="s">
        <v>1491</v>
      </c>
      <c r="C20" s="232">
        <f ca="1">ROUND((C5+C19)*F20,0)</f>
        <v>2</v>
      </c>
      <c r="D20" s="232"/>
      <c r="E20" s="232"/>
      <c r="F20" s="233">
        <f>'数据-取费表'!B37</f>
        <v>1.4999999999999999E-2</v>
      </c>
      <c r="G20" s="234" t="s">
        <v>1492</v>
      </c>
    </row>
    <row r="21" spans="1:7" s="214" customFormat="1" ht="13.5" customHeight="1">
      <c r="A21" s="255" t="s">
        <v>1493</v>
      </c>
      <c r="B21" s="210" t="s">
        <v>1494</v>
      </c>
      <c r="C21" s="235">
        <f>F21</f>
        <v>1.4999999999999999E-2</v>
      </c>
      <c r="D21" s="236" t="s">
        <v>1495</v>
      </c>
      <c r="E21" s="232"/>
      <c r="F21" s="233">
        <f>'数据-取费表'!B38</f>
        <v>1.4999999999999999E-2</v>
      </c>
      <c r="G21" s="234" t="s">
        <v>1496</v>
      </c>
    </row>
    <row r="22" spans="1:7" s="214" customFormat="1" ht="13.5" customHeight="1">
      <c r="A22" s="255" t="s">
        <v>1497</v>
      </c>
      <c r="B22" s="210" t="s">
        <v>1498</v>
      </c>
      <c r="C22" s="1102">
        <f ca="1">ROUND(SUM(C23:C25),0)</f>
        <v>12</v>
      </c>
      <c r="D22" s="235">
        <f ca="1">C26</f>
        <v>5.9999999999999995E-4</v>
      </c>
      <c r="E22" s="236" t="s">
        <v>1495</v>
      </c>
      <c r="F22" s="237">
        <f ca="1">'数据-取费表'!B40</f>
        <v>4.1499999999999995E-2</v>
      </c>
      <c r="G22" s="234" t="str">
        <f>IF('数据-取费表'!B22&lt;=1,"单利计息","复利计息")</f>
        <v>复利计息</v>
      </c>
    </row>
    <row r="23" spans="1:7" s="214" customFormat="1" ht="13.5" customHeight="1">
      <c r="A23" s="778" t="s">
        <v>1499</v>
      </c>
      <c r="B23" s="215" t="s">
        <v>1500</v>
      </c>
      <c r="C23" s="1103">
        <f ca="1">ROUND(IF('数据-取费表'!B22&lt;=1,C5*F22*'数据-取费表'!B23,C5*(POWER((1+F22),'数据-取费表'!B23)-1)),0)</f>
        <v>6</v>
      </c>
      <c r="D23" s="238"/>
      <c r="E23" s="238"/>
      <c r="F23" s="239"/>
      <c r="G23" s="240" t="s">
        <v>1501</v>
      </c>
    </row>
    <row r="24" spans="1:7" s="214" customFormat="1" ht="13.5" customHeight="1">
      <c r="A24" s="778" t="s">
        <v>1502</v>
      </c>
      <c r="B24" s="215" t="s">
        <v>1503</v>
      </c>
      <c r="C24" s="1103">
        <f ca="1">ROUND(IF('数据-取费表'!B22&lt;=1,C19*F22*('数据-取费表'!B19/2+'数据-取费表'!B21),C19*(POWER((1+F22),('数据-取费表'!B19/2+'数据-取费表'!B21))-1)),0)</f>
        <v>6</v>
      </c>
      <c r="D24" s="238"/>
      <c r="E24" s="238"/>
      <c r="F24" s="239"/>
      <c r="G24" s="240" t="s">
        <v>1504</v>
      </c>
    </row>
    <row r="25" spans="1:7" s="214" customFormat="1" ht="24">
      <c r="A25" s="778" t="s">
        <v>1505</v>
      </c>
      <c r="B25" s="215" t="s">
        <v>1506</v>
      </c>
      <c r="C25" s="1103">
        <f ca="1">ROUND(IF('数据-取费表'!B22&lt;=1,C20*F22*'数据-取费表'!B23/2,C20*(POWER((1+F22),'数据-取费表'!B23/2)-1)),0)</f>
        <v>0</v>
      </c>
      <c r="D25" s="238"/>
      <c r="E25" s="241"/>
      <c r="F25" s="239"/>
      <c r="G25" s="242" t="s">
        <v>1507</v>
      </c>
    </row>
    <row r="26" spans="1:7" s="214" customFormat="1">
      <c r="A26" s="778" t="s">
        <v>350</v>
      </c>
      <c r="B26" s="215" t="s">
        <v>1508</v>
      </c>
      <c r="C26" s="238">
        <f ca="1">ROUND(IF('数据-取费表'!B22&lt;=1,F21*F22*'数据-取费表'!B23/2,F21*(POWER((1+F22),'数据-取费表'!B23/2)-1)),4)</f>
        <v>5.9999999999999995E-4</v>
      </c>
      <c r="D26" s="238"/>
      <c r="E26" s="241"/>
      <c r="F26" s="239"/>
      <c r="G26" s="243"/>
    </row>
    <row r="27" spans="1:7" s="214" customFormat="1" ht="24.75">
      <c r="A27" s="255" t="s">
        <v>1509</v>
      </c>
      <c r="B27" s="244" t="s">
        <v>1510</v>
      </c>
      <c r="C27" s="245">
        <f ca="1">C28</f>
        <v>21</v>
      </c>
      <c r="D27" s="235">
        <f ca="1">C29</f>
        <v>2.3E-3</v>
      </c>
      <c r="E27" s="236" t="s">
        <v>1511</v>
      </c>
      <c r="F27" s="246">
        <f ca="1">IF(B1="",'数据-取费表'!Q16,INDIRECT("'数据-取费表'!q"&amp;$G$1))</f>
        <v>0.15</v>
      </c>
      <c r="G27" s="247" t="s">
        <v>1512</v>
      </c>
    </row>
    <row r="28" spans="1:7" s="214" customFormat="1" ht="13.5" customHeight="1">
      <c r="A28" s="778" t="s">
        <v>346</v>
      </c>
      <c r="B28" s="248" t="s">
        <v>1513</v>
      </c>
      <c r="C28" s="249">
        <f ca="1">ROUND((C5+C19+C20)*F27*'数据-取费表'!B21/'数据-取费表'!B20,0)</f>
        <v>21</v>
      </c>
      <c r="D28" s="235"/>
      <c r="E28" s="236"/>
      <c r="F28" s="246"/>
      <c r="G28" s="247"/>
    </row>
    <row r="29" spans="1:7" s="214" customFormat="1" ht="13.5" customHeight="1">
      <c r="A29" s="778" t="s">
        <v>347</v>
      </c>
      <c r="B29" s="248" t="s">
        <v>1514</v>
      </c>
      <c r="C29" s="238">
        <f ca="1">ROUND(C21*F27*'数据-取费表'!B21/'数据-取费表'!B20,4)</f>
        <v>2.3E-3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186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337</v>
      </c>
      <c r="B33" s="210" t="s">
        <v>1521</v>
      </c>
      <c r="C33" s="256">
        <f ca="1">SUM(C34:C38)</f>
        <v>1332</v>
      </c>
      <c r="D33" s="232"/>
      <c r="E33" s="212"/>
      <c r="F33" s="241"/>
      <c r="G33" s="234"/>
    </row>
    <row r="34" spans="1:7" s="258" customFormat="1" ht="13.5" customHeight="1">
      <c r="A34" s="778" t="s">
        <v>346</v>
      </c>
      <c r="B34" s="215" t="s">
        <v>1522</v>
      </c>
      <c r="C34" s="220">
        <f ca="1">IF(B1="",IF(F34=100%,'数据-取费表'!M16,'数据-取费表'!O16),IF(F34=100%,INDIRECT("'数据-取费表'!m"&amp;$G$1)+INDIRECT("'数据-取费表'!t"&amp;$G$1),INDIRECT("'数据-取费表'!o"&amp;$G$1)+INDIRECT("'数据-取费表'!aq"&amp;$G$1)))</f>
        <v>1209</v>
      </c>
      <c r="D34" s="217"/>
      <c r="E34" s="220"/>
      <c r="F34" s="257">
        <f ca="1">IF('数据-取费表'!B24=0,1,IF(B1="",'数据-取费表'!N16,INDIRECT("'数据-取费表'!n"&amp;$G$1)))</f>
        <v>1</v>
      </c>
      <c r="G34" s="219" t="s">
        <v>1523</v>
      </c>
    </row>
    <row r="35" spans="1:7" ht="13.5" customHeight="1">
      <c r="A35" s="778" t="s">
        <v>351</v>
      </c>
      <c r="B35" s="215" t="s">
        <v>1524</v>
      </c>
      <c r="C35" s="220">
        <f ca="1">ROUND(C34*F35,0)</f>
        <v>36</v>
      </c>
      <c r="D35" s="220"/>
      <c r="E35" s="220"/>
      <c r="F35" s="259">
        <f>'数据-取费表'!B33</f>
        <v>0.03</v>
      </c>
      <c r="G35" s="219" t="s">
        <v>1525</v>
      </c>
    </row>
    <row r="36" spans="1:7" ht="24">
      <c r="A36" s="778" t="s">
        <v>352</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8" t="s">
        <v>353</v>
      </c>
      <c r="B37" s="215" t="s">
        <v>1528</v>
      </c>
      <c r="C37" s="249">
        <f ca="1">ROUND(E37*D37*F34/10000,0)</f>
        <v>69</v>
      </c>
      <c r="D37" s="217">
        <f ca="1">D19</f>
        <v>3455.7</v>
      </c>
      <c r="E37" s="249">
        <f>'数据-取费表'!B35</f>
        <v>200</v>
      </c>
      <c r="F37" s="259"/>
      <c r="G37" s="261" t="s">
        <v>1529</v>
      </c>
    </row>
    <row r="38" spans="1:7" ht="13.5" customHeight="1">
      <c r="A38" s="778" t="s">
        <v>354</v>
      </c>
      <c r="B38" s="215" t="s">
        <v>1530</v>
      </c>
      <c r="C38" s="220">
        <f ca="1">ROUND(C34*F38,0)</f>
        <v>18</v>
      </c>
      <c r="D38" s="220"/>
      <c r="E38" s="220"/>
      <c r="F38" s="259">
        <f>'数据-取费表'!B36</f>
        <v>1.4999999999999999E-2</v>
      </c>
      <c r="G38" s="219" t="s">
        <v>1525</v>
      </c>
    </row>
    <row r="39" spans="1:7" s="214" customFormat="1" ht="13.5" customHeight="1">
      <c r="A39" s="255" t="s">
        <v>1531</v>
      </c>
      <c r="B39" s="210" t="s">
        <v>1532</v>
      </c>
      <c r="C39" s="232">
        <f ca="1">ROUND(C33*F20,0)</f>
        <v>20</v>
      </c>
      <c r="D39" s="232"/>
      <c r="E39" s="232"/>
      <c r="F39" s="233">
        <f>F20</f>
        <v>1.4999999999999999E-2</v>
      </c>
      <c r="G39" s="234" t="s">
        <v>1533</v>
      </c>
    </row>
    <row r="40" spans="1:7" s="214" customFormat="1" ht="13.5" customHeight="1">
      <c r="A40" s="255" t="s">
        <v>1534</v>
      </c>
      <c r="B40" s="210" t="s">
        <v>1535</v>
      </c>
      <c r="C40" s="1325">
        <f>F21</f>
        <v>1.4999999999999999E-2</v>
      </c>
      <c r="D40" s="236" t="s">
        <v>1536</v>
      </c>
      <c r="E40" s="232"/>
      <c r="F40" s="233">
        <f>F21</f>
        <v>1.4999999999999999E-2</v>
      </c>
      <c r="G40" s="234" t="s">
        <v>1537</v>
      </c>
    </row>
    <row r="41" spans="1:7" s="214" customFormat="1" ht="13.5" customHeight="1">
      <c r="A41" s="255" t="s">
        <v>1538</v>
      </c>
      <c r="B41" s="210" t="s">
        <v>1539</v>
      </c>
      <c r="C41" s="232">
        <f ca="1">ROUND(SUM(C42:C43),0)</f>
        <v>56</v>
      </c>
      <c r="D41" s="235">
        <f ca="1">C44</f>
        <v>5.9999999999999995E-4</v>
      </c>
      <c r="E41" s="236" t="s">
        <v>1536</v>
      </c>
      <c r="F41" s="237">
        <f ca="1">F22</f>
        <v>4.1499999999999995E-2</v>
      </c>
      <c r="G41" s="234" t="str">
        <f>IF('数据-取费表'!B22&lt;=1,"单利计息","复利计息")</f>
        <v>复利计息</v>
      </c>
    </row>
    <row r="42" spans="1:7" ht="13.5" customHeight="1">
      <c r="A42" s="778" t="s">
        <v>346</v>
      </c>
      <c r="B42" s="215" t="s">
        <v>1540</v>
      </c>
      <c r="C42" s="238">
        <f ca="1">ROUND(IF('数据-取费表'!B22&lt;=1,C33*F22*'数据-取费表'!B21/2,C33*(POWER((1+F22),'数据-取费表'!B21/2)-1)),0)</f>
        <v>55</v>
      </c>
      <c r="D42" s="238"/>
      <c r="E42" s="238"/>
      <c r="F42" s="239"/>
      <c r="G42" s="3670" t="s">
        <v>1541</v>
      </c>
    </row>
    <row r="43" spans="1:7" ht="13.5" customHeight="1">
      <c r="A43" s="778" t="s">
        <v>347</v>
      </c>
      <c r="B43" s="215" t="s">
        <v>1542</v>
      </c>
      <c r="C43" s="238">
        <f ca="1">ROUND(IF('数据-取费表'!B22&lt;=1,C39*F22*'数据-取费表'!B21/2,C39*(POWER((1+F22),'数据-取费表'!B21/2)-1)),0)</f>
        <v>1</v>
      </c>
      <c r="D43" s="238"/>
      <c r="E43" s="238"/>
      <c r="F43" s="239"/>
      <c r="G43" s="3671"/>
    </row>
    <row r="44" spans="1:7" ht="13.5" customHeight="1">
      <c r="A44" s="778" t="s">
        <v>348</v>
      </c>
      <c r="B44" s="215" t="s">
        <v>1543</v>
      </c>
      <c r="C44" s="238">
        <f ca="1">ROUND(IF('数据-取费表'!B22&lt;=1,C40*F22*'数据-取费表'!B21/2,C40*(POWER((1+F22),'数据-取费表'!B21/2)-1)),4)</f>
        <v>5.9999999999999995E-4</v>
      </c>
      <c r="D44" s="238"/>
      <c r="E44" s="238"/>
      <c r="F44" s="239"/>
      <c r="G44" s="3672"/>
    </row>
    <row r="45" spans="1:7" s="214" customFormat="1" ht="13.5" customHeight="1">
      <c r="A45" s="255" t="s">
        <v>1544</v>
      </c>
      <c r="B45" s="244" t="s">
        <v>1510</v>
      </c>
      <c r="C45" s="245">
        <f ca="1">C46</f>
        <v>203</v>
      </c>
      <c r="D45" s="235">
        <f ca="1">C47</f>
        <v>2.3E-3</v>
      </c>
      <c r="E45" s="236" t="s">
        <v>1536</v>
      </c>
      <c r="F45" s="246">
        <f ca="1">F27</f>
        <v>0.15</v>
      </c>
      <c r="G45" s="247" t="s">
        <v>1545</v>
      </c>
    </row>
    <row r="46" spans="1:7" s="214" customFormat="1" ht="13.5" customHeight="1">
      <c r="A46" s="778" t="s">
        <v>346</v>
      </c>
      <c r="B46" s="248" t="s">
        <v>1546</v>
      </c>
      <c r="C46" s="249">
        <f ca="1">ROUND((C33+C39)*F27,0)</f>
        <v>203</v>
      </c>
      <c r="D46" s="263"/>
      <c r="E46" s="236"/>
      <c r="F46" s="246"/>
      <c r="G46" s="247"/>
    </row>
    <row r="47" spans="1:7" s="214" customFormat="1" ht="13.5" customHeight="1">
      <c r="A47" s="778" t="s">
        <v>347</v>
      </c>
      <c r="B47" s="248" t="s">
        <v>1547</v>
      </c>
      <c r="C47" s="238">
        <f ca="1">ROUND(C40*F27,4)</f>
        <v>2.3E-3</v>
      </c>
      <c r="D47" s="263"/>
      <c r="E47" s="236"/>
      <c r="F47" s="246"/>
      <c r="G47" s="247"/>
    </row>
    <row r="48" spans="1:7" s="214" customFormat="1" ht="13.5" customHeight="1">
      <c r="A48" s="255" t="s">
        <v>1509</v>
      </c>
      <c r="B48" s="210" t="s">
        <v>1548</v>
      </c>
      <c r="C48" s="1325">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1734</v>
      </c>
      <c r="D49" s="232"/>
      <c r="E49" s="232"/>
      <c r="F49" s="264"/>
      <c r="G49" s="234" t="s">
        <v>1551</v>
      </c>
    </row>
    <row r="50" spans="1:7" s="258" customFormat="1" ht="24">
      <c r="A50" s="255" t="s">
        <v>1552</v>
      </c>
      <c r="B50" s="210" t="s">
        <v>1553</v>
      </c>
      <c r="C50" s="232"/>
      <c r="D50" s="232"/>
      <c r="E50" s="232"/>
      <c r="F50" s="264">
        <f>IF('数据-取费表'!B24=0,'数据-取费表'!N16,1)</f>
        <v>0.7</v>
      </c>
      <c r="G50" s="247" t="s">
        <v>1554</v>
      </c>
    </row>
    <row r="51" spans="1:7" ht="16.5" customHeight="1">
      <c r="A51" s="255" t="s">
        <v>1555</v>
      </c>
      <c r="B51" s="210" t="s">
        <v>1556</v>
      </c>
      <c r="C51" s="232">
        <f ca="1">ROUND(C49*F50,0)</f>
        <v>1214</v>
      </c>
      <c r="D51" s="232"/>
      <c r="E51" s="232"/>
      <c r="F51" s="264"/>
      <c r="G51" s="234" t="s">
        <v>1557</v>
      </c>
    </row>
    <row r="52" spans="1:7" s="208" customFormat="1" ht="16.5" thickBot="1">
      <c r="A52" s="265" t="s">
        <v>1558</v>
      </c>
      <c r="B52" s="266"/>
      <c r="C52" s="267">
        <f ca="1">C31+C51</f>
        <v>1400</v>
      </c>
      <c r="D52" s="266"/>
      <c r="E52" s="266"/>
      <c r="F52" s="266"/>
      <c r="G52" s="268"/>
    </row>
    <row r="55" spans="1:7" ht="15">
      <c r="B55" s="270" t="s">
        <v>1559</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8"/>
      <c r="C1" s="1857" t="s">
        <v>1560</v>
      </c>
      <c r="D1" s="198"/>
      <c r="E1" s="198"/>
      <c r="F1" s="198"/>
      <c r="G1" s="1124">
        <f>MATCH(B1,'数据-取费表'!A6:A16,0)+5</f>
        <v>7</v>
      </c>
      <c r="H1" s="1059" t="str">
        <f>IF(ISERROR(FIND("住宅",B1)),"非住宅","住宅")</f>
        <v>非住宅</v>
      </c>
    </row>
    <row r="2" spans="1:8" s="200" customFormat="1" ht="18" customHeight="1">
      <c r="A2" s="201" t="s">
        <v>1459</v>
      </c>
      <c r="B2" s="3419">
        <f ca="1">ROUND(IF(D2="——",C52/10000,C52/10000-E2),4)</f>
        <v>1401.421</v>
      </c>
      <c r="C2" s="199" t="s">
        <v>1460</v>
      </c>
      <c r="D2" s="1851" t="s">
        <v>43</v>
      </c>
      <c r="E2" s="1167" t="e">
        <f ca="1">SUMIF(INDIRECT("'"&amp;G2&amp;"'"&amp;"!A:A"),"承租人权益价值",INDIRECT("'"&amp;G2&amp;"'"&amp;"!c:c"))</f>
        <v>#REF!</v>
      </c>
      <c r="F2" s="1852" t="s">
        <v>1460</v>
      </c>
      <c r="G2" s="1853"/>
    </row>
    <row r="3" spans="1:8" s="200" customFormat="1" ht="18" customHeight="1" thickBot="1">
      <c r="A3" s="203" t="s">
        <v>1461</v>
      </c>
      <c r="B3" s="204">
        <f ca="1">ROUND(B2*10000/(IF(B1="",'数据-汇总表'!E3,INDIRECT("'数据-取费表'!k"&amp;$G$1))),0)</f>
        <v>4055</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691140</v>
      </c>
      <c r="D5" s="211" t="s">
        <v>1466</v>
      </c>
      <c r="E5" s="212" t="s">
        <v>1467</v>
      </c>
      <c r="F5" s="212" t="s">
        <v>1468</v>
      </c>
      <c r="G5" s="213"/>
    </row>
    <row r="6" spans="1:8" s="214" customFormat="1" ht="13.5" customHeight="1">
      <c r="A6" s="776" t="s">
        <v>1469</v>
      </c>
      <c r="B6" s="215" t="s">
        <v>1470</v>
      </c>
      <c r="C6" s="216"/>
      <c r="D6" s="217"/>
      <c r="E6" s="218"/>
      <c r="F6" s="218"/>
      <c r="G6" s="219"/>
    </row>
    <row r="7" spans="1:8" s="214" customFormat="1" ht="13.5" customHeight="1">
      <c r="A7" s="776" t="s">
        <v>1471</v>
      </c>
      <c r="B7" s="215" t="s">
        <v>1472</v>
      </c>
      <c r="C7" s="220">
        <f>ROUND(C6*F7,0)</f>
        <v>0</v>
      </c>
      <c r="D7" s="220"/>
      <c r="E7" s="218"/>
      <c r="F7" s="221">
        <f>IF(项目基本情况!B8="出让",0,'数据-取费表'!B48+'数据-取费表'!B49)</f>
        <v>3.0499999999999999E-2</v>
      </c>
      <c r="G7" s="219"/>
    </row>
    <row r="8" spans="1:8" s="223" customFormat="1">
      <c r="A8" s="776" t="s">
        <v>1473</v>
      </c>
      <c r="B8" s="215" t="s">
        <v>1474</v>
      </c>
      <c r="C8" s="220">
        <f ca="1">IF(G8="已包含在土地购买价格中",0,C9+C10)</f>
        <v>691140</v>
      </c>
      <c r="D8" s="222"/>
      <c r="E8" s="220"/>
      <c r="F8" s="221"/>
      <c r="G8" s="1854"/>
    </row>
    <row r="9" spans="1:8" s="214" customFormat="1" ht="13.5" customHeight="1">
      <c r="A9" s="777" t="s">
        <v>355</v>
      </c>
      <c r="B9" s="224" t="s">
        <v>1475</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1477</v>
      </c>
      <c r="C10" s="225">
        <f ca="1">ROUND(D10*E10,0)</f>
        <v>691140</v>
      </c>
      <c r="D10" s="843">
        <f ca="1">IF(B1="",'数据-汇总表'!E6,IF(INDIRECT("'数据-取费表'!c"&amp;$G$1)="住宅",INDIRECT("'数据-取费表'!s"&amp;$G$1),INDIRECT("'数据-取费表'!k"&amp;$G$1)+INDIRECT("'数据-取费表'!s"&amp;$G$1)))</f>
        <v>3455.7</v>
      </c>
      <c r="E10" s="225">
        <f>'数据-取费表'!B28</f>
        <v>200</v>
      </c>
      <c r="F10" s="221"/>
      <c r="G10" s="226"/>
    </row>
    <row r="11" spans="1:8" s="214" customFormat="1" ht="13.5" hidden="1" customHeight="1">
      <c r="A11" s="227" t="s">
        <v>4</v>
      </c>
      <c r="B11" s="215" t="s">
        <v>1478</v>
      </c>
      <c r="C11" s="211"/>
      <c r="D11" s="845"/>
      <c r="E11" s="218"/>
      <c r="F11" s="218"/>
      <c r="G11" s="219"/>
    </row>
    <row r="12" spans="1:8" s="214" customFormat="1" ht="13.5" hidden="1" customHeight="1">
      <c r="A12" s="227" t="s">
        <v>5</v>
      </c>
      <c r="B12" s="215" t="s">
        <v>1561</v>
      </c>
      <c r="C12" s="211">
        <v>0</v>
      </c>
      <c r="D12" s="845"/>
      <c r="E12" s="228"/>
      <c r="F12" s="221">
        <v>3.0499999999999999E-2</v>
      </c>
      <c r="G12" s="219"/>
    </row>
    <row r="13" spans="1:8" s="214" customFormat="1" ht="13.5" hidden="1" customHeight="1">
      <c r="A13" s="227" t="s">
        <v>6</v>
      </c>
      <c r="B13" s="215" t="s">
        <v>1562</v>
      </c>
      <c r="C13" s="211"/>
      <c r="D13" s="845"/>
      <c r="E13" s="218"/>
      <c r="F13" s="218"/>
      <c r="G13" s="219"/>
    </row>
    <row r="14" spans="1:8" s="214" customFormat="1" ht="13.5" hidden="1" customHeight="1">
      <c r="A14" s="227" t="s">
        <v>7</v>
      </c>
      <c r="B14" s="215" t="s">
        <v>1474</v>
      </c>
      <c r="C14" s="211"/>
      <c r="D14" s="845"/>
      <c r="E14" s="218"/>
      <c r="F14" s="218"/>
      <c r="G14" s="219" t="s">
        <v>1563</v>
      </c>
    </row>
    <row r="15" spans="1:8" s="214" customFormat="1" ht="13.5" hidden="1" customHeight="1">
      <c r="A15" s="227" t="s">
        <v>8</v>
      </c>
      <c r="B15" s="215" t="s">
        <v>1564</v>
      </c>
      <c r="C15" s="220"/>
      <c r="D15" s="845"/>
      <c r="E15" s="218"/>
      <c r="F15" s="218"/>
      <c r="G15" s="219" t="s">
        <v>1565</v>
      </c>
    </row>
    <row r="16" spans="1:8" s="214" customFormat="1" ht="13.5" hidden="1" customHeight="1">
      <c r="A16" s="227" t="s">
        <v>9</v>
      </c>
      <c r="B16" s="215" t="s">
        <v>1474</v>
      </c>
      <c r="C16" s="220"/>
      <c r="D16" s="845"/>
      <c r="E16" s="218"/>
      <c r="F16" s="218"/>
      <c r="G16" s="219"/>
    </row>
    <row r="17" spans="1:7" s="214" customFormat="1" ht="13.5" hidden="1" customHeight="1">
      <c r="A17" s="227" t="s">
        <v>10</v>
      </c>
      <c r="B17" s="215" t="s">
        <v>1566</v>
      </c>
      <c r="C17" s="229"/>
      <c r="D17" s="846"/>
      <c r="E17" s="229"/>
      <c r="F17" s="229"/>
      <c r="G17" s="219" t="s">
        <v>1565</v>
      </c>
    </row>
    <row r="18" spans="1:7" s="214" customFormat="1" ht="13.5" hidden="1" customHeight="1">
      <c r="A18" s="227" t="s">
        <v>11</v>
      </c>
      <c r="B18" s="215" t="s">
        <v>1567</v>
      </c>
      <c r="C18" s="220">
        <v>0</v>
      </c>
      <c r="D18" s="845"/>
      <c r="E18" s="218"/>
      <c r="F18" s="221">
        <v>3.0499999999999999E-2</v>
      </c>
      <c r="G18" s="219" t="s">
        <v>1568</v>
      </c>
    </row>
    <row r="19" spans="1:7" s="223" customFormat="1" ht="13.5" customHeight="1">
      <c r="A19" s="255" t="s">
        <v>1569</v>
      </c>
      <c r="B19" s="210" t="s">
        <v>1570</v>
      </c>
      <c r="C19" s="211">
        <f ca="1">IF(G19="已包含在土地取得成本中","0",ROUND(D19*E19,0))</f>
        <v>691140</v>
      </c>
      <c r="D19" s="847">
        <f ca="1">D9+D10</f>
        <v>3455.7</v>
      </c>
      <c r="E19" s="211">
        <f>'数据-取费表'!B31</f>
        <v>200</v>
      </c>
      <c r="F19" s="231"/>
      <c r="G19" s="1854"/>
    </row>
    <row r="20" spans="1:7" s="214" customFormat="1" ht="13.5" customHeight="1">
      <c r="A20" s="255" t="s">
        <v>1571</v>
      </c>
      <c r="B20" s="210" t="s">
        <v>1572</v>
      </c>
      <c r="C20" s="232">
        <f ca="1">ROUND((C5+C19)*F20,0)</f>
        <v>20734</v>
      </c>
      <c r="D20" s="232"/>
      <c r="E20" s="232"/>
      <c r="F20" s="233">
        <f>'数据-取费表'!B37</f>
        <v>1.4999999999999999E-2</v>
      </c>
      <c r="G20" s="234" t="s">
        <v>1573</v>
      </c>
    </row>
    <row r="21" spans="1:7" s="214" customFormat="1" ht="13.5" customHeight="1">
      <c r="A21" s="255" t="s">
        <v>1574</v>
      </c>
      <c r="B21" s="210" t="s">
        <v>1575</v>
      </c>
      <c r="C21" s="235">
        <f>F21</f>
        <v>1.4999999999999999E-2</v>
      </c>
      <c r="D21" s="236" t="s">
        <v>1576</v>
      </c>
      <c r="E21" s="232"/>
      <c r="F21" s="233">
        <f>'数据-取费表'!B38</f>
        <v>1.4999999999999999E-2</v>
      </c>
      <c r="G21" s="234" t="s">
        <v>1577</v>
      </c>
    </row>
    <row r="22" spans="1:7" s="214" customFormat="1" ht="13.5" customHeight="1">
      <c r="A22" s="255" t="s">
        <v>1578</v>
      </c>
      <c r="B22" s="210" t="s">
        <v>1579</v>
      </c>
      <c r="C22" s="1125">
        <f ca="1">ROUND(SUM(C23:C25),0)</f>
        <v>117970</v>
      </c>
      <c r="D22" s="235">
        <f ca="1">C26</f>
        <v>5.9999999999999995E-4</v>
      </c>
      <c r="E22" s="236" t="s">
        <v>1576</v>
      </c>
      <c r="F22" s="237">
        <f ca="1">'数据-取费表'!B40</f>
        <v>4.1499999999999995E-2</v>
      </c>
      <c r="G22" s="234" t="str">
        <f>IF('数据-取费表'!B22&lt;=1,"单利计息","复利计息")</f>
        <v>复利计息</v>
      </c>
    </row>
    <row r="23" spans="1:7" s="214" customFormat="1" ht="13.5" customHeight="1">
      <c r="A23" s="778" t="s">
        <v>1469</v>
      </c>
      <c r="B23" s="215" t="s">
        <v>1580</v>
      </c>
      <c r="C23" s="1126">
        <f ca="1">ROUND(IF('数据-取费表'!B22&lt;=1,C5*F22*'数据-取费表'!B22,C5*(POWER((1+F22),'数据-取费表'!B22)-1)),0)</f>
        <v>58555</v>
      </c>
      <c r="D23" s="238"/>
      <c r="E23" s="238"/>
      <c r="F23" s="239"/>
      <c r="G23" s="240" t="s">
        <v>1581</v>
      </c>
    </row>
    <row r="24" spans="1:7" s="214" customFormat="1" ht="13.5" customHeight="1">
      <c r="A24" s="778" t="s">
        <v>1471</v>
      </c>
      <c r="B24" s="215" t="s">
        <v>1582</v>
      </c>
      <c r="C24" s="1126">
        <f ca="1">ROUND(IF('数据-取费表'!B22&lt;=1,C19*F22*('数据-取费表'!B19/2+'数据-取费表'!B20),C19*(POWER((1+F22),('数据-取费表'!B19/2+'数据-取费表'!B20))-1)),0)</f>
        <v>58555</v>
      </c>
      <c r="D24" s="238"/>
      <c r="E24" s="238"/>
      <c r="F24" s="239"/>
      <c r="G24" s="240" t="s">
        <v>1583</v>
      </c>
    </row>
    <row r="25" spans="1:7" s="214" customFormat="1" ht="24">
      <c r="A25" s="778" t="s">
        <v>1473</v>
      </c>
      <c r="B25" s="215" t="s">
        <v>1584</v>
      </c>
      <c r="C25" s="1126">
        <f ca="1">ROUND(IF('数据-取费表'!B22&lt;=1,C20*F22*'数据-取费表'!B22/2,C20*(POWER((1+F22),'数据-取费表'!B22/2)-1)),0)</f>
        <v>860</v>
      </c>
      <c r="D25" s="238"/>
      <c r="E25" s="241"/>
      <c r="F25" s="239"/>
      <c r="G25" s="242" t="s">
        <v>1585</v>
      </c>
    </row>
    <row r="26" spans="1:7" s="214" customFormat="1">
      <c r="A26" s="778" t="s">
        <v>350</v>
      </c>
      <c r="B26" s="215" t="s">
        <v>1508</v>
      </c>
      <c r="C26" s="238">
        <f ca="1">ROUND(IF('数据-取费表'!B22&lt;=1,F21*F22*'数据-取费表'!B22/2,F21*(POWER((1+F22),'数据-取费表'!B22/2)-1)),4)</f>
        <v>5.9999999999999995E-4</v>
      </c>
      <c r="D26" s="238"/>
      <c r="E26" s="241"/>
      <c r="F26" s="239"/>
      <c r="G26" s="243"/>
    </row>
    <row r="27" spans="1:7" s="214" customFormat="1" ht="24.75">
      <c r="A27" s="255" t="s">
        <v>1509</v>
      </c>
      <c r="B27" s="244" t="s">
        <v>1510</v>
      </c>
      <c r="C27" s="245">
        <f ca="1">C28</f>
        <v>210452</v>
      </c>
      <c r="D27" s="235">
        <f ca="1">C29</f>
        <v>2.3E-3</v>
      </c>
      <c r="E27" s="236" t="s">
        <v>1511</v>
      </c>
      <c r="F27" s="246">
        <f ca="1">IF(B1="",'数据-取费表'!Q16,INDIRECT("'数据-取费表'!q"&amp;$G$1))</f>
        <v>0.15</v>
      </c>
      <c r="G27" s="247" t="s">
        <v>1512</v>
      </c>
    </row>
    <row r="28" spans="1:7" s="214" customFormat="1" ht="13.5" customHeight="1">
      <c r="A28" s="778" t="s">
        <v>346</v>
      </c>
      <c r="B28" s="248" t="s">
        <v>1513</v>
      </c>
      <c r="C28" s="249">
        <f ca="1">ROUND((C5+C19+C20)*F27,0)</f>
        <v>210452</v>
      </c>
      <c r="D28" s="235"/>
      <c r="E28" s="236"/>
      <c r="F28" s="246"/>
      <c r="G28" s="247"/>
    </row>
    <row r="29" spans="1:7" s="214" customFormat="1" ht="13.5" customHeight="1">
      <c r="A29" s="778" t="s">
        <v>347</v>
      </c>
      <c r="B29" s="248" t="s">
        <v>1514</v>
      </c>
      <c r="C29" s="238">
        <f ca="1">ROUND(C21*F27,4)</f>
        <v>2.3E-3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1864165</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337</v>
      </c>
      <c r="B33" s="210" t="s">
        <v>1587</v>
      </c>
      <c r="C33" s="256">
        <f ca="1">SUM(C34:C38)</f>
        <v>13330363</v>
      </c>
      <c r="D33" s="232"/>
      <c r="E33" s="212"/>
      <c r="F33" s="241"/>
      <c r="G33" s="234"/>
    </row>
    <row r="34" spans="1:7" s="258" customFormat="1" ht="13.5" customHeight="1">
      <c r="A34" s="778" t="s">
        <v>346</v>
      </c>
      <c r="B34" s="215" t="s">
        <v>1522</v>
      </c>
      <c r="C34" s="220">
        <f ca="1">ROUND(IF(B1="",SUMPRODUCT('数据-取费表'!K6:K14,'数据-取费表'!L6:L14),INDIRECT("'数据-取费表'!l"&amp;$G$1)*INDIRECT("'数据-取费表'!k"&amp;$G$1)+'数据-取费表'!L14*INDIRECT("'数据-取费表'!S"&amp;$G$1)),0)</f>
        <v>12094950</v>
      </c>
      <c r="D34" s="217"/>
      <c r="E34" s="220"/>
      <c r="F34" s="257"/>
      <c r="G34" s="219"/>
    </row>
    <row r="35" spans="1:7" ht="13.5" customHeight="1">
      <c r="A35" s="778" t="s">
        <v>351</v>
      </c>
      <c r="B35" s="215" t="s">
        <v>1524</v>
      </c>
      <c r="C35" s="220">
        <f ca="1">ROUND(C34*F35,0)</f>
        <v>362849</v>
      </c>
      <c r="D35" s="220"/>
      <c r="E35" s="220"/>
      <c r="F35" s="259">
        <f>'数据-取费表'!B33</f>
        <v>0.03</v>
      </c>
      <c r="G35" s="219" t="s">
        <v>1525</v>
      </c>
    </row>
    <row r="36" spans="1:7" ht="24">
      <c r="A36" s="778" t="s">
        <v>352</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8" t="s">
        <v>353</v>
      </c>
      <c r="B37" s="215" t="s">
        <v>1528</v>
      </c>
      <c r="C37" s="249">
        <f ca="1">ROUND(E37*D37,0)</f>
        <v>691140</v>
      </c>
      <c r="D37" s="217">
        <f ca="1">D19</f>
        <v>3455.7</v>
      </c>
      <c r="E37" s="249">
        <f>'数据-取费表'!B35</f>
        <v>200</v>
      </c>
      <c r="F37" s="259"/>
      <c r="G37" s="261"/>
    </row>
    <row r="38" spans="1:7" ht="13.5" customHeight="1">
      <c r="A38" s="778" t="s">
        <v>354</v>
      </c>
      <c r="B38" s="215" t="s">
        <v>1530</v>
      </c>
      <c r="C38" s="220">
        <f ca="1">ROUND(C34*F38,0)</f>
        <v>181424</v>
      </c>
      <c r="D38" s="220"/>
      <c r="E38" s="220"/>
      <c r="F38" s="259">
        <f>'数据-取费表'!B36</f>
        <v>1.4999999999999999E-2</v>
      </c>
      <c r="G38" s="219" t="s">
        <v>1525</v>
      </c>
    </row>
    <row r="39" spans="1:7" s="214" customFormat="1" ht="13.5" customHeight="1">
      <c r="A39" s="255" t="s">
        <v>1531</v>
      </c>
      <c r="B39" s="210" t="s">
        <v>1532</v>
      </c>
      <c r="C39" s="232">
        <f ca="1">ROUND(C33*F20,0)</f>
        <v>199955</v>
      </c>
      <c r="D39" s="232"/>
      <c r="E39" s="232"/>
      <c r="F39" s="233">
        <f>F20</f>
        <v>1.4999999999999999E-2</v>
      </c>
      <c r="G39" s="234" t="s">
        <v>1533</v>
      </c>
    </row>
    <row r="40" spans="1:7" s="214" customFormat="1" ht="13.5" customHeight="1">
      <c r="A40" s="255" t="s">
        <v>1534</v>
      </c>
      <c r="B40" s="210" t="s">
        <v>1535</v>
      </c>
      <c r="C40" s="1325">
        <f>F21</f>
        <v>1.4999999999999999E-2</v>
      </c>
      <c r="D40" s="236" t="s">
        <v>1536</v>
      </c>
      <c r="E40" s="232"/>
      <c r="F40" s="233">
        <f>F21</f>
        <v>1.4999999999999999E-2</v>
      </c>
      <c r="G40" s="234" t="s">
        <v>1537</v>
      </c>
    </row>
    <row r="41" spans="1:7" s="214" customFormat="1" ht="13.5" customHeight="1">
      <c r="A41" s="255" t="s">
        <v>1538</v>
      </c>
      <c r="B41" s="210" t="s">
        <v>1539</v>
      </c>
      <c r="C41" s="232">
        <f ca="1">ROUND(SUM(C42:C43),0)</f>
        <v>561508</v>
      </c>
      <c r="D41" s="235">
        <f ca="1">C44</f>
        <v>5.9999999999999995E-4</v>
      </c>
      <c r="E41" s="236" t="s">
        <v>1536</v>
      </c>
      <c r="F41" s="237">
        <f ca="1">F22</f>
        <v>4.1499999999999995E-2</v>
      </c>
      <c r="G41" s="234" t="str">
        <f>IF('数据-取费表'!B22&lt;=1,"单利计息","复利计息")</f>
        <v>复利计息</v>
      </c>
    </row>
    <row r="42" spans="1:7" ht="13.5" customHeight="1">
      <c r="A42" s="778" t="s">
        <v>346</v>
      </c>
      <c r="B42" s="215" t="s">
        <v>1540</v>
      </c>
      <c r="C42" s="238">
        <f ca="1">ROUND(IF('数据-取费表'!B22&lt;=1,C33*F22*'数据-取费表'!B20/2,C33*(POWER((1+F22),'数据-取费表'!B20/2)-1)),0)</f>
        <v>553210</v>
      </c>
      <c r="D42" s="238"/>
      <c r="E42" s="238"/>
      <c r="F42" s="239"/>
      <c r="G42" s="3670" t="s">
        <v>1588</v>
      </c>
    </row>
    <row r="43" spans="1:7" ht="13.5" customHeight="1">
      <c r="A43" s="778" t="s">
        <v>347</v>
      </c>
      <c r="B43" s="215" t="s">
        <v>1542</v>
      </c>
      <c r="C43" s="238">
        <f ca="1">ROUND(IF('数据-取费表'!B22&lt;=1,C39*F22*'数据-取费表'!B20/2,C39*(POWER((1+F22),'数据-取费表'!B20/2)-1)),0)</f>
        <v>8298</v>
      </c>
      <c r="D43" s="238"/>
      <c r="E43" s="238"/>
      <c r="F43" s="239"/>
      <c r="G43" s="3671"/>
    </row>
    <row r="44" spans="1:7" ht="13.5" customHeight="1">
      <c r="A44" s="778" t="s">
        <v>348</v>
      </c>
      <c r="B44" s="215" t="s">
        <v>1543</v>
      </c>
      <c r="C44" s="238">
        <f ca="1">ROUND(IF('数据-取费表'!B22&lt;=1,C40*F22*'数据-取费表'!B20/2,C40*(POWER((1+F22),'数据-取费表'!B20/2)-1)),4)</f>
        <v>5.9999999999999995E-4</v>
      </c>
      <c r="D44" s="238"/>
      <c r="E44" s="238"/>
      <c r="F44" s="239"/>
      <c r="G44" s="3672"/>
    </row>
    <row r="45" spans="1:7" s="214" customFormat="1" ht="13.5" customHeight="1">
      <c r="A45" s="255" t="s">
        <v>1544</v>
      </c>
      <c r="B45" s="244" t="s">
        <v>1510</v>
      </c>
      <c r="C45" s="245">
        <f ca="1">C46</f>
        <v>2029548</v>
      </c>
      <c r="D45" s="235">
        <f ca="1">C47</f>
        <v>2.3E-3</v>
      </c>
      <c r="E45" s="236" t="s">
        <v>1536</v>
      </c>
      <c r="F45" s="246">
        <f ca="1">F27</f>
        <v>0.15</v>
      </c>
      <c r="G45" s="247" t="s">
        <v>1545</v>
      </c>
    </row>
    <row r="46" spans="1:7" s="214" customFormat="1" ht="13.5" customHeight="1">
      <c r="A46" s="778" t="s">
        <v>346</v>
      </c>
      <c r="B46" s="248" t="s">
        <v>1546</v>
      </c>
      <c r="C46" s="249">
        <f ca="1">ROUND((C33+C39)*F27,0)</f>
        <v>2029548</v>
      </c>
      <c r="D46" s="263"/>
      <c r="E46" s="236"/>
      <c r="F46" s="246"/>
      <c r="G46" s="247"/>
    </row>
    <row r="47" spans="1:7" s="214" customFormat="1" ht="13.5" customHeight="1">
      <c r="A47" s="778" t="s">
        <v>347</v>
      </c>
      <c r="B47" s="248" t="s">
        <v>1547</v>
      </c>
      <c r="C47" s="238">
        <f ca="1">ROUND(C40*F27,4)</f>
        <v>2.3E-3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17357207</v>
      </c>
      <c r="D49" s="232"/>
      <c r="E49" s="232"/>
      <c r="F49" s="264"/>
      <c r="G49" s="234" t="s">
        <v>1551</v>
      </c>
    </row>
    <row r="50" spans="1:7" s="258" customFormat="1">
      <c r="A50" s="255" t="s">
        <v>1552</v>
      </c>
      <c r="B50" s="210" t="s">
        <v>1553</v>
      </c>
      <c r="C50" s="232"/>
      <c r="D50" s="232"/>
      <c r="E50" s="232"/>
      <c r="F50" s="264">
        <f>IF('数据-取费表'!B24=0,'数据-取费表'!N16,1)</f>
        <v>0.7</v>
      </c>
      <c r="G50" s="247"/>
    </row>
    <row r="51" spans="1:7" ht="16.5" customHeight="1">
      <c r="A51" s="255" t="s">
        <v>1555</v>
      </c>
      <c r="B51" s="210" t="s">
        <v>1590</v>
      </c>
      <c r="C51" s="232">
        <f ca="1">ROUND(C49*F50,0)</f>
        <v>12150045</v>
      </c>
      <c r="D51" s="232"/>
      <c r="E51" s="232"/>
      <c r="F51" s="264"/>
      <c r="G51" s="234" t="s">
        <v>1557</v>
      </c>
    </row>
    <row r="52" spans="1:7" s="208" customFormat="1" ht="16.5" thickBot="1">
      <c r="A52" s="265" t="s">
        <v>1558</v>
      </c>
      <c r="B52" s="266"/>
      <c r="C52" s="267">
        <f ca="1">C31+C51</f>
        <v>14014210</v>
      </c>
      <c r="D52" s="266"/>
      <c r="E52" s="266"/>
      <c r="F52" s="266"/>
      <c r="G52" s="268"/>
    </row>
    <row r="55" spans="1:7" ht="15">
      <c r="B55" s="270" t="s">
        <v>1559</v>
      </c>
      <c r="C55" s="271"/>
    </row>
    <row r="56" spans="1:7">
      <c r="B56" s="273" t="s">
        <v>802</v>
      </c>
      <c r="C56" s="275">
        <f ca="1">1-C57</f>
        <v>0.13300000000000001</v>
      </c>
    </row>
    <row r="57" spans="1:7">
      <c r="B57" s="273" t="s">
        <v>803</v>
      </c>
      <c r="C57" s="274">
        <f ca="1">ROUND(C51/C52,3)</f>
        <v>0.86699999999999999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1591</v>
      </c>
      <c r="B1" s="1189"/>
      <c r="C1" s="1190"/>
      <c r="D1" s="1188"/>
      <c r="E1" s="2799"/>
      <c r="F1" s="2799"/>
      <c r="G1" s="2664"/>
      <c r="H1" s="2799"/>
      <c r="I1" s="2799"/>
      <c r="J1" s="2799"/>
      <c r="K1" s="2800">
        <f>MATCH(C1,'数据-取费表'!A6:A16,0)+5</f>
        <v>7</v>
      </c>
    </row>
    <row r="2" spans="1:33" ht="18" customHeight="1">
      <c r="A2" s="201" t="s">
        <v>1459</v>
      </c>
      <c r="B2" s="204">
        <f ca="1">C32</f>
        <v>0</v>
      </c>
      <c r="C2" s="276" t="s">
        <v>1592</v>
      </c>
      <c r="D2" s="276"/>
      <c r="E2" s="2799"/>
      <c r="F2" s="2799"/>
      <c r="G2" s="2799"/>
      <c r="H2" s="2799"/>
      <c r="I2" s="2799"/>
      <c r="J2" s="2799"/>
      <c r="K2" s="2799"/>
    </row>
    <row r="3" spans="1:33" ht="18" customHeight="1" thickBot="1">
      <c r="A3" s="203" t="s">
        <v>1461</v>
      </c>
      <c r="B3" s="204">
        <f ca="1">ROUND(B2*10000/IF(C1="",'数据-汇总表'!E3,INDIRECT("'数据-取费表'!K"&amp;$K$1)),0)</f>
        <v>0</v>
      </c>
      <c r="C3" s="276" t="s">
        <v>1593</v>
      </c>
      <c r="D3" s="276"/>
      <c r="E3" s="2799"/>
      <c r="F3" s="2799"/>
      <c r="G3" s="2799"/>
      <c r="H3" s="2799"/>
      <c r="I3" s="2799"/>
      <c r="J3" s="2799"/>
      <c r="K3" s="2799"/>
    </row>
    <row r="4" spans="1:33" s="783" customFormat="1" ht="16.5" customHeight="1">
      <c r="A4" s="780" t="s">
        <v>1594</v>
      </c>
      <c r="B4" s="781"/>
      <c r="C4" s="822">
        <f>SUM(C8:K8)</f>
        <v>0</v>
      </c>
      <c r="D4" s="781"/>
      <c r="E4" s="781"/>
      <c r="F4" s="781"/>
      <c r="G4" s="781"/>
      <c r="H4" s="781"/>
      <c r="I4" s="781"/>
      <c r="J4" s="781"/>
      <c r="K4" s="782"/>
    </row>
    <row r="5" spans="1:33" s="787" customFormat="1" ht="15">
      <c r="A5" s="784" t="s">
        <v>1595</v>
      </c>
      <c r="B5" s="785" t="s">
        <v>1596</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1597</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1600</v>
      </c>
      <c r="B8" s="164" t="s">
        <v>1601</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1602</v>
      </c>
      <c r="B9" s="781"/>
      <c r="C9" s="781"/>
      <c r="D9" s="781"/>
      <c r="E9" s="781"/>
      <c r="F9" s="781"/>
      <c r="G9" s="781"/>
      <c r="H9" s="781"/>
      <c r="I9" s="781"/>
      <c r="J9" s="781"/>
      <c r="K9" s="782"/>
    </row>
    <row r="10" spans="1:33" s="797" customFormat="1" ht="13.5" customHeight="1">
      <c r="A10" s="784" t="s">
        <v>1603</v>
      </c>
      <c r="B10" s="5" t="s">
        <v>1604</v>
      </c>
      <c r="C10" s="793" t="s">
        <v>1605</v>
      </c>
      <c r="D10" s="794" t="s">
        <v>1606</v>
      </c>
      <c r="E10" s="794" t="s">
        <v>1607</v>
      </c>
      <c r="F10" s="794" t="s">
        <v>1608</v>
      </c>
      <c r="G10" s="5"/>
      <c r="H10" s="795"/>
      <c r="I10" s="795"/>
      <c r="J10" s="795"/>
      <c r="K10" s="796"/>
    </row>
    <row r="11" spans="1:33" s="801" customFormat="1" ht="13.5" customHeight="1">
      <c r="A11" s="798" t="s">
        <v>635</v>
      </c>
      <c r="B11" s="799" t="s">
        <v>1609</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1610</v>
      </c>
      <c r="C12" s="21">
        <f ca="1">ROUND(C11*F12,0)</f>
        <v>0</v>
      </c>
      <c r="D12" s="800"/>
      <c r="E12" s="329"/>
      <c r="F12" s="810">
        <f>'数据-取费表'!B33</f>
        <v>0.03</v>
      </c>
      <c r="G12" s="5" t="s">
        <v>1611</v>
      </c>
      <c r="H12" s="795"/>
      <c r="I12" s="795"/>
      <c r="J12" s="795"/>
      <c r="K12" s="796"/>
    </row>
    <row r="13" spans="1:33" s="801" customFormat="1" ht="13.5" customHeight="1">
      <c r="A13" s="798" t="s">
        <v>637</v>
      </c>
      <c r="B13" s="799" t="s">
        <v>1612</v>
      </c>
      <c r="C13" s="21">
        <f ca="1">ROUND(IF(C1="",SUMIF('数据-取费表'!C:C,"住宅",'数据-取费表'!P:P)*F13,IF(INDIRECT("'数据-取费表'!c"&amp;$K$1)="住宅",INDIRECT("'数据-取费表'!P"&amp;$K$1)*F13,0)),0)</f>
        <v>0</v>
      </c>
      <c r="D13" s="844"/>
      <c r="E13" s="329"/>
      <c r="F13" s="810">
        <f>'数据-取费表'!B34</f>
        <v>0</v>
      </c>
      <c r="G13" s="5" t="s">
        <v>1613</v>
      </c>
      <c r="H13" s="795"/>
      <c r="I13" s="795"/>
      <c r="J13" s="795"/>
      <c r="K13" s="796"/>
    </row>
    <row r="14" spans="1:33" s="803" customFormat="1" ht="13.5" customHeight="1">
      <c r="A14" s="798" t="s">
        <v>638</v>
      </c>
      <c r="B14" s="799" t="s">
        <v>1614</v>
      </c>
      <c r="C14" s="21">
        <f ca="1">ROUND(D14*E14*F11/10000,0)</f>
        <v>0</v>
      </c>
      <c r="D14" s="844">
        <f ca="1">IF(C1="",'数据-汇总表'!E3,INDIRECT("'数据-取费表'!K"&amp;$K$1)+INDIRECT("'数据-取费表'!S"&amp;$K$1))</f>
        <v>3455.7</v>
      </c>
      <c r="E14" s="21">
        <f>'数据-取费表'!B35</f>
        <v>200</v>
      </c>
      <c r="F14" s="802"/>
      <c r="G14" s="5" t="s">
        <v>1615</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1616</v>
      </c>
      <c r="C15" s="809">
        <f ca="1">ROUND(C11*F15,0)</f>
        <v>0</v>
      </c>
      <c r="D15" s="804"/>
      <c r="E15" s="809"/>
      <c r="F15" s="810">
        <f>'数据-取费表'!B36</f>
        <v>1.4999999999999999E-2</v>
      </c>
      <c r="G15" s="131" t="s">
        <v>1617</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1618</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1619</v>
      </c>
      <c r="C17" s="21">
        <f ca="1">ROUND(D17*E17/10000,0)</f>
        <v>0</v>
      </c>
      <c r="D17" s="844">
        <f ca="1">D14</f>
        <v>3455.7</v>
      </c>
      <c r="E17" s="21">
        <f>'数据-取费表'!B32</f>
        <v>0</v>
      </c>
      <c r="F17" s="804"/>
      <c r="G17" s="131" t="s">
        <v>1620</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1621</v>
      </c>
      <c r="C18" s="21">
        <f ca="1">C19+C20-IF(C1="",'数据-取费表'!B29,IF(G18="已全部缴纳",C19+C20,H18))</f>
        <v>0</v>
      </c>
      <c r="D18" s="844"/>
      <c r="E18" s="21"/>
      <c r="F18" s="802"/>
      <c r="G18" s="1860"/>
      <c r="H18" s="1185"/>
      <c r="I18" s="1861" t="s">
        <v>1622</v>
      </c>
      <c r="J18" s="805"/>
      <c r="K18" s="806"/>
    </row>
    <row r="19" spans="1:33" s="801" customFormat="1" ht="13.5" customHeight="1">
      <c r="A19" s="798" t="s">
        <v>360</v>
      </c>
      <c r="B19" s="799" t="s">
        <v>1623</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1624</v>
      </c>
      <c r="C20" s="21">
        <f ca="1">ROUND(D20*E20/10000,0)</f>
        <v>69</v>
      </c>
      <c r="D20" s="844">
        <f ca="1">IF(C1="",'数据-汇总表'!E6,IF(INDIRECT("'数据-取费表'!c"&amp;$K$1)="住宅",INDIRECT("'数据-取费表'!s"&amp;$K$1),INDIRECT("'数据-取费表'!k"&amp;$K$1)+INDIRECT("'数据-取费表'!s"&amp;$K$1)))</f>
        <v>3455.7</v>
      </c>
      <c r="E20" s="21">
        <f>'数据-取费表'!B28</f>
        <v>200</v>
      </c>
      <c r="F20" s="802"/>
      <c r="G20" s="12"/>
      <c r="H20" s="807"/>
      <c r="I20" s="807"/>
      <c r="J20" s="807"/>
      <c r="K20" s="808"/>
    </row>
    <row r="21" spans="1:33" s="801" customFormat="1" ht="13.5" customHeight="1">
      <c r="A21" s="788" t="s">
        <v>357</v>
      </c>
      <c r="B21" s="811" t="s">
        <v>1625</v>
      </c>
      <c r="C21" s="812">
        <f ca="1">C16+C17+C18</f>
        <v>0</v>
      </c>
      <c r="D21" s="813"/>
      <c r="E21" s="281"/>
      <c r="F21" s="281"/>
      <c r="G21" s="131" t="s">
        <v>1626</v>
      </c>
      <c r="H21" s="805"/>
      <c r="I21" s="805"/>
      <c r="J21" s="805"/>
      <c r="K21" s="806"/>
    </row>
    <row r="22" spans="1:33" s="801" customFormat="1" ht="13.5" customHeight="1">
      <c r="A22" s="788" t="s">
        <v>1598</v>
      </c>
      <c r="B22" s="811" t="s">
        <v>1627</v>
      </c>
      <c r="C22" s="812">
        <f ca="1">ROUND(C21*F22,0)</f>
        <v>0</v>
      </c>
      <c r="D22" s="281"/>
      <c r="E22" s="281"/>
      <c r="F22" s="814">
        <f>'数据-取费表'!B37</f>
        <v>1.4999999999999999E-2</v>
      </c>
      <c r="G22" s="5" t="s">
        <v>1628</v>
      </c>
      <c r="H22" s="795"/>
      <c r="I22" s="795"/>
      <c r="J22" s="795"/>
      <c r="K22" s="796"/>
    </row>
    <row r="23" spans="1:33" s="801" customFormat="1" ht="13.5" customHeight="1">
      <c r="A23" s="788" t="s">
        <v>1600</v>
      </c>
      <c r="B23" s="811" t="s">
        <v>1629</v>
      </c>
      <c r="C23" s="812">
        <f ca="1">ROUND(C4*F23*F11,0)</f>
        <v>0</v>
      </c>
      <c r="D23" s="281"/>
      <c r="E23" s="281"/>
      <c r="F23" s="814">
        <f>'数据-取费表'!B38</f>
        <v>1.4999999999999999E-2</v>
      </c>
      <c r="G23" s="5" t="s">
        <v>1630</v>
      </c>
      <c r="H23" s="795"/>
      <c r="I23" s="795"/>
      <c r="J23" s="795"/>
      <c r="K23" s="796"/>
    </row>
    <row r="24" spans="1:33" s="801" customFormat="1" ht="13.5" customHeight="1">
      <c r="A24" s="788" t="s">
        <v>1631</v>
      </c>
      <c r="B24" s="811" t="s">
        <v>1632</v>
      </c>
      <c r="C24" s="280">
        <f>ROUND(F24/(1+'数据-取费表'!C42),4)</f>
        <v>2.9000000000000001E-2</v>
      </c>
      <c r="D24" s="281" t="s">
        <v>12</v>
      </c>
      <c r="E24" s="281"/>
      <c r="F24" s="814">
        <f>IF(项目基本情况!B8="出让",0,'数据-取费表'!B48+'数据-取费表'!B49)</f>
        <v>3.0499999999999999E-2</v>
      </c>
      <c r="G24" s="5" t="s">
        <v>1633</v>
      </c>
      <c r="H24" s="816"/>
      <c r="I24" s="816"/>
      <c r="J24" s="816"/>
      <c r="K24" s="817"/>
    </row>
    <row r="25" spans="1:33" s="801" customFormat="1" ht="13.5" customHeight="1">
      <c r="A25" s="788" t="s">
        <v>1634</v>
      </c>
      <c r="B25" s="813" t="s">
        <v>1635</v>
      </c>
      <c r="C25" s="1104">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1636</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1637</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1638</v>
      </c>
      <c r="B28" s="1863" t="s">
        <v>1639</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1640</v>
      </c>
      <c r="C29" s="284">
        <f ca="1">ROUND((1+C24)*F28*'数据-取费表'!B24/'数据-取费表'!B20,4)</f>
        <v>0</v>
      </c>
      <c r="D29" s="284"/>
      <c r="E29" s="285"/>
      <c r="F29" s="290"/>
      <c r="G29" s="131" t="s">
        <v>1641</v>
      </c>
      <c r="H29" s="805"/>
      <c r="I29" s="805"/>
      <c r="J29" s="805"/>
      <c r="K29" s="806"/>
    </row>
    <row r="30" spans="1:33" s="291" customFormat="1" ht="13.5" customHeight="1">
      <c r="A30" s="798" t="s">
        <v>359</v>
      </c>
      <c r="B30" s="820" t="s">
        <v>1642</v>
      </c>
      <c r="C30" s="292">
        <f ca="1">ROUND((C21+C22+C23)*F28,0)</f>
        <v>0</v>
      </c>
      <c r="D30" s="284"/>
      <c r="E30" s="285"/>
      <c r="F30" s="290"/>
      <c r="G30" s="131"/>
      <c r="H30" s="805"/>
      <c r="I30" s="805"/>
      <c r="J30" s="805"/>
      <c r="K30" s="806"/>
    </row>
    <row r="31" spans="1:33" s="801" customFormat="1" ht="13.5" customHeight="1" thickBot="1">
      <c r="A31" s="1864" t="s">
        <v>1643</v>
      </c>
      <c r="B31" s="831" t="s">
        <v>1644</v>
      </c>
      <c r="C31" s="832">
        <f>ROUND(C4*F31/(1+'数据-取费表'!C42),0)</f>
        <v>0</v>
      </c>
      <c r="D31" s="833"/>
      <c r="E31" s="834"/>
      <c r="F31" s="835">
        <f>'数据-取费表'!B41</f>
        <v>5.6000000000000001E-2</v>
      </c>
      <c r="G31" s="836" t="s">
        <v>1645</v>
      </c>
      <c r="H31" s="837"/>
      <c r="I31" s="837"/>
      <c r="J31" s="837"/>
      <c r="K31" s="838"/>
    </row>
    <row r="32" spans="1:33" s="797" customFormat="1" ht="13.5" customHeight="1" thickBot="1">
      <c r="A32" s="826" t="s">
        <v>1646</v>
      </c>
      <c r="B32" s="827"/>
      <c r="C32" s="828">
        <f ca="1">ROUND((C4-C21-C22-C23-C25-C28-C31)/(1+C24+D25+D28),0)</f>
        <v>0</v>
      </c>
      <c r="D32" s="827"/>
      <c r="E32" s="827"/>
      <c r="F32" s="827"/>
      <c r="G32" s="829" t="s">
        <v>1647</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2429</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3" t="s">
        <v>2309</v>
      </c>
      <c r="B2" s="2836" t="e">
        <f>IF(D2="——",C40,C40+E2)</f>
        <v>#DIV/0!</v>
      </c>
      <c r="C2" s="2837" t="s">
        <v>2310</v>
      </c>
      <c r="D2" s="3438" t="s">
        <v>3361</v>
      </c>
      <c r="E2" s="3439"/>
      <c r="F2" s="2839"/>
      <c r="G2" s="2840"/>
      <c r="H2" s="2841"/>
      <c r="I2" s="2842"/>
      <c r="J2" s="3673" t="s">
        <v>2311</v>
      </c>
      <c r="K2" s="3674"/>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675" t="s">
        <v>2321</v>
      </c>
      <c r="K3" s="3676"/>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675" t="s">
        <v>2323</v>
      </c>
      <c r="K4" s="3676"/>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677" t="s">
        <v>2327</v>
      </c>
      <c r="B6" s="3678"/>
      <c r="C6" s="3679"/>
      <c r="D6" s="2863"/>
      <c r="E6" s="2864"/>
      <c r="F6" s="2865"/>
      <c r="G6" s="2866"/>
      <c r="H6" s="2841"/>
      <c r="I6" s="2842"/>
      <c r="J6" s="3680">
        <v>1</v>
      </c>
      <c r="K6" s="3681"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680"/>
      <c r="K7" s="3682"/>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684" t="s">
        <v>2341</v>
      </c>
      <c r="C8" s="3685"/>
      <c r="D8" s="2882" t="s">
        <v>2342</v>
      </c>
      <c r="E8" s="2883" t="s">
        <v>2343</v>
      </c>
      <c r="F8" s="2884" t="s">
        <v>2344</v>
      </c>
      <c r="G8" s="2885"/>
      <c r="H8" s="2841"/>
      <c r="I8" s="2842"/>
      <c r="J8" s="3680"/>
      <c r="K8" s="3682"/>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684" t="s">
        <v>2347</v>
      </c>
      <c r="C9" s="3685"/>
      <c r="D9" s="2882">
        <f>ROUND(D6*E9,0)</f>
        <v>0</v>
      </c>
      <c r="E9" s="2886"/>
      <c r="F9" s="2887" t="s">
        <v>2348</v>
      </c>
      <c r="G9" s="2866"/>
      <c r="H9" s="2841"/>
      <c r="I9" s="2842"/>
      <c r="J9" s="3680"/>
      <c r="K9" s="3682"/>
      <c r="L9" s="2876" t="s">
        <v>2349</v>
      </c>
      <c r="M9" s="2877"/>
      <c r="N9" s="2853"/>
      <c r="O9" s="2878"/>
      <c r="P9" s="2878"/>
      <c r="Q9" s="2879">
        <v>365</v>
      </c>
      <c r="R9" s="2880">
        <f t="shared" si="0"/>
        <v>0</v>
      </c>
      <c r="S9" s="2834"/>
      <c r="T9" s="2834"/>
      <c r="U9" s="2834"/>
      <c r="V9" s="2842"/>
    </row>
    <row r="10" spans="1:22" s="2846" customFormat="1" ht="13.15" customHeight="1">
      <c r="A10" s="2881">
        <v>2</v>
      </c>
      <c r="B10" s="3684" t="s">
        <v>2350</v>
      </c>
      <c r="C10" s="3685"/>
      <c r="D10" s="2882">
        <f>ROUND(D6*E10,0)</f>
        <v>0</v>
      </c>
      <c r="E10" s="2886"/>
      <c r="F10" s="2887" t="s">
        <v>2351</v>
      </c>
      <c r="G10" s="2866"/>
      <c r="H10" s="2841"/>
      <c r="I10" s="2842"/>
      <c r="J10" s="3680"/>
      <c r="K10" s="3682"/>
      <c r="L10" s="2876" t="s">
        <v>2352</v>
      </c>
      <c r="M10" s="2877"/>
      <c r="N10" s="2853"/>
      <c r="O10" s="2878"/>
      <c r="P10" s="2878"/>
      <c r="Q10" s="2879">
        <v>365</v>
      </c>
      <c r="R10" s="2880">
        <f t="shared" si="0"/>
        <v>0</v>
      </c>
      <c r="S10" s="2834"/>
      <c r="T10" s="2834"/>
      <c r="U10" s="2834"/>
      <c r="V10" s="2842"/>
    </row>
    <row r="11" spans="1:22" s="2846" customFormat="1" ht="13.15" customHeight="1">
      <c r="A11" s="2881">
        <v>3</v>
      </c>
      <c r="B11" s="3684" t="s">
        <v>2353</v>
      </c>
      <c r="C11" s="3685"/>
      <c r="D11" s="2882">
        <f>D12+D14+D15+D16</f>
        <v>0</v>
      </c>
      <c r="E11" s="2888" t="e">
        <f>D11/D6</f>
        <v>#DIV/0!</v>
      </c>
      <c r="F11" s="2884"/>
      <c r="G11" s="2885"/>
      <c r="H11" s="2841"/>
      <c r="I11" s="2842"/>
      <c r="J11" s="3680"/>
      <c r="K11" s="3682"/>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686" t="s">
        <v>2356</v>
      </c>
      <c r="C12" s="3687"/>
      <c r="D12" s="2890">
        <f>ROUND(D13*1.2%*(1-30%),0)</f>
        <v>0</v>
      </c>
      <c r="E12" s="2891">
        <v>1.2E-2</v>
      </c>
      <c r="F12" s="2884" t="s">
        <v>2357</v>
      </c>
      <c r="G12" s="2885"/>
      <c r="H12" s="2841"/>
      <c r="I12" s="2842"/>
      <c r="J12" s="3680"/>
      <c r="K12" s="3682"/>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680"/>
      <c r="K13" s="3682"/>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686" t="s">
        <v>2362</v>
      </c>
      <c r="C14" s="3687"/>
      <c r="D14" s="2890">
        <f>ROUND(E14*B5/10000,0)</f>
        <v>0</v>
      </c>
      <c r="E14" s="2879"/>
      <c r="F14" s="2884" t="s">
        <v>2363</v>
      </c>
      <c r="G14" s="2885"/>
      <c r="H14" s="2841"/>
      <c r="I14" s="2842"/>
      <c r="J14" s="3680"/>
      <c r="K14" s="3683"/>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686" t="s">
        <v>2366</v>
      </c>
      <c r="C15" s="3687"/>
      <c r="D15" s="2890">
        <f>ROUND(D6*E15,0)</f>
        <v>0</v>
      </c>
      <c r="E15" s="2891">
        <v>5.5E-2</v>
      </c>
      <c r="F15" s="2884" t="s">
        <v>2367</v>
      </c>
      <c r="G15" s="2866"/>
      <c r="H15" s="2841"/>
      <c r="I15" s="2842"/>
      <c r="J15" s="3680">
        <v>2</v>
      </c>
      <c r="K15" s="3681"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686" t="s">
        <v>2375</v>
      </c>
      <c r="C16" s="3687"/>
      <c r="D16" s="2901">
        <f>D6*E16</f>
        <v>0</v>
      </c>
      <c r="E16" s="2902"/>
      <c r="F16" s="2887" t="s">
        <v>2376</v>
      </c>
      <c r="G16" s="2866"/>
      <c r="H16" s="2841"/>
      <c r="I16" s="2842"/>
      <c r="J16" s="3680"/>
      <c r="K16" s="3682"/>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688" t="s">
        <v>2378</v>
      </c>
      <c r="C17" s="3689"/>
      <c r="D17" s="2904">
        <f>ROUND(D6*E17,0)</f>
        <v>0</v>
      </c>
      <c r="E17" s="2905"/>
      <c r="F17" s="2906" t="s">
        <v>2379</v>
      </c>
      <c r="G17" s="2866"/>
      <c r="H17" s="2841"/>
      <c r="I17" s="2842"/>
      <c r="J17" s="3680"/>
      <c r="K17" s="3682"/>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680"/>
      <c r="K18" s="3682"/>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680"/>
      <c r="K19" s="3683"/>
      <c r="L19" s="2896" t="s">
        <v>2364</v>
      </c>
      <c r="M19" s="2897"/>
      <c r="N19" s="2897">
        <f>SUM(N16:N18)</f>
        <v>0</v>
      </c>
      <c r="O19" s="2898"/>
      <c r="P19" s="2911" t="s">
        <v>2428</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680">
        <v>3</v>
      </c>
      <c r="K20" s="3681"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680"/>
      <c r="K21" s="3682"/>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680"/>
      <c r="K22" s="3682"/>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680"/>
      <c r="K23" s="3682"/>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680"/>
      <c r="K24" s="3683"/>
      <c r="L24" s="2896" t="s">
        <v>2364</v>
      </c>
      <c r="M24" s="2897">
        <f>SUM(M21:M23)</f>
        <v>0</v>
      </c>
      <c r="N24" s="2897"/>
      <c r="O24" s="2898"/>
      <c r="P24" s="2911" t="s">
        <v>2428</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690">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691"/>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673" t="s">
        <v>2311</v>
      </c>
      <c r="K32" s="3674"/>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675" t="s">
        <v>2321</v>
      </c>
      <c r="K33" s="3676"/>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675" t="s">
        <v>2323</v>
      </c>
      <c r="K34" s="3676"/>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680">
        <v>1</v>
      </c>
      <c r="K36" s="3681"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680"/>
      <c r="K37" s="3682"/>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680"/>
      <c r="K38" s="3682"/>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680"/>
      <c r="K39" s="3682"/>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680"/>
      <c r="K40" s="3683"/>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690">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691"/>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1655</v>
      </c>
      <c r="B1" s="1866"/>
      <c r="C1" s="1866"/>
      <c r="D1" s="1866"/>
      <c r="E1" s="1867"/>
      <c r="F1" s="2700"/>
      <c r="G1" s="1487"/>
      <c r="H1" s="1487"/>
      <c r="I1" s="1487"/>
      <c r="J1" s="1487"/>
      <c r="K1" s="1487"/>
      <c r="L1" s="1487"/>
      <c r="M1" s="1487"/>
      <c r="N1" s="1487"/>
      <c r="O1" s="1487"/>
      <c r="P1" s="1487"/>
      <c r="Q1" s="1487"/>
      <c r="R1" s="1487"/>
      <c r="S1" s="1487"/>
    </row>
    <row r="2" spans="1:22" ht="15.75">
      <c r="A2" s="1868" t="s">
        <v>1459</v>
      </c>
      <c r="B2" s="1869">
        <f ca="1">SUMIF(B6:B13,"&lt;&gt;#ref!",B6:B13)</f>
        <v>9849.5195000000003</v>
      </c>
      <c r="C2" s="1870" t="s">
        <v>1648</v>
      </c>
      <c r="D2" s="1871" t="s">
        <v>1649</v>
      </c>
      <c r="E2" s="2601">
        <f>SUM(E6:E13)</f>
        <v>3455.7</v>
      </c>
      <c r="F2" s="2700"/>
      <c r="G2" s="1487"/>
      <c r="H2" s="1487"/>
      <c r="I2" s="1487"/>
      <c r="J2" s="1487"/>
      <c r="K2" s="1487"/>
      <c r="L2" s="1487"/>
      <c r="M2" s="1487"/>
      <c r="N2" s="1487"/>
      <c r="O2" s="1487"/>
      <c r="P2" s="1487"/>
      <c r="Q2" s="1487"/>
      <c r="R2" s="1487"/>
      <c r="S2" s="1487"/>
    </row>
    <row r="3" spans="1:22" ht="15.75">
      <c r="A3" s="1868" t="s">
        <v>686</v>
      </c>
      <c r="B3" s="2595">
        <f ca="1">ROUND(B2*10000/E2,0)</f>
        <v>28502</v>
      </c>
      <c r="C3" s="1870" t="s">
        <v>1656</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7" t="s">
        <v>1650</v>
      </c>
      <c r="B5" s="3692" t="s">
        <v>1651</v>
      </c>
      <c r="C5" s="3693"/>
      <c r="D5" s="2701"/>
      <c r="E5" s="1872" t="s">
        <v>1652</v>
      </c>
      <c r="F5" s="1873" t="s">
        <v>1653</v>
      </c>
      <c r="G5" s="1487"/>
      <c r="H5" s="1487"/>
      <c r="I5" s="1487"/>
      <c r="J5" s="1487"/>
      <c r="K5" s="1487"/>
      <c r="L5" s="1487"/>
      <c r="M5" s="1487"/>
      <c r="N5" s="1487"/>
      <c r="O5" s="1487"/>
      <c r="P5" s="1487"/>
      <c r="Q5" s="1487"/>
      <c r="R5" s="1487"/>
      <c r="S5" s="1487"/>
    </row>
    <row r="6" spans="1:22">
      <c r="A6" s="2598" t="str">
        <f>'数据-取费表'!AN6</f>
        <v>收益法 (元)</v>
      </c>
      <c r="B6" s="2596">
        <f ca="1">IF(F6="是",'数据-取费表'!AO6,0)</f>
        <v>9849.5195000000003</v>
      </c>
      <c r="C6" s="1870" t="s">
        <v>1648</v>
      </c>
      <c r="D6" s="2702"/>
      <c r="E6" s="2600">
        <f>IF(OR(A6=0,F6="否"),0,'数据-取费表'!K6+'数据-取费表'!S6)</f>
        <v>3455.7</v>
      </c>
      <c r="F6" s="1874" t="s">
        <v>1654</v>
      </c>
      <c r="G6" s="1487"/>
      <c r="H6" s="1487"/>
      <c r="I6" s="1487"/>
      <c r="J6" s="1487"/>
      <c r="K6" s="1487"/>
      <c r="L6" s="1487"/>
      <c r="M6" s="1487"/>
      <c r="N6" s="1487"/>
      <c r="O6" s="1487"/>
      <c r="P6" s="1487"/>
      <c r="Q6" s="1487"/>
      <c r="R6" s="1487"/>
      <c r="S6" s="1487"/>
    </row>
    <row r="7" spans="1:22">
      <c r="A7" s="2598">
        <f>'数据-取费表'!AN7</f>
        <v>0</v>
      </c>
      <c r="B7" s="2596" t="e">
        <f ca="1">IF(F7="是",'数据-取费表'!AO7,0)</f>
        <v>#REF!</v>
      </c>
      <c r="C7" s="1870" t="s">
        <v>1648</v>
      </c>
      <c r="D7" s="2702"/>
      <c r="E7" s="2600">
        <f>IF(OR(A7=0,F7="否"),0,'数据-取费表'!K7+'数据-取费表'!S7)</f>
        <v>0</v>
      </c>
      <c r="F7" s="1874" t="s">
        <v>1654</v>
      </c>
      <c r="G7" s="1487"/>
      <c r="H7" s="1487"/>
      <c r="I7" s="1487"/>
      <c r="J7" s="1487"/>
      <c r="K7" s="1487"/>
      <c r="L7" s="1487"/>
      <c r="M7" s="1487"/>
      <c r="N7" s="1487"/>
      <c r="O7" s="1487"/>
      <c r="P7" s="1487"/>
      <c r="Q7" s="1487"/>
      <c r="R7" s="1487"/>
      <c r="S7" s="1487"/>
    </row>
    <row r="8" spans="1:22">
      <c r="A8" s="2598">
        <f>'数据-取费表'!AN8</f>
        <v>0</v>
      </c>
      <c r="B8" s="2596" t="e">
        <f ca="1">IF(F8="是",'数据-取费表'!AO8,0)</f>
        <v>#REF!</v>
      </c>
      <c r="C8" s="1870" t="s">
        <v>1648</v>
      </c>
      <c r="D8" s="2702"/>
      <c r="E8" s="2600">
        <f>IF(OR(A8=0,F8="否"),0,'数据-取费表'!K8+'数据-取费表'!S8)</f>
        <v>0</v>
      </c>
      <c r="F8" s="1874" t="s">
        <v>1654</v>
      </c>
      <c r="G8" s="1487"/>
      <c r="H8" s="1487"/>
      <c r="I8" s="1487"/>
      <c r="J8" s="1487"/>
      <c r="K8" s="1487"/>
      <c r="L8" s="1487"/>
      <c r="M8" s="1487"/>
      <c r="N8" s="1487"/>
      <c r="O8" s="1487"/>
      <c r="P8" s="1487"/>
      <c r="Q8" s="1487"/>
      <c r="R8" s="1487"/>
      <c r="S8" s="1487"/>
    </row>
    <row r="9" spans="1:22">
      <c r="A9" s="2598">
        <f>'数据-取费表'!AN9</f>
        <v>0</v>
      </c>
      <c r="B9" s="2596" t="e">
        <f ca="1">IF(F9="是",'数据-取费表'!AO9,0)</f>
        <v>#REF!</v>
      </c>
      <c r="C9" s="1870" t="s">
        <v>1648</v>
      </c>
      <c r="D9" s="2702"/>
      <c r="E9" s="2600">
        <f>IF(OR(A9=0,F9="否"),0,'数据-取费表'!K9+'数据-取费表'!S9)</f>
        <v>0</v>
      </c>
      <c r="F9" s="1874" t="s">
        <v>1654</v>
      </c>
      <c r="G9" s="1487"/>
      <c r="H9" s="1487"/>
      <c r="I9" s="1487"/>
      <c r="J9" s="1487"/>
      <c r="K9" s="1487"/>
      <c r="L9" s="1487"/>
      <c r="M9" s="1487"/>
      <c r="N9" s="1487"/>
      <c r="O9" s="1487"/>
      <c r="P9" s="1487"/>
      <c r="Q9" s="1487"/>
      <c r="R9" s="1487"/>
      <c r="S9" s="1487"/>
    </row>
    <row r="10" spans="1:22">
      <c r="A10" s="2598">
        <f>'数据-取费表'!AN10</f>
        <v>0</v>
      </c>
      <c r="B10" s="2596" t="e">
        <f ca="1">IF(F10="是",'数据-取费表'!AO10,0)</f>
        <v>#REF!</v>
      </c>
      <c r="C10" s="1870" t="s">
        <v>1648</v>
      </c>
      <c r="D10" s="2702"/>
      <c r="E10" s="2600">
        <f>IF(OR(A10=0,F10="否"),0,'数据-取费表'!K10+'数据-取费表'!S10)</f>
        <v>0</v>
      </c>
      <c r="F10" s="1874" t="s">
        <v>1654</v>
      </c>
      <c r="G10" s="1487"/>
      <c r="H10" s="1487"/>
      <c r="I10" s="1487"/>
      <c r="J10" s="1487"/>
      <c r="K10" s="1487"/>
      <c r="L10" s="1487"/>
      <c r="M10" s="1487"/>
      <c r="N10" s="1487"/>
      <c r="O10" s="1487"/>
      <c r="P10" s="1487"/>
      <c r="Q10" s="1487"/>
      <c r="R10" s="1487"/>
      <c r="S10" s="1487"/>
    </row>
    <row r="11" spans="1:22">
      <c r="A11" s="2598">
        <f>'数据-取费表'!AN11</f>
        <v>0</v>
      </c>
      <c r="B11" s="2596" t="e">
        <f ca="1">IF(F11="是",'数据-取费表'!AO11,0)</f>
        <v>#REF!</v>
      </c>
      <c r="C11" s="1870" t="s">
        <v>1648</v>
      </c>
      <c r="D11" s="2702"/>
      <c r="E11" s="2600">
        <f>IF(OR(A11=0,F11="否"),0,'数据-取费表'!K11+'数据-取费表'!S11)</f>
        <v>0</v>
      </c>
      <c r="F11" s="1874" t="s">
        <v>1654</v>
      </c>
      <c r="G11" s="1487"/>
      <c r="H11" s="1487"/>
      <c r="I11" s="1487"/>
      <c r="J11" s="1487"/>
      <c r="K11" s="1487"/>
      <c r="L11" s="1487"/>
      <c r="M11" s="1487"/>
      <c r="N11" s="1487"/>
      <c r="O11" s="1487"/>
      <c r="P11" s="1487"/>
      <c r="Q11" s="1487"/>
      <c r="R11" s="1487"/>
      <c r="S11" s="1487"/>
    </row>
    <row r="12" spans="1:22">
      <c r="A12" s="2598">
        <f>'数据-取费表'!AN12</f>
        <v>0</v>
      </c>
      <c r="B12" s="2596" t="e">
        <f ca="1">IF(F12="是",'数据-取费表'!AO12,0)</f>
        <v>#REF!</v>
      </c>
      <c r="C12" s="1870" t="s">
        <v>1648</v>
      </c>
      <c r="D12" s="2702"/>
      <c r="E12" s="2600">
        <f>IF(OR(A12=0,F12="否"),0,'数据-取费表'!K12+'数据-取费表'!S12)</f>
        <v>0</v>
      </c>
      <c r="F12" s="1874" t="s">
        <v>1654</v>
      </c>
      <c r="G12" s="1487"/>
      <c r="H12" s="1487"/>
      <c r="I12" s="1487"/>
      <c r="J12" s="1487"/>
      <c r="K12" s="1487"/>
      <c r="L12" s="1487"/>
      <c r="M12" s="1487"/>
      <c r="N12" s="1487"/>
      <c r="O12" s="1487"/>
      <c r="P12" s="1487"/>
      <c r="Q12" s="1487"/>
      <c r="R12" s="1487"/>
      <c r="S12" s="1487"/>
    </row>
    <row r="13" spans="1:22" ht="15" thickBot="1">
      <c r="A13" s="2599">
        <f>'数据-取费表'!AN13</f>
        <v>0</v>
      </c>
      <c r="B13" s="2596" t="e">
        <f ca="1">IF(F13="是",'数据-取费表'!AO13,0)</f>
        <v>#REF!</v>
      </c>
      <c r="C13" s="1875" t="s">
        <v>1648</v>
      </c>
      <c r="D13" s="2703"/>
      <c r="E13" s="2600">
        <f>IF(OR(A13=0,F13="否"),0,'数据-取费表'!K13+'数据-取费表'!S13)</f>
        <v>0</v>
      </c>
      <c r="F13" s="1874" t="s">
        <v>1654</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1658</v>
      </c>
      <c r="C1" s="1236" t="s">
        <v>1659</v>
      </c>
      <c r="D1" s="1223"/>
      <c r="E1" s="3421"/>
      <c r="F1" s="1877"/>
      <c r="G1" s="1233" t="s">
        <v>1660</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1661</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1662</v>
      </c>
      <c r="D3" s="353">
        <f>IF(D1="",'数据-汇总表'!E3,SUMIF('数据-汇总表'!$C19:$C33,D1,'数据-汇总表'!$E19:$E33))</f>
        <v>3455.7</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5" t="s">
        <v>1663</v>
      </c>
      <c r="B4" s="356"/>
      <c r="C4" s="3712" t="s">
        <v>1664</v>
      </c>
      <c r="D4" s="3713"/>
      <c r="E4" s="3714" t="s">
        <v>1665</v>
      </c>
      <c r="F4" s="3715"/>
      <c r="G4" s="3712" t="s">
        <v>1666</v>
      </c>
      <c r="H4" s="3713"/>
      <c r="I4" s="3712" t="s">
        <v>1667</v>
      </c>
      <c r="J4" s="3713"/>
      <c r="K4" s="1887" t="s">
        <v>1668</v>
      </c>
      <c r="L4" s="2708"/>
      <c r="M4" s="2709"/>
      <c r="N4" s="2709"/>
      <c r="O4" s="2709"/>
      <c r="P4" s="3716" t="s">
        <v>1669</v>
      </c>
      <c r="Q4" s="3717"/>
      <c r="R4" s="3699" t="s">
        <v>1665</v>
      </c>
      <c r="S4" s="3700"/>
      <c r="T4" s="3699" t="s">
        <v>1666</v>
      </c>
      <c r="U4" s="3700"/>
      <c r="V4" s="3724" t="s">
        <v>1667</v>
      </c>
      <c r="W4" s="3724"/>
      <c r="X4" s="1353"/>
      <c r="Y4" s="3699" t="s">
        <v>1669</v>
      </c>
      <c r="Z4" s="3700"/>
      <c r="AA4" s="3694" t="s">
        <v>1665</v>
      </c>
      <c r="AB4" s="3694" t="s">
        <v>1666</v>
      </c>
      <c r="AC4" s="3694" t="s">
        <v>1667</v>
      </c>
    </row>
    <row r="5" spans="1:29" ht="15">
      <c r="A5" s="358"/>
      <c r="B5" s="359"/>
      <c r="C5" s="3705" t="s">
        <v>1670</v>
      </c>
      <c r="D5" s="3706"/>
      <c r="E5" s="3703" t="s">
        <v>1671</v>
      </c>
      <c r="F5" s="3704"/>
      <c r="G5" s="3705" t="s">
        <v>1672</v>
      </c>
      <c r="H5" s="3706"/>
      <c r="I5" s="3705" t="s">
        <v>1673</v>
      </c>
      <c r="J5" s="3706"/>
      <c r="K5" s="1888"/>
      <c r="L5" s="2708"/>
      <c r="M5" s="2709"/>
      <c r="N5" s="2709"/>
      <c r="O5" s="2709"/>
      <c r="P5" s="3718"/>
      <c r="Q5" s="3719"/>
      <c r="R5" s="3701"/>
      <c r="S5" s="3702"/>
      <c r="T5" s="3701"/>
      <c r="U5" s="3702"/>
      <c r="V5" s="3724"/>
      <c r="W5" s="3724"/>
      <c r="X5" s="1353"/>
      <c r="Y5" s="3701"/>
      <c r="Z5" s="3702"/>
      <c r="AA5" s="3695"/>
      <c r="AB5" s="3695"/>
      <c r="AC5" s="3695"/>
    </row>
    <row r="6" spans="1:29" ht="15.75" thickBot="1">
      <c r="A6" s="360"/>
      <c r="B6" s="361"/>
      <c r="C6" s="3707" t="s">
        <v>1674</v>
      </c>
      <c r="D6" s="3708"/>
      <c r="E6" s="3709" t="s">
        <v>1674</v>
      </c>
      <c r="F6" s="3710"/>
      <c r="G6" s="3707" t="s">
        <v>1674</v>
      </c>
      <c r="H6" s="3708"/>
      <c r="I6" s="3707" t="s">
        <v>1674</v>
      </c>
      <c r="J6" s="3708"/>
      <c r="K6" s="1888" t="s">
        <v>1675</v>
      </c>
      <c r="L6" s="2708"/>
      <c r="M6" s="2709"/>
      <c r="N6" s="2709"/>
      <c r="O6" s="2709"/>
      <c r="P6" s="3720"/>
      <c r="Q6" s="3721"/>
      <c r="R6" s="3701"/>
      <c r="S6" s="3702"/>
      <c r="T6" s="3722"/>
      <c r="U6" s="3723"/>
      <c r="V6" s="3724"/>
      <c r="W6" s="3724"/>
      <c r="X6" s="1353"/>
      <c r="Y6" s="3722"/>
      <c r="Z6" s="3723"/>
      <c r="AA6" s="3696"/>
      <c r="AB6" s="3696"/>
      <c r="AC6" s="3696"/>
    </row>
    <row r="7" spans="1:29" s="108" customFormat="1" ht="15.75" thickBot="1">
      <c r="A7" s="362" t="s">
        <v>1676</v>
      </c>
      <c r="B7" s="363"/>
      <c r="C7" s="364">
        <f>'数据-取费表'!B2</f>
        <v>45037</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697" t="s">
        <v>1677</v>
      </c>
      <c r="Q7" s="3725"/>
      <c r="R7" s="699" t="s">
        <v>20</v>
      </c>
      <c r="S7" s="700">
        <f t="shared" ref="S7:S15" si="0">F7</f>
        <v>0</v>
      </c>
      <c r="T7" s="699" t="s">
        <v>20</v>
      </c>
      <c r="U7" s="700">
        <f t="shared" ref="U7:U15" si="1">H7</f>
        <v>0</v>
      </c>
      <c r="V7" s="699" t="s">
        <v>20</v>
      </c>
      <c r="W7" s="700">
        <f t="shared" ref="W7:W15" si="2">J7</f>
        <v>0</v>
      </c>
      <c r="X7" s="701"/>
      <c r="Y7" s="3697" t="s">
        <v>1677</v>
      </c>
      <c r="Z7" s="3698"/>
      <c r="AA7" s="702" t="e">
        <f>D7/F7</f>
        <v>#DIV/0!</v>
      </c>
      <c r="AB7" s="702" t="e">
        <f>D7/H7</f>
        <v>#DIV/0!</v>
      </c>
      <c r="AC7" s="702" t="e">
        <f>D7/J7</f>
        <v>#DIV/0!</v>
      </c>
    </row>
    <row r="8" spans="1:29" s="108" customFormat="1" ht="15.75" thickBot="1">
      <c r="A8" s="362" t="s">
        <v>1678</v>
      </c>
      <c r="B8" s="363"/>
      <c r="C8" s="368"/>
      <c r="D8" s="365">
        <v>100</v>
      </c>
      <c r="E8" s="1890"/>
      <c r="F8" s="367">
        <f>SUMIF(61:61,E8,62:62)-SUMIF(61:61,C8,62:62)+100</f>
        <v>100</v>
      </c>
      <c r="G8" s="368"/>
      <c r="H8" s="365">
        <f>SUMIF(61:61,G8,62:62)-SUMIF(61:61,C8,62:62)+100</f>
        <v>100</v>
      </c>
      <c r="I8" s="1890"/>
      <c r="J8" s="365">
        <f>SUMIF(61:61,I8,62:62)-SUMIF(61:61,C8,62:62)+100</f>
        <v>100</v>
      </c>
      <c r="K8" s="1889"/>
      <c r="L8" s="2710"/>
      <c r="M8" s="2711"/>
      <c r="N8" s="2711"/>
      <c r="O8" s="2711"/>
      <c r="P8" s="3697" t="s">
        <v>1680</v>
      </c>
      <c r="Q8" s="3698"/>
      <c r="R8" s="699" t="s">
        <v>20</v>
      </c>
      <c r="S8" s="700">
        <f t="shared" si="0"/>
        <v>100</v>
      </c>
      <c r="T8" s="699" t="s">
        <v>20</v>
      </c>
      <c r="U8" s="700">
        <f t="shared" si="1"/>
        <v>100</v>
      </c>
      <c r="V8" s="699" t="s">
        <v>20</v>
      </c>
      <c r="W8" s="700">
        <f t="shared" si="2"/>
        <v>100</v>
      </c>
      <c r="X8" s="701"/>
      <c r="Y8" s="3697" t="s">
        <v>1680</v>
      </c>
      <c r="Z8" s="3698"/>
      <c r="AA8" s="702">
        <f t="shared" ref="AA8:AA19" si="3">D8/F8</f>
        <v>1</v>
      </c>
      <c r="AB8" s="702">
        <f t="shared" ref="AB8:AB19" si="4">D8/H8</f>
        <v>1</v>
      </c>
      <c r="AC8" s="702">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11" t="s">
        <v>1683</v>
      </c>
      <c r="Q9" s="1341" t="str">
        <f t="shared" ref="Q9:Q15" si="6">B9</f>
        <v>用途</v>
      </c>
      <c r="R9" s="699" t="s">
        <v>14</v>
      </c>
      <c r="S9" s="700">
        <f t="shared" si="0"/>
        <v>100</v>
      </c>
      <c r="T9" s="699" t="s">
        <v>14</v>
      </c>
      <c r="U9" s="700">
        <f t="shared" si="1"/>
        <v>100</v>
      </c>
      <c r="V9" s="699" t="s">
        <v>14</v>
      </c>
      <c r="W9" s="700">
        <f t="shared" si="2"/>
        <v>100</v>
      </c>
      <c r="X9" s="701"/>
      <c r="Y9" s="3649" t="s">
        <v>1684</v>
      </c>
      <c r="Z9" s="52" t="str">
        <f t="shared" ref="Z9:Z15" si="7">Q9</f>
        <v>用途</v>
      </c>
      <c r="AA9" s="702">
        <f t="shared" si="3"/>
        <v>1</v>
      </c>
      <c r="AB9" s="702">
        <f t="shared" si="4"/>
        <v>1</v>
      </c>
      <c r="AC9" s="702">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9"/>
      <c r="L10" s="2712"/>
      <c r="M10" s="2713"/>
      <c r="N10" s="2713"/>
      <c r="O10" s="2713"/>
      <c r="P10" s="3711"/>
      <c r="Q10" s="1341" t="str">
        <f t="shared" si="6"/>
        <v>土地使用年限（年）</v>
      </c>
      <c r="R10" s="699" t="s">
        <v>14</v>
      </c>
      <c r="S10" s="700">
        <f t="shared" si="0"/>
        <v>100</v>
      </c>
      <c r="T10" s="699" t="s">
        <v>14</v>
      </c>
      <c r="U10" s="700">
        <f t="shared" si="1"/>
        <v>100</v>
      </c>
      <c r="V10" s="699" t="s">
        <v>14</v>
      </c>
      <c r="W10" s="700">
        <f t="shared" si="2"/>
        <v>100</v>
      </c>
      <c r="X10" s="701"/>
      <c r="Y10" s="3649"/>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711"/>
      <c r="Q11" s="1341" t="str">
        <f t="shared" si="6"/>
        <v>容积率</v>
      </c>
      <c r="R11" s="699" t="s">
        <v>18</v>
      </c>
      <c r="S11" s="700" t="e">
        <f t="shared" si="0"/>
        <v>#N/A</v>
      </c>
      <c r="T11" s="699" t="s">
        <v>18</v>
      </c>
      <c r="U11" s="700" t="e">
        <f t="shared" si="1"/>
        <v>#N/A</v>
      </c>
      <c r="V11" s="699" t="s">
        <v>18</v>
      </c>
      <c r="W11" s="700" t="e">
        <f t="shared" si="2"/>
        <v>#N/A</v>
      </c>
      <c r="X11" s="701"/>
      <c r="Y11" s="364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11"/>
      <c r="Q12" s="1341">
        <f t="shared" si="6"/>
        <v>111</v>
      </c>
      <c r="R12" s="699" t="s">
        <v>18</v>
      </c>
      <c r="S12" s="700">
        <f t="shared" si="0"/>
        <v>100</v>
      </c>
      <c r="T12" s="699" t="s">
        <v>18</v>
      </c>
      <c r="U12" s="700">
        <f t="shared" si="1"/>
        <v>100</v>
      </c>
      <c r="V12" s="699" t="s">
        <v>18</v>
      </c>
      <c r="W12" s="700">
        <f t="shared" si="2"/>
        <v>100</v>
      </c>
      <c r="X12" s="701"/>
      <c r="Y12" s="36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11"/>
      <c r="Q13" s="1341">
        <f t="shared" si="6"/>
        <v>111</v>
      </c>
      <c r="R13" s="699" t="s">
        <v>18</v>
      </c>
      <c r="S13" s="700">
        <f t="shared" si="0"/>
        <v>100</v>
      </c>
      <c r="T13" s="699" t="s">
        <v>18</v>
      </c>
      <c r="U13" s="700">
        <f t="shared" si="1"/>
        <v>100</v>
      </c>
      <c r="V13" s="699" t="s">
        <v>18</v>
      </c>
      <c r="W13" s="700">
        <f t="shared" si="2"/>
        <v>100</v>
      </c>
      <c r="X13" s="701"/>
      <c r="Y13" s="364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11"/>
      <c r="Q14" s="1341">
        <f t="shared" si="6"/>
        <v>111</v>
      </c>
      <c r="R14" s="699" t="s">
        <v>18</v>
      </c>
      <c r="S14" s="700">
        <f t="shared" si="0"/>
        <v>100</v>
      </c>
      <c r="T14" s="699" t="s">
        <v>18</v>
      </c>
      <c r="U14" s="700">
        <f t="shared" si="1"/>
        <v>100</v>
      </c>
      <c r="V14" s="699" t="s">
        <v>18</v>
      </c>
      <c r="W14" s="700">
        <f t="shared" si="2"/>
        <v>100</v>
      </c>
      <c r="X14" s="701"/>
      <c r="Y14" s="3649"/>
      <c r="Z14" s="52">
        <f t="shared" si="7"/>
        <v>111</v>
      </c>
      <c r="AA14" s="702">
        <f t="shared" si="3"/>
        <v>1</v>
      </c>
      <c r="AB14" s="702">
        <f t="shared" si="4"/>
        <v>1</v>
      </c>
      <c r="AC14" s="702">
        <f t="shared" si="5"/>
        <v>1</v>
      </c>
    </row>
    <row r="15" spans="1:29" ht="15">
      <c r="A15" s="391" t="s">
        <v>1687</v>
      </c>
      <c r="B15" s="61" t="s">
        <v>1255</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38" t="s">
        <v>1688</v>
      </c>
      <c r="Q15" s="1350" t="str">
        <f t="shared" si="6"/>
        <v>居住社区成熟度</v>
      </c>
      <c r="R15" s="703" t="s">
        <v>18</v>
      </c>
      <c r="S15" s="704">
        <f t="shared" si="0"/>
        <v>100</v>
      </c>
      <c r="T15" s="703" t="s">
        <v>18</v>
      </c>
      <c r="U15" s="704">
        <f t="shared" si="1"/>
        <v>100</v>
      </c>
      <c r="V15" s="703" t="s">
        <v>18</v>
      </c>
      <c r="W15" s="704">
        <f t="shared" si="2"/>
        <v>100</v>
      </c>
      <c r="X15" s="1353"/>
      <c r="Y15" s="3731" t="s">
        <v>1688</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5"/>
      <c r="M16" s="2709"/>
      <c r="N16" s="2709"/>
      <c r="O16" s="2709"/>
      <c r="P16" s="3739"/>
      <c r="Q16" s="1350"/>
      <c r="R16" s="703"/>
      <c r="S16" s="704"/>
      <c r="T16" s="703"/>
      <c r="U16" s="704"/>
      <c r="V16" s="703"/>
      <c r="W16" s="704"/>
      <c r="X16" s="1353"/>
      <c r="Y16" s="3732"/>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39"/>
      <c r="Q17" s="1350" t="str">
        <f>B17</f>
        <v>交通便捷度</v>
      </c>
      <c r="R17" s="703" t="s">
        <v>18</v>
      </c>
      <c r="S17" s="704">
        <f>F17</f>
        <v>100</v>
      </c>
      <c r="T17" s="703" t="s">
        <v>18</v>
      </c>
      <c r="U17" s="704">
        <f>H17</f>
        <v>100</v>
      </c>
      <c r="V17" s="703" t="s">
        <v>18</v>
      </c>
      <c r="W17" s="704">
        <f>J17</f>
        <v>100</v>
      </c>
      <c r="X17" s="1353"/>
      <c r="Y17" s="373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5"/>
      <c r="M18" s="2709"/>
      <c r="N18" s="2709"/>
      <c r="O18" s="2709"/>
      <c r="P18" s="3739"/>
      <c r="Q18" s="1350"/>
      <c r="R18" s="703"/>
      <c r="S18" s="704"/>
      <c r="T18" s="703"/>
      <c r="U18" s="704"/>
      <c r="V18" s="703"/>
      <c r="W18" s="704"/>
      <c r="X18" s="1353"/>
      <c r="Y18" s="3732"/>
      <c r="Z18" s="1354"/>
      <c r="AA18" s="1351">
        <v>1</v>
      </c>
      <c r="AB18" s="1351">
        <v>1</v>
      </c>
      <c r="AC18" s="1351">
        <v>1</v>
      </c>
    </row>
    <row r="19" spans="1:29" ht="85.5">
      <c r="A19" s="379"/>
      <c r="B19" s="402" t="s">
        <v>1256</v>
      </c>
      <c r="C19" s="1898" t="str">
        <f>估价对象房地状况!C7</f>
        <v>估价对象所在区域银行、购物场所、学校等公共配套设施齐备，综合评价公共配套设施水平好。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39"/>
      <c r="Q19" s="1350" t="str">
        <f>B19</f>
        <v>公共配套设施</v>
      </c>
      <c r="R19" s="703" t="s">
        <v>18</v>
      </c>
      <c r="S19" s="704">
        <f>F19</f>
        <v>100</v>
      </c>
      <c r="T19" s="703" t="s">
        <v>18</v>
      </c>
      <c r="U19" s="704">
        <f>H19</f>
        <v>100</v>
      </c>
      <c r="V19" s="703" t="s">
        <v>18</v>
      </c>
      <c r="W19" s="704">
        <f>J19</f>
        <v>100</v>
      </c>
      <c r="X19" s="1353"/>
      <c r="Y19" s="373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5"/>
      <c r="M20" s="2709"/>
      <c r="N20" s="2709"/>
      <c r="O20" s="2709"/>
      <c r="P20" s="3739"/>
      <c r="Q20" s="1350"/>
      <c r="R20" s="703"/>
      <c r="S20" s="704"/>
      <c r="T20" s="703"/>
      <c r="U20" s="704"/>
      <c r="V20" s="703"/>
      <c r="W20" s="704"/>
      <c r="X20" s="1353"/>
      <c r="Y20" s="3732"/>
      <c r="Z20" s="1354"/>
      <c r="AA20" s="1351">
        <v>1</v>
      </c>
      <c r="AB20" s="1351">
        <v>1</v>
      </c>
      <c r="AC20" s="1351">
        <v>1</v>
      </c>
    </row>
    <row r="21" spans="1:29" ht="42.75">
      <c r="A21" s="379"/>
      <c r="B21" s="1129" t="s">
        <v>1258</v>
      </c>
      <c r="C21" s="1898" t="str">
        <f>估价对象房地状况!C8</f>
        <v>估价对象所在区域基础设施水平“七通一平</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39"/>
      <c r="Q21" s="1350" t="str">
        <f>B21</f>
        <v>基础设施水平</v>
      </c>
      <c r="R21" s="703" t="s">
        <v>14</v>
      </c>
      <c r="S21" s="704">
        <f>F21</f>
        <v>100</v>
      </c>
      <c r="T21" s="703" t="s">
        <v>14</v>
      </c>
      <c r="U21" s="704">
        <f>H21</f>
        <v>100</v>
      </c>
      <c r="V21" s="703" t="s">
        <v>14</v>
      </c>
      <c r="W21" s="704">
        <f>J21</f>
        <v>100</v>
      </c>
      <c r="X21" s="1353"/>
      <c r="Y21" s="373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5"/>
      <c r="M22" s="2709"/>
      <c r="N22" s="2709"/>
      <c r="O22" s="2709"/>
      <c r="P22" s="3739"/>
      <c r="Q22" s="1350"/>
      <c r="R22" s="703"/>
      <c r="S22" s="704"/>
      <c r="T22" s="703"/>
      <c r="U22" s="704"/>
      <c r="V22" s="703"/>
      <c r="W22" s="704"/>
      <c r="X22" s="1353"/>
      <c r="Y22" s="3732"/>
      <c r="Z22" s="1354"/>
      <c r="AA22" s="1351">
        <v>1</v>
      </c>
      <c r="AB22" s="1351">
        <v>1</v>
      </c>
      <c r="AC22" s="1351">
        <v>1</v>
      </c>
    </row>
    <row r="23" spans="1:29" ht="85.5">
      <c r="A23" s="379"/>
      <c r="B23" s="402" t="s">
        <v>1259</v>
      </c>
      <c r="C23" s="1898" t="str">
        <f>估价对象房地状况!C9</f>
        <v>区域内有东城职业大学、日坛公园、富国海底世界等自然及人文环境，综合评价自然及人文环境状况较好。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39"/>
      <c r="Q23" s="1350" t="str">
        <f>B23</f>
        <v>自然及人文环境</v>
      </c>
      <c r="R23" s="703" t="s">
        <v>18</v>
      </c>
      <c r="S23" s="704">
        <f>F23</f>
        <v>100</v>
      </c>
      <c r="T23" s="703" t="s">
        <v>18</v>
      </c>
      <c r="U23" s="704">
        <f>H23</f>
        <v>100</v>
      </c>
      <c r="V23" s="703" t="s">
        <v>18</v>
      </c>
      <c r="W23" s="704">
        <f>J23</f>
        <v>100</v>
      </c>
      <c r="X23" s="1353"/>
      <c r="Y23" s="373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5"/>
      <c r="M24" s="2709"/>
      <c r="N24" s="2709"/>
      <c r="O24" s="2709"/>
      <c r="P24" s="3739"/>
      <c r="Q24" s="1350"/>
      <c r="R24" s="703"/>
      <c r="S24" s="704"/>
      <c r="T24" s="703"/>
      <c r="U24" s="704"/>
      <c r="V24" s="703"/>
      <c r="W24" s="704"/>
      <c r="X24" s="1353"/>
      <c r="Y24" s="3732"/>
      <c r="Z24" s="1354"/>
      <c r="AA24" s="1351">
        <v>1</v>
      </c>
      <c r="AB24" s="1351">
        <v>1</v>
      </c>
      <c r="AC24" s="1351">
        <v>1</v>
      </c>
    </row>
    <row r="25" spans="1:29" ht="15">
      <c r="A25" s="379"/>
      <c r="B25" s="375" t="s">
        <v>1689</v>
      </c>
      <c r="C25" s="411"/>
      <c r="D25" s="386">
        <v>100</v>
      </c>
      <c r="E25" s="1904"/>
      <c r="F25" s="386">
        <f>SUMIF(86:86,E25,87:87)-SUMIF(86:86,C25,87:87)+100</f>
        <v>100</v>
      </c>
      <c r="G25" s="1905"/>
      <c r="H25" s="386">
        <f>SUMIF(86:86,G25,87:87)-SUMIF(86:86,C25,87:87)+100</f>
        <v>100</v>
      </c>
      <c r="I25" s="1905"/>
      <c r="J25" s="386">
        <f>SUMIF(86:86,I25,87:87)-SUMIF(86:86,C25,87:87)+100</f>
        <v>100</v>
      </c>
      <c r="K25" s="377"/>
      <c r="L25" s="2715"/>
      <c r="M25" s="2709"/>
      <c r="N25" s="2709"/>
      <c r="O25" s="2709"/>
      <c r="P25" s="373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32"/>
      <c r="Z25" s="1354" t="str">
        <f>Q25</f>
        <v>楼层-1</v>
      </c>
      <c r="AA25" s="1351">
        <f t="shared" ref="AA25:AA46" si="15">D25/F25</f>
        <v>1</v>
      </c>
      <c r="AB25" s="1351">
        <f t="shared" ref="AB25:AB46" si="16">D25/H25</f>
        <v>1</v>
      </c>
      <c r="AC25" s="1351">
        <f t="shared" ref="AC25:AC46" si="17">D25/J25</f>
        <v>1</v>
      </c>
    </row>
    <row r="26" spans="1:29" ht="15">
      <c r="A26" s="379"/>
      <c r="B26" s="375" t="s">
        <v>1690</v>
      </c>
      <c r="C26" s="411"/>
      <c r="D26" s="386">
        <v>100</v>
      </c>
      <c r="E26" s="1904"/>
      <c r="F26" s="386">
        <f>SUMIF(88:88,E26,89:89)-SUMIF(88:88,C26,89:89)+100</f>
        <v>100</v>
      </c>
      <c r="G26" s="1905"/>
      <c r="H26" s="386">
        <f>SUMIF(88:88,G26,89:89)-SUMIF(88:88,C26,89:89)+100</f>
        <v>100</v>
      </c>
      <c r="I26" s="1905"/>
      <c r="J26" s="386">
        <f>SUMIF(88:88,I26,89:89)-SUMIF(88:88,C26,89:89)+100</f>
        <v>100</v>
      </c>
      <c r="K26" s="377"/>
      <c r="L26" s="2715"/>
      <c r="M26" s="2709"/>
      <c r="N26" s="2709"/>
      <c r="O26" s="2709"/>
      <c r="P26" s="3739"/>
      <c r="Q26" s="1350" t="str">
        <f t="shared" si="11"/>
        <v>朝向</v>
      </c>
      <c r="R26" s="703" t="s">
        <v>18</v>
      </c>
      <c r="S26" s="704">
        <f t="shared" si="12"/>
        <v>100</v>
      </c>
      <c r="T26" s="703" t="s">
        <v>18</v>
      </c>
      <c r="U26" s="704">
        <f t="shared" si="13"/>
        <v>100</v>
      </c>
      <c r="V26" s="703" t="s">
        <v>18</v>
      </c>
      <c r="W26" s="704">
        <f t="shared" si="14"/>
        <v>100</v>
      </c>
      <c r="X26" s="1353"/>
      <c r="Y26" s="373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39"/>
      <c r="Q27" s="1341">
        <f t="shared" si="11"/>
        <v>111</v>
      </c>
      <c r="R27" s="699" t="s">
        <v>18</v>
      </c>
      <c r="S27" s="700">
        <f t="shared" si="12"/>
        <v>100</v>
      </c>
      <c r="T27" s="699" t="s">
        <v>18</v>
      </c>
      <c r="U27" s="700">
        <f t="shared" si="13"/>
        <v>100</v>
      </c>
      <c r="V27" s="699" t="s">
        <v>18</v>
      </c>
      <c r="W27" s="700">
        <f t="shared" si="14"/>
        <v>100</v>
      </c>
      <c r="X27" s="701"/>
      <c r="Y27" s="373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39"/>
      <c r="Q28" s="1350">
        <f t="shared" si="11"/>
        <v>111</v>
      </c>
      <c r="R28" s="703" t="s">
        <v>18</v>
      </c>
      <c r="S28" s="704">
        <f t="shared" si="12"/>
        <v>100</v>
      </c>
      <c r="T28" s="703" t="s">
        <v>18</v>
      </c>
      <c r="U28" s="704">
        <f t="shared" si="13"/>
        <v>100</v>
      </c>
      <c r="V28" s="703" t="s">
        <v>18</v>
      </c>
      <c r="W28" s="704">
        <f t="shared" si="14"/>
        <v>100</v>
      </c>
      <c r="X28" s="1353"/>
      <c r="Y28" s="373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39"/>
      <c r="Q29" s="1350">
        <f t="shared" si="11"/>
        <v>111</v>
      </c>
      <c r="R29" s="703" t="s">
        <v>18</v>
      </c>
      <c r="S29" s="704">
        <f t="shared" si="12"/>
        <v>100</v>
      </c>
      <c r="T29" s="703" t="s">
        <v>18</v>
      </c>
      <c r="U29" s="704">
        <f t="shared" si="13"/>
        <v>100</v>
      </c>
      <c r="V29" s="703" t="s">
        <v>18</v>
      </c>
      <c r="W29" s="704">
        <f t="shared" si="14"/>
        <v>100</v>
      </c>
      <c r="X29" s="1353"/>
      <c r="Y29" s="373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39"/>
      <c r="Q30" s="1350">
        <f t="shared" si="11"/>
        <v>111</v>
      </c>
      <c r="R30" s="703" t="s">
        <v>18</v>
      </c>
      <c r="S30" s="704">
        <f t="shared" si="12"/>
        <v>100</v>
      </c>
      <c r="T30" s="703" t="s">
        <v>18</v>
      </c>
      <c r="U30" s="704">
        <f t="shared" si="13"/>
        <v>100</v>
      </c>
      <c r="V30" s="703" t="s">
        <v>18</v>
      </c>
      <c r="W30" s="704">
        <f t="shared" si="14"/>
        <v>100</v>
      </c>
      <c r="X30" s="1353"/>
      <c r="Y30" s="373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39"/>
      <c r="Q31" s="1350">
        <f t="shared" si="11"/>
        <v>111</v>
      </c>
      <c r="R31" s="703" t="s">
        <v>18</v>
      </c>
      <c r="S31" s="704">
        <f t="shared" si="12"/>
        <v>100</v>
      </c>
      <c r="T31" s="703" t="s">
        <v>18</v>
      </c>
      <c r="U31" s="704">
        <f t="shared" si="13"/>
        <v>100</v>
      </c>
      <c r="V31" s="703" t="s">
        <v>18</v>
      </c>
      <c r="W31" s="704">
        <f t="shared" si="14"/>
        <v>100</v>
      </c>
      <c r="X31" s="1353"/>
      <c r="Y31" s="3732"/>
      <c r="Z31" s="1354">
        <f t="shared" si="18"/>
        <v>111</v>
      </c>
      <c r="AA31" s="1351">
        <f t="shared" si="15"/>
        <v>1</v>
      </c>
      <c r="AB31" s="1351">
        <f t="shared" si="16"/>
        <v>1</v>
      </c>
      <c r="AC31" s="1351">
        <f t="shared" si="17"/>
        <v>1</v>
      </c>
    </row>
    <row r="32" spans="1:29" ht="15">
      <c r="A32" s="391" t="s">
        <v>1691</v>
      </c>
      <c r="B32" s="63" t="s">
        <v>1692</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5"/>
      <c r="M32" s="2709"/>
      <c r="N32" s="2709"/>
      <c r="O32" s="2709"/>
      <c r="P32" s="3733" t="s">
        <v>1693</v>
      </c>
      <c r="Q32" s="1350" t="str">
        <f t="shared" si="11"/>
        <v>建筑类型</v>
      </c>
      <c r="R32" s="703" t="s">
        <v>18</v>
      </c>
      <c r="S32" s="704">
        <f t="shared" si="12"/>
        <v>100</v>
      </c>
      <c r="T32" s="703" t="s">
        <v>18</v>
      </c>
      <c r="U32" s="704">
        <f t="shared" si="13"/>
        <v>100</v>
      </c>
      <c r="V32" s="703" t="s">
        <v>18</v>
      </c>
      <c r="W32" s="704">
        <f t="shared" si="14"/>
        <v>100</v>
      </c>
      <c r="X32" s="1353"/>
      <c r="Y32" s="3736" t="s">
        <v>1693</v>
      </c>
      <c r="Z32" s="1354" t="str">
        <f t="shared" si="18"/>
        <v>建筑类型</v>
      </c>
      <c r="AA32" s="1351">
        <f t="shared" si="15"/>
        <v>1</v>
      </c>
      <c r="AB32" s="1351">
        <f t="shared" si="16"/>
        <v>1</v>
      </c>
      <c r="AC32" s="1351">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4"/>
      <c r="M33" s="2716"/>
      <c r="N33" s="2716"/>
      <c r="O33" s="2716"/>
      <c r="P33" s="3734"/>
      <c r="Q33" s="705" t="str">
        <f t="shared" si="11"/>
        <v>项目建筑规模</v>
      </c>
      <c r="R33" s="706" t="s">
        <v>18</v>
      </c>
      <c r="S33" s="707" t="e">
        <f t="shared" si="12"/>
        <v>#N/A</v>
      </c>
      <c r="T33" s="706" t="s">
        <v>18</v>
      </c>
      <c r="U33" s="707" t="e">
        <f t="shared" si="13"/>
        <v>#N/A</v>
      </c>
      <c r="V33" s="706" t="s">
        <v>18</v>
      </c>
      <c r="W33" s="707" t="e">
        <f t="shared" si="14"/>
        <v>#N/A</v>
      </c>
      <c r="X33" s="708"/>
      <c r="Y33" s="3736"/>
      <c r="Z33" s="709" t="str">
        <f t="shared" si="18"/>
        <v>项目建筑规模</v>
      </c>
      <c r="AA33" s="1351" t="e">
        <f t="shared" si="15"/>
        <v>#N/A</v>
      </c>
      <c r="AB33" s="1351" t="e">
        <f t="shared" si="16"/>
        <v>#N/A</v>
      </c>
      <c r="AC33" s="1351" t="e">
        <f t="shared" si="17"/>
        <v>#N/A</v>
      </c>
    </row>
    <row r="34" spans="1:29" ht="15">
      <c r="A34" s="423"/>
      <c r="B34" s="375" t="s">
        <v>1695</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5"/>
      <c r="M34" s="2709"/>
      <c r="N34" s="2709"/>
      <c r="O34" s="2709"/>
      <c r="P34" s="3734"/>
      <c r="Q34" s="1350" t="str">
        <f t="shared" si="11"/>
        <v>建筑结构</v>
      </c>
      <c r="R34" s="703" t="s">
        <v>18</v>
      </c>
      <c r="S34" s="704">
        <f t="shared" si="12"/>
        <v>100</v>
      </c>
      <c r="T34" s="703" t="s">
        <v>18</v>
      </c>
      <c r="U34" s="704">
        <f t="shared" si="13"/>
        <v>100</v>
      </c>
      <c r="V34" s="703" t="s">
        <v>18</v>
      </c>
      <c r="W34" s="704">
        <f t="shared" si="14"/>
        <v>100</v>
      </c>
      <c r="X34" s="1353"/>
      <c r="Y34" s="3736"/>
      <c r="Z34" s="1354" t="str">
        <f t="shared" si="18"/>
        <v>建筑结构</v>
      </c>
      <c r="AA34" s="1351">
        <f t="shared" si="15"/>
        <v>1</v>
      </c>
      <c r="AB34" s="1351">
        <f t="shared" si="16"/>
        <v>1</v>
      </c>
      <c r="AC34" s="1351">
        <f t="shared" si="17"/>
        <v>1</v>
      </c>
    </row>
    <row r="35" spans="1:29" ht="15">
      <c r="A35" s="423"/>
      <c r="B35" s="375" t="s">
        <v>1696</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5"/>
      <c r="M35" s="2709"/>
      <c r="N35" s="2709"/>
      <c r="O35" s="2709"/>
      <c r="P35" s="3734"/>
      <c r="Q35" s="1350" t="str">
        <f t="shared" si="11"/>
        <v>建筑品质</v>
      </c>
      <c r="R35" s="703" t="s">
        <v>18</v>
      </c>
      <c r="S35" s="704">
        <f t="shared" si="12"/>
        <v>100</v>
      </c>
      <c r="T35" s="703" t="s">
        <v>18</v>
      </c>
      <c r="U35" s="704">
        <f t="shared" si="13"/>
        <v>100</v>
      </c>
      <c r="V35" s="703" t="s">
        <v>18</v>
      </c>
      <c r="W35" s="704">
        <f t="shared" si="14"/>
        <v>100</v>
      </c>
      <c r="X35" s="1353"/>
      <c r="Y35" s="3736"/>
      <c r="Z35" s="1354" t="str">
        <f t="shared" si="18"/>
        <v>建筑品质</v>
      </c>
      <c r="AA35" s="1351">
        <f t="shared" si="15"/>
        <v>1</v>
      </c>
      <c r="AB35" s="1351">
        <f t="shared" si="16"/>
        <v>1</v>
      </c>
      <c r="AC35" s="1351">
        <f t="shared" si="17"/>
        <v>1</v>
      </c>
    </row>
    <row r="36" spans="1:29" ht="15">
      <c r="A36" s="423"/>
      <c r="B36" s="375" t="s">
        <v>1697</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5"/>
      <c r="M36" s="2709"/>
      <c r="N36" s="2709"/>
      <c r="O36" s="2709"/>
      <c r="P36" s="3734"/>
      <c r="Q36" s="1350" t="str">
        <f t="shared" si="11"/>
        <v>公共部分装修</v>
      </c>
      <c r="R36" s="703" t="s">
        <v>18</v>
      </c>
      <c r="S36" s="704">
        <f t="shared" si="12"/>
        <v>100</v>
      </c>
      <c r="T36" s="703" t="s">
        <v>18</v>
      </c>
      <c r="U36" s="704">
        <f t="shared" si="13"/>
        <v>100</v>
      </c>
      <c r="V36" s="703" t="s">
        <v>18</v>
      </c>
      <c r="W36" s="704">
        <f t="shared" si="14"/>
        <v>100</v>
      </c>
      <c r="X36" s="1353"/>
      <c r="Y36" s="3736"/>
      <c r="Z36" s="1354" t="str">
        <f t="shared" si="18"/>
        <v>公共部分装修</v>
      </c>
      <c r="AA36" s="1351">
        <f t="shared" si="15"/>
        <v>1</v>
      </c>
      <c r="AB36" s="1351">
        <f t="shared" si="16"/>
        <v>1</v>
      </c>
      <c r="AC36" s="1351">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34"/>
      <c r="Q37" s="1341" t="str">
        <f t="shared" si="11"/>
        <v>成新度</v>
      </c>
      <c r="R37" s="699" t="s">
        <v>18</v>
      </c>
      <c r="S37" s="700" t="e">
        <f t="shared" si="12"/>
        <v>#N/A</v>
      </c>
      <c r="T37" s="699" t="s">
        <v>18</v>
      </c>
      <c r="U37" s="700" t="e">
        <f t="shared" si="13"/>
        <v>#N/A</v>
      </c>
      <c r="V37" s="699" t="s">
        <v>18</v>
      </c>
      <c r="W37" s="700" t="e">
        <f t="shared" si="14"/>
        <v>#N/A</v>
      </c>
      <c r="X37" s="701"/>
      <c r="Y37" s="3736"/>
      <c r="Z37" s="52" t="str">
        <f t="shared" si="18"/>
        <v>成新度</v>
      </c>
      <c r="AA37" s="702" t="e">
        <f t="shared" si="15"/>
        <v>#N/A</v>
      </c>
      <c r="AB37" s="702" t="e">
        <f t="shared" si="16"/>
        <v>#N/A</v>
      </c>
      <c r="AC37" s="702" t="e">
        <f t="shared" si="17"/>
        <v>#N/A</v>
      </c>
    </row>
    <row r="38" spans="1:29" ht="15">
      <c r="A38" s="423"/>
      <c r="B38" s="375" t="s">
        <v>1699</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5"/>
      <c r="M38" s="2709"/>
      <c r="N38" s="2709"/>
      <c r="O38" s="2709"/>
      <c r="P38" s="3734" t="s">
        <v>1693</v>
      </c>
      <c r="Q38" s="1350" t="str">
        <f t="shared" si="11"/>
        <v>物业管理</v>
      </c>
      <c r="R38" s="703" t="s">
        <v>18</v>
      </c>
      <c r="S38" s="704">
        <f t="shared" si="12"/>
        <v>100</v>
      </c>
      <c r="T38" s="703" t="s">
        <v>18</v>
      </c>
      <c r="U38" s="704">
        <f t="shared" si="13"/>
        <v>100</v>
      </c>
      <c r="V38" s="703" t="s">
        <v>18</v>
      </c>
      <c r="W38" s="704">
        <f t="shared" si="14"/>
        <v>100</v>
      </c>
      <c r="X38" s="1353"/>
      <c r="Y38" s="3736" t="s">
        <v>1693</v>
      </c>
      <c r="Z38" s="1354" t="str">
        <f t="shared" si="18"/>
        <v>物业管理</v>
      </c>
      <c r="AA38" s="1351">
        <f t="shared" si="15"/>
        <v>1</v>
      </c>
      <c r="AB38" s="1351">
        <f t="shared" si="16"/>
        <v>1</v>
      </c>
      <c r="AC38" s="1351">
        <f t="shared" si="17"/>
        <v>1</v>
      </c>
    </row>
    <row r="39" spans="1:29" ht="15">
      <c r="A39" s="423"/>
      <c r="B39" s="375" t="s">
        <v>1700</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5"/>
      <c r="M39" s="2709"/>
      <c r="N39" s="2709"/>
      <c r="O39" s="2709"/>
      <c r="P39" s="3734"/>
      <c r="Q39" s="1350" t="str">
        <f t="shared" si="11"/>
        <v>市政基础设施</v>
      </c>
      <c r="R39" s="703" t="s">
        <v>18</v>
      </c>
      <c r="S39" s="704">
        <f t="shared" si="12"/>
        <v>100</v>
      </c>
      <c r="T39" s="703" t="s">
        <v>18</v>
      </c>
      <c r="U39" s="704">
        <f t="shared" si="13"/>
        <v>100</v>
      </c>
      <c r="V39" s="703" t="s">
        <v>18</v>
      </c>
      <c r="W39" s="704">
        <f t="shared" si="14"/>
        <v>100</v>
      </c>
      <c r="X39" s="1353"/>
      <c r="Y39" s="3736"/>
      <c r="Z39" s="1354" t="str">
        <f t="shared" si="18"/>
        <v>市政基础设施</v>
      </c>
      <c r="AA39" s="1351">
        <f t="shared" si="15"/>
        <v>1</v>
      </c>
      <c r="AB39" s="1351">
        <f t="shared" si="16"/>
        <v>1</v>
      </c>
      <c r="AC39" s="1351">
        <f t="shared" si="17"/>
        <v>1</v>
      </c>
    </row>
    <row r="40" spans="1:29" ht="15">
      <c r="A40" s="423"/>
      <c r="B40" s="375" t="s">
        <v>1701</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5"/>
      <c r="M40" s="2709"/>
      <c r="N40" s="2709"/>
      <c r="O40" s="2709"/>
      <c r="P40" s="3734"/>
      <c r="Q40" s="1350" t="str">
        <f t="shared" si="11"/>
        <v>房型</v>
      </c>
      <c r="R40" s="703" t="s">
        <v>18</v>
      </c>
      <c r="S40" s="704">
        <f t="shared" si="12"/>
        <v>100</v>
      </c>
      <c r="T40" s="703" t="s">
        <v>18</v>
      </c>
      <c r="U40" s="704">
        <f t="shared" si="13"/>
        <v>100</v>
      </c>
      <c r="V40" s="703" t="s">
        <v>18</v>
      </c>
      <c r="W40" s="704">
        <f t="shared" si="14"/>
        <v>100</v>
      </c>
      <c r="X40" s="1353"/>
      <c r="Y40" s="3736"/>
      <c r="Z40" s="1354" t="str">
        <f t="shared" si="18"/>
        <v>房型</v>
      </c>
      <c r="AA40" s="1351">
        <f t="shared" si="15"/>
        <v>1</v>
      </c>
      <c r="AB40" s="1351">
        <f t="shared" si="16"/>
        <v>1</v>
      </c>
      <c r="AC40" s="1351">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4"/>
      <c r="M41" s="2716"/>
      <c r="N41" s="2716"/>
      <c r="O41" s="2716"/>
      <c r="P41" s="3734"/>
      <c r="Q41" s="705" t="str">
        <f t="shared" si="11"/>
        <v>单套/主力户型建筑面积</v>
      </c>
      <c r="R41" s="706" t="s">
        <v>18</v>
      </c>
      <c r="S41" s="707">
        <f t="shared" si="12"/>
        <v>100</v>
      </c>
      <c r="T41" s="706" t="s">
        <v>18</v>
      </c>
      <c r="U41" s="707">
        <f t="shared" si="13"/>
        <v>100</v>
      </c>
      <c r="V41" s="706" t="s">
        <v>18</v>
      </c>
      <c r="W41" s="707">
        <f t="shared" si="14"/>
        <v>100</v>
      </c>
      <c r="X41" s="708"/>
      <c r="Y41" s="3736"/>
      <c r="Z41" s="709" t="str">
        <f t="shared" si="18"/>
        <v>单套/主力户型建筑面积</v>
      </c>
      <c r="AA41" s="1351">
        <f t="shared" si="15"/>
        <v>1</v>
      </c>
      <c r="AB41" s="1351">
        <f t="shared" si="16"/>
        <v>1</v>
      </c>
      <c r="AC41" s="1351">
        <f t="shared" si="17"/>
        <v>1</v>
      </c>
    </row>
    <row r="42" spans="1:29" ht="15">
      <c r="A42" s="423"/>
      <c r="B42" s="375" t="s">
        <v>1703</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5"/>
      <c r="M42" s="2709"/>
      <c r="N42" s="2709"/>
      <c r="O42" s="2709"/>
      <c r="P42" s="3734"/>
      <c r="Q42" s="1350" t="str">
        <f t="shared" si="11"/>
        <v>内部装修</v>
      </c>
      <c r="R42" s="703" t="s">
        <v>18</v>
      </c>
      <c r="S42" s="704">
        <f t="shared" si="12"/>
        <v>100</v>
      </c>
      <c r="T42" s="703" t="s">
        <v>18</v>
      </c>
      <c r="U42" s="704">
        <f t="shared" si="13"/>
        <v>100</v>
      </c>
      <c r="V42" s="703" t="s">
        <v>18</v>
      </c>
      <c r="W42" s="704">
        <f t="shared" si="14"/>
        <v>100</v>
      </c>
      <c r="X42" s="1353"/>
      <c r="Y42" s="3736"/>
      <c r="Z42" s="1354" t="str">
        <f t="shared" si="18"/>
        <v>内部装修</v>
      </c>
      <c r="AA42" s="1351">
        <f t="shared" si="15"/>
        <v>1</v>
      </c>
      <c r="AB42" s="1351">
        <f t="shared" si="16"/>
        <v>1</v>
      </c>
      <c r="AC42" s="1351">
        <f t="shared" si="17"/>
        <v>1</v>
      </c>
    </row>
    <row r="43" spans="1:29" ht="15">
      <c r="A43" s="423"/>
      <c r="B43" s="375" t="s">
        <v>1704</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5"/>
      <c r="M43" s="2709"/>
      <c r="N43" s="2709"/>
      <c r="O43" s="2709"/>
      <c r="P43" s="3734"/>
      <c r="Q43" s="1350" t="str">
        <f t="shared" si="11"/>
        <v>内部装修维护情况</v>
      </c>
      <c r="R43" s="703" t="s">
        <v>18</v>
      </c>
      <c r="S43" s="704">
        <f t="shared" si="12"/>
        <v>100</v>
      </c>
      <c r="T43" s="703" t="s">
        <v>18</v>
      </c>
      <c r="U43" s="704">
        <f t="shared" si="13"/>
        <v>100</v>
      </c>
      <c r="V43" s="703" t="s">
        <v>18</v>
      </c>
      <c r="W43" s="704">
        <f t="shared" si="14"/>
        <v>100</v>
      </c>
      <c r="X43" s="1353"/>
      <c r="Y43" s="373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34"/>
      <c r="Q44" s="1341">
        <f t="shared" si="11"/>
        <v>111</v>
      </c>
      <c r="R44" s="699" t="s">
        <v>18</v>
      </c>
      <c r="S44" s="700">
        <f t="shared" si="12"/>
        <v>100</v>
      </c>
      <c r="T44" s="699" t="s">
        <v>18</v>
      </c>
      <c r="U44" s="700">
        <f t="shared" si="13"/>
        <v>100</v>
      </c>
      <c r="V44" s="699" t="s">
        <v>18</v>
      </c>
      <c r="W44" s="700">
        <f t="shared" si="14"/>
        <v>100</v>
      </c>
      <c r="X44" s="701"/>
      <c r="Y44" s="373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34"/>
      <c r="Q45" s="1350">
        <f t="shared" si="11"/>
        <v>111</v>
      </c>
      <c r="R45" s="703" t="s">
        <v>18</v>
      </c>
      <c r="S45" s="704">
        <f t="shared" si="12"/>
        <v>100</v>
      </c>
      <c r="T45" s="703" t="s">
        <v>18</v>
      </c>
      <c r="U45" s="704">
        <f t="shared" si="13"/>
        <v>100</v>
      </c>
      <c r="V45" s="703" t="s">
        <v>18</v>
      </c>
      <c r="W45" s="704">
        <f t="shared" si="14"/>
        <v>100</v>
      </c>
      <c r="X45" s="1353"/>
      <c r="Y45" s="373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35"/>
      <c r="Q46" s="1350">
        <f t="shared" si="11"/>
        <v>111</v>
      </c>
      <c r="R46" s="703" t="s">
        <v>17</v>
      </c>
      <c r="S46" s="704">
        <f t="shared" si="12"/>
        <v>100</v>
      </c>
      <c r="T46" s="703" t="s">
        <v>17</v>
      </c>
      <c r="U46" s="704">
        <f t="shared" si="13"/>
        <v>100</v>
      </c>
      <c r="V46" s="703" t="s">
        <v>17</v>
      </c>
      <c r="W46" s="704">
        <f t="shared" si="14"/>
        <v>100</v>
      </c>
      <c r="X46" s="1353"/>
      <c r="Y46" s="3737"/>
      <c r="Z46" s="1354">
        <f t="shared" si="18"/>
        <v>111</v>
      </c>
      <c r="AA46" s="1351">
        <f t="shared" si="15"/>
        <v>1</v>
      </c>
      <c r="AB46" s="1351">
        <f t="shared" si="16"/>
        <v>1</v>
      </c>
      <c r="AC46" s="1351">
        <f t="shared" si="17"/>
        <v>1</v>
      </c>
    </row>
    <row r="47" spans="1:29" ht="15">
      <c r="A47" s="430" t="s">
        <v>1705</v>
      </c>
      <c r="B47" s="431"/>
      <c r="C47" s="1152" t="s">
        <v>16</v>
      </c>
      <c r="D47" s="1153"/>
      <c r="E47" s="1154"/>
      <c r="F47" s="1155"/>
      <c r="G47" s="1156"/>
      <c r="H47" s="1157"/>
      <c r="I47" s="1154"/>
      <c r="J47" s="1157"/>
      <c r="K47" s="1912"/>
      <c r="L47" s="2717"/>
      <c r="M47" s="2718"/>
      <c r="N47" s="2709"/>
      <c r="O47" s="2718"/>
      <c r="P47" s="3729" t="str">
        <f>A47</f>
        <v>成交单价（元/平方米）</v>
      </c>
      <c r="Q47" s="3729"/>
      <c r="R47" s="3730">
        <f>E47</f>
        <v>0</v>
      </c>
      <c r="S47" s="3730"/>
      <c r="T47" s="3730">
        <f>G47</f>
        <v>0</v>
      </c>
      <c r="U47" s="3730"/>
      <c r="V47" s="3730">
        <f>I47</f>
        <v>0</v>
      </c>
      <c r="W47" s="3730"/>
      <c r="X47" s="688"/>
      <c r="Y47" s="710"/>
      <c r="Z47" s="688"/>
      <c r="AA47" s="688"/>
      <c r="AB47" s="688"/>
      <c r="AC47" s="688"/>
    </row>
    <row r="48" spans="1:29" ht="15.75" thickBot="1">
      <c r="A48" s="437" t="s">
        <v>1706</v>
      </c>
      <c r="B48" s="438"/>
      <c r="C48" s="1158" t="e">
        <f>R49</f>
        <v>#DIV/0!</v>
      </c>
      <c r="D48" s="2315" t="s">
        <v>2133</v>
      </c>
      <c r="E48" s="1159" t="e">
        <f>R48</f>
        <v>#DIV/0!</v>
      </c>
      <c r="F48" s="2316"/>
      <c r="G48" s="1158" t="e">
        <f>T48</f>
        <v>#DIV/0!</v>
      </c>
      <c r="H48" s="2316"/>
      <c r="I48" s="1159" t="e">
        <f>V48</f>
        <v>#DIV/0!</v>
      </c>
      <c r="J48" s="2316"/>
      <c r="K48" s="2317">
        <f>F48+H48+J48</f>
        <v>0</v>
      </c>
      <c r="L48" s="2717"/>
      <c r="M48" s="2718"/>
      <c r="N48" s="2718"/>
      <c r="O48" s="2718"/>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8"/>
      <c r="Y48" s="688"/>
      <c r="Z48" s="688"/>
      <c r="AA48" s="688"/>
      <c r="AB48" s="688"/>
      <c r="AC48" s="688"/>
    </row>
    <row r="49" spans="1:29" ht="15.75" thickBot="1">
      <c r="A49" s="441" t="s">
        <v>1707</v>
      </c>
      <c r="B49" s="442"/>
      <c r="C49" s="1160" t="e">
        <f>R49</f>
        <v>#DIV/0!</v>
      </c>
      <c r="D49" s="1161"/>
      <c r="E49" s="1161"/>
      <c r="F49" s="1161"/>
      <c r="G49" s="1161"/>
      <c r="H49" s="1161"/>
      <c r="I49" s="1161"/>
      <c r="J49" s="1161"/>
      <c r="K49" s="1913"/>
      <c r="L49" s="2717"/>
      <c r="M49" s="2718"/>
      <c r="N49" s="2718"/>
      <c r="O49" s="2718"/>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5"/>
    </row>
    <row r="55" spans="1:29" s="451"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1711</v>
      </c>
      <c r="B57" s="688"/>
      <c r="C57" s="693"/>
      <c r="D57" s="693"/>
      <c r="E57" s="693"/>
      <c r="F57" s="694"/>
      <c r="G57" s="694"/>
      <c r="H57" s="693"/>
      <c r="I57" s="693"/>
      <c r="J57" s="693"/>
      <c r="K57" s="939"/>
      <c r="L57" s="940"/>
      <c r="M57" s="938"/>
      <c r="N57" s="938"/>
      <c r="O57" s="938"/>
      <c r="P57" s="1916"/>
      <c r="Q57" s="453"/>
    </row>
    <row r="58" spans="1:29" s="457" customFormat="1" ht="15">
      <c r="A58" s="454" t="s">
        <v>1712</v>
      </c>
      <c r="B58" s="455"/>
      <c r="C58" s="1184" t="str">
        <f>YEAR(C7)&amp;"-"&amp;MONTH(C7)</f>
        <v>2023-4</v>
      </c>
      <c r="D58" s="1183">
        <f>EDATE(C58,-1)</f>
        <v>44986</v>
      </c>
      <c r="E58" s="1183">
        <f>EDATE(D58,-1)</f>
        <v>44958</v>
      </c>
      <c r="F58" s="1183">
        <f t="shared" ref="F58:O58" si="19">EDATE(E58,-1)</f>
        <v>44927</v>
      </c>
      <c r="G58" s="1183">
        <f t="shared" si="19"/>
        <v>44896</v>
      </c>
      <c r="H58" s="1183">
        <f t="shared" si="19"/>
        <v>44866</v>
      </c>
      <c r="I58" s="1183">
        <f t="shared" si="19"/>
        <v>44835</v>
      </c>
      <c r="J58" s="1183">
        <f t="shared" si="19"/>
        <v>44805</v>
      </c>
      <c r="K58" s="1183">
        <f t="shared" si="19"/>
        <v>44774</v>
      </c>
      <c r="L58" s="1183">
        <f t="shared" si="19"/>
        <v>44743</v>
      </c>
      <c r="M58" s="1183">
        <f t="shared" si="19"/>
        <v>44713</v>
      </c>
      <c r="N58" s="1183">
        <f t="shared" si="19"/>
        <v>44682</v>
      </c>
      <c r="O58" s="1183">
        <f t="shared" si="19"/>
        <v>44652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1713</v>
      </c>
      <c r="B60" s="465"/>
      <c r="C60" s="466"/>
      <c r="D60" s="467"/>
      <c r="E60" s="467"/>
      <c r="F60" s="467"/>
      <c r="G60" s="467"/>
      <c r="H60" s="467"/>
      <c r="I60" s="467"/>
      <c r="J60" s="467"/>
      <c r="K60" s="467"/>
      <c r="L60" s="467"/>
      <c r="M60" s="468"/>
      <c r="N60" s="467"/>
      <c r="O60" s="468"/>
      <c r="P60" s="1918"/>
      <c r="Q60" s="453"/>
    </row>
    <row r="61" spans="1:29" s="108" customFormat="1" ht="15">
      <c r="A61" s="470" t="s">
        <v>1714</v>
      </c>
      <c r="B61" s="459"/>
      <c r="C61" s="471" t="s">
        <v>1715</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1716</v>
      </c>
      <c r="B63" s="477" t="s">
        <v>1682</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1685</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1258</v>
      </c>
      <c r="C82" s="488" t="s">
        <v>1725</v>
      </c>
      <c r="D82" s="488" t="s">
        <v>1726</v>
      </c>
      <c r="E82" s="488" t="s">
        <v>1727</v>
      </c>
      <c r="F82" s="488" t="s">
        <v>1728</v>
      </c>
      <c r="G82" s="488" t="s">
        <v>1729</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1731</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1732</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1691</v>
      </c>
      <c r="B100" s="477" t="s">
        <v>1733</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1735</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1736</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1737</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1738</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1739</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1740</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1702</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1741</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1743</v>
      </c>
    </row>
    <row r="137" spans="1:17" ht="15">
      <c r="B137" s="1928" t="s">
        <v>1744</v>
      </c>
      <c r="C137" s="1929"/>
      <c r="D137" s="1929"/>
      <c r="E137" s="1929"/>
      <c r="F137" s="1929"/>
      <c r="G137" s="1930"/>
      <c r="H137" s="1931"/>
      <c r="I137" s="1932" t="s">
        <v>1745</v>
      </c>
      <c r="J137" s="1929"/>
      <c r="K137" s="1933"/>
    </row>
    <row r="138" spans="1:17" ht="15">
      <c r="B138" s="1934"/>
      <c r="C138" s="137" t="s">
        <v>1746</v>
      </c>
      <c r="D138" s="137" t="s">
        <v>1747</v>
      </c>
      <c r="E138" s="1935" t="s">
        <v>1748</v>
      </c>
      <c r="F138" s="1936" t="s">
        <v>1749</v>
      </c>
      <c r="G138" s="137" t="s">
        <v>1747</v>
      </c>
      <c r="H138" s="138" t="s">
        <v>1748</v>
      </c>
      <c r="I138" s="1937"/>
      <c r="J138" s="137" t="s">
        <v>1750</v>
      </c>
      <c r="K138" s="138" t="s">
        <v>1751</v>
      </c>
    </row>
    <row r="139" spans="1:17" ht="15">
      <c r="B139" s="865">
        <v>6</v>
      </c>
      <c r="C139" s="866">
        <v>96</v>
      </c>
      <c r="D139" s="1938" t="s">
        <v>1752</v>
      </c>
      <c r="E139" s="867">
        <v>100</v>
      </c>
      <c r="F139" s="868">
        <v>102.5</v>
      </c>
      <c r="G139" s="1938" t="s">
        <v>1752</v>
      </c>
      <c r="H139" s="869">
        <v>105</v>
      </c>
      <c r="I139" s="1939" t="s">
        <v>1753</v>
      </c>
      <c r="J139" s="866">
        <v>20</v>
      </c>
      <c r="K139" s="870">
        <f>C145/(J139-2)</f>
        <v>4.0555555555555553E-3</v>
      </c>
    </row>
    <row r="140" spans="1:17" ht="15">
      <c r="B140" s="871">
        <v>5</v>
      </c>
      <c r="C140" s="872">
        <v>100</v>
      </c>
      <c r="D140" s="872"/>
      <c r="E140" s="873"/>
      <c r="F140" s="874">
        <v>102</v>
      </c>
      <c r="G140" s="872"/>
      <c r="H140" s="875"/>
      <c r="I140" s="1940" t="s">
        <v>1754</v>
      </c>
      <c r="J140" s="271">
        <f>ROUNDUP((J139-1)/2,0)</f>
        <v>10</v>
      </c>
      <c r="K140" s="876">
        <v>100</v>
      </c>
    </row>
    <row r="141" spans="1:17" ht="15">
      <c r="B141" s="871">
        <v>4</v>
      </c>
      <c r="C141" s="872">
        <v>102</v>
      </c>
      <c r="D141" s="872"/>
      <c r="E141" s="873"/>
      <c r="F141" s="874">
        <v>101.5</v>
      </c>
      <c r="G141" s="872"/>
      <c r="H141" s="875"/>
      <c r="I141" s="1940" t="s">
        <v>1755</v>
      </c>
      <c r="J141" s="271">
        <v>1</v>
      </c>
      <c r="K141" s="877">
        <f>ROUND(100+(J141-J140)*K139*100,1)</f>
        <v>96.4</v>
      </c>
    </row>
    <row r="142" spans="1:17" ht="15">
      <c r="B142" s="871">
        <v>3</v>
      </c>
      <c r="C142" s="872">
        <v>103</v>
      </c>
      <c r="D142" s="872"/>
      <c r="E142" s="873"/>
      <c r="F142" s="874">
        <v>101</v>
      </c>
      <c r="G142" s="872"/>
      <c r="H142" s="875"/>
      <c r="I142" s="1940" t="s">
        <v>1756</v>
      </c>
      <c r="J142" s="271">
        <f>J139</f>
        <v>20</v>
      </c>
      <c r="K142" s="878">
        <v>95</v>
      </c>
    </row>
    <row r="143" spans="1:17" ht="15">
      <c r="B143" s="871">
        <v>2</v>
      </c>
      <c r="C143" s="872">
        <v>100</v>
      </c>
      <c r="D143" s="872"/>
      <c r="E143" s="873"/>
      <c r="F143" s="874">
        <v>100.5</v>
      </c>
      <c r="G143" s="872"/>
      <c r="H143" s="875"/>
      <c r="I143" s="1940" t="s">
        <v>1757</v>
      </c>
      <c r="J143" s="872">
        <v>15</v>
      </c>
      <c r="K143" s="877">
        <f>ROUND(100+(J143-J140)*K139*100,1)</f>
        <v>102</v>
      </c>
    </row>
    <row r="144" spans="1:17" ht="15">
      <c r="B144" s="871">
        <v>1</v>
      </c>
      <c r="C144" s="872">
        <v>98</v>
      </c>
      <c r="D144" s="1941" t="s">
        <v>1758</v>
      </c>
      <c r="E144" s="873">
        <v>102</v>
      </c>
      <c r="F144" s="879">
        <v>100</v>
      </c>
      <c r="G144" s="1941" t="s">
        <v>1758</v>
      </c>
      <c r="H144" s="875">
        <v>105</v>
      </c>
      <c r="I144" s="1940" t="s">
        <v>1757</v>
      </c>
      <c r="J144" s="872">
        <v>18</v>
      </c>
      <c r="K144" s="877">
        <f>ROUND(100+(J144-J140)*K139*100,1)</f>
        <v>103.2</v>
      </c>
    </row>
    <row r="145" spans="2:11" ht="15.75" thickBot="1">
      <c r="B145" s="1942" t="s">
        <v>1759</v>
      </c>
      <c r="C145" s="880">
        <f>ROUND(MAX(C139:C144)/MIN(C139:C144)-1,3)</f>
        <v>7.2999999999999995E-2</v>
      </c>
      <c r="D145" s="881"/>
      <c r="E145" s="881"/>
      <c r="F145" s="1943" t="s">
        <v>1760</v>
      </c>
      <c r="G145" s="1944"/>
      <c r="H145" s="1945"/>
      <c r="I145" s="1946" t="s">
        <v>1757</v>
      </c>
      <c r="J145" s="882">
        <v>8</v>
      </c>
      <c r="K145" s="883">
        <f>ROUND(100+(J145-J140)*K139*100,1)</f>
        <v>99.2</v>
      </c>
    </row>
    <row r="147" spans="2:11">
      <c r="B147" s="1927" t="s">
        <v>1761</v>
      </c>
    </row>
    <row r="148" spans="2:11">
      <c r="B148" s="1927"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876" t="s">
        <v>1763</v>
      </c>
      <c r="C1" s="1236" t="s">
        <v>1659</v>
      </c>
      <c r="D1" s="1223"/>
      <c r="E1" s="3421"/>
      <c r="F1" s="1877"/>
      <c r="G1" s="1233" t="s">
        <v>1764</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1459</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2" customFormat="1" ht="28.5" customHeight="1" thickBot="1">
      <c r="A3" s="203" t="s">
        <v>1461</v>
      </c>
      <c r="B3" s="558">
        <f>IF(C2="——",C49,ROUND(B2*10000/D3,0))</f>
        <v>0</v>
      </c>
      <c r="C3" s="354" t="s">
        <v>1765</v>
      </c>
      <c r="D3" s="353">
        <f>IF(D1="",'数据-汇总表'!E3,SUMIF('数据-汇总表'!$C19:$C33,D1,'数据-汇总表'!$E19:$E33))</f>
        <v>3455.7</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699" t="s">
        <v>1768</v>
      </c>
      <c r="S4" s="3700"/>
      <c r="T4" s="3699" t="s">
        <v>1769</v>
      </c>
      <c r="U4" s="3700"/>
      <c r="V4" s="3724" t="s">
        <v>1770</v>
      </c>
      <c r="W4" s="3724"/>
      <c r="X4" s="1353"/>
      <c r="Y4" s="3699" t="s">
        <v>1772</v>
      </c>
      <c r="Z4" s="3700"/>
      <c r="AA4" s="3694" t="s">
        <v>1768</v>
      </c>
      <c r="AB4" s="3724" t="s">
        <v>1769</v>
      </c>
      <c r="AC4" s="3694" t="s">
        <v>1770</v>
      </c>
    </row>
    <row r="5" spans="1:29" ht="15">
      <c r="A5" s="358"/>
      <c r="B5" s="359"/>
      <c r="C5" s="3705" t="s">
        <v>1670</v>
      </c>
      <c r="D5" s="3706"/>
      <c r="E5" s="3703" t="s">
        <v>1671</v>
      </c>
      <c r="F5" s="3704"/>
      <c r="G5" s="3705" t="s">
        <v>1672</v>
      </c>
      <c r="H5" s="3706"/>
      <c r="I5" s="3705" t="s">
        <v>1673</v>
      </c>
      <c r="J5" s="3706"/>
      <c r="K5" s="559"/>
      <c r="L5" s="2708"/>
      <c r="M5" s="2709"/>
      <c r="N5" s="2709"/>
      <c r="O5" s="2709"/>
      <c r="P5" s="3718"/>
      <c r="Q5" s="3719"/>
      <c r="R5" s="3701"/>
      <c r="S5" s="3702"/>
      <c r="T5" s="3701"/>
      <c r="U5" s="3702"/>
      <c r="V5" s="3724"/>
      <c r="W5" s="3724"/>
      <c r="X5" s="1353"/>
      <c r="Y5" s="3701"/>
      <c r="Z5" s="3702"/>
      <c r="AA5" s="3695"/>
      <c r="AB5" s="3724"/>
      <c r="AC5" s="3695"/>
    </row>
    <row r="6" spans="1:29" ht="15.75" thickBot="1">
      <c r="A6" s="360"/>
      <c r="B6" s="361"/>
      <c r="C6" s="3707" t="s">
        <v>1674</v>
      </c>
      <c r="D6" s="3708"/>
      <c r="E6" s="3709" t="s">
        <v>1674</v>
      </c>
      <c r="F6" s="3710"/>
      <c r="G6" s="3707" t="s">
        <v>1674</v>
      </c>
      <c r="H6" s="3708"/>
      <c r="I6" s="3707" t="s">
        <v>1674</v>
      </c>
      <c r="J6" s="3708"/>
      <c r="K6" s="559" t="s">
        <v>1675</v>
      </c>
      <c r="L6" s="2708"/>
      <c r="M6" s="2709"/>
      <c r="N6" s="2709"/>
      <c r="O6" s="2709"/>
      <c r="P6" s="3720"/>
      <c r="Q6" s="3721"/>
      <c r="R6" s="3701"/>
      <c r="S6" s="3702"/>
      <c r="T6" s="3722"/>
      <c r="U6" s="3723"/>
      <c r="V6" s="3724"/>
      <c r="W6" s="3724"/>
      <c r="X6" s="1353"/>
      <c r="Y6" s="3722"/>
      <c r="Z6" s="3723"/>
      <c r="AA6" s="3696"/>
      <c r="AB6" s="3724"/>
      <c r="AC6" s="3696"/>
    </row>
    <row r="7" spans="1:29" s="108" customFormat="1" ht="15.75" thickBot="1">
      <c r="A7" s="362" t="s">
        <v>1676</v>
      </c>
      <c r="B7" s="363"/>
      <c r="C7" s="364">
        <f>'数据-取费表'!B2</f>
        <v>45037</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97" t="s">
        <v>1677</v>
      </c>
      <c r="Q7" s="3725"/>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702" t="e">
        <f>D7/J7</f>
        <v>#DIV/0!</v>
      </c>
    </row>
    <row r="8" spans="1:29" s="108" customFormat="1" ht="15.75" thickBot="1">
      <c r="A8" s="362" t="s">
        <v>1678</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97" t="s">
        <v>1680</v>
      </c>
      <c r="Q8" s="3698"/>
      <c r="R8" s="699" t="s">
        <v>14</v>
      </c>
      <c r="S8" s="700">
        <f t="shared" si="0"/>
        <v>100</v>
      </c>
      <c r="T8" s="699" t="s">
        <v>14</v>
      </c>
      <c r="U8" s="700">
        <f t="shared" si="1"/>
        <v>100</v>
      </c>
      <c r="V8" s="699" t="s">
        <v>14</v>
      </c>
      <c r="W8" s="700">
        <f t="shared" si="2"/>
        <v>100</v>
      </c>
      <c r="X8" s="701"/>
      <c r="Y8" s="3697" t="s">
        <v>1680</v>
      </c>
      <c r="Z8" s="3698"/>
      <c r="AA8" s="702">
        <f t="shared" ref="AA8:AA46" si="3">D8/F8</f>
        <v>1</v>
      </c>
      <c r="AB8" s="702">
        <f t="shared" ref="AB8:AB46" si="4">D8/H8</f>
        <v>1</v>
      </c>
      <c r="AC8" s="702">
        <f t="shared" ref="AC8:AC46" si="5">D8/J8</f>
        <v>1</v>
      </c>
    </row>
    <row r="9" spans="1:29" s="108" customFormat="1">
      <c r="A9" s="369" t="s">
        <v>1681</v>
      </c>
      <c r="B9" s="63" t="s">
        <v>1682</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711" t="s">
        <v>1683</v>
      </c>
      <c r="Q9" s="1341" t="str">
        <f t="shared" ref="Q9:Q15" si="6">B9</f>
        <v>用途</v>
      </c>
      <c r="R9" s="699" t="s">
        <v>14</v>
      </c>
      <c r="S9" s="700">
        <f t="shared" si="0"/>
        <v>100</v>
      </c>
      <c r="T9" s="699" t="s">
        <v>14</v>
      </c>
      <c r="U9" s="700">
        <f t="shared" si="1"/>
        <v>100</v>
      </c>
      <c r="V9" s="699" t="s">
        <v>14</v>
      </c>
      <c r="W9" s="700">
        <f t="shared" si="2"/>
        <v>100</v>
      </c>
      <c r="X9" s="701"/>
      <c r="Y9" s="3649" t="s">
        <v>1684</v>
      </c>
      <c r="Z9" s="52" t="str">
        <f t="shared" ref="Z9:Z15" si="7">Q9</f>
        <v>用途</v>
      </c>
      <c r="AA9" s="702">
        <f t="shared" si="3"/>
        <v>1</v>
      </c>
      <c r="AB9" s="702">
        <f t="shared" si="4"/>
        <v>1</v>
      </c>
      <c r="AC9" s="702">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2"/>
      <c r="M10" s="2713"/>
      <c r="N10" s="2713"/>
      <c r="O10" s="2713"/>
      <c r="P10" s="3711"/>
      <c r="Q10" s="1341" t="str">
        <f t="shared" si="6"/>
        <v>土地使用年限（年）</v>
      </c>
      <c r="R10" s="699" t="s">
        <v>14</v>
      </c>
      <c r="S10" s="700">
        <f t="shared" si="0"/>
        <v>100</v>
      </c>
      <c r="T10" s="699" t="s">
        <v>14</v>
      </c>
      <c r="U10" s="700">
        <f t="shared" si="1"/>
        <v>100</v>
      </c>
      <c r="V10" s="699" t="s">
        <v>14</v>
      </c>
      <c r="W10" s="700">
        <f t="shared" si="2"/>
        <v>100</v>
      </c>
      <c r="X10" s="701"/>
      <c r="Y10" s="3649"/>
      <c r="Z10" s="52" t="str">
        <f t="shared" si="7"/>
        <v>土地使用年限（年）</v>
      </c>
      <c r="AA10" s="702">
        <f t="shared" si="3"/>
        <v>1</v>
      </c>
      <c r="AB10" s="702">
        <f t="shared" si="4"/>
        <v>1</v>
      </c>
      <c r="AC10" s="702">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711"/>
      <c r="Q11" s="1341" t="str">
        <f t="shared" si="6"/>
        <v>容积率</v>
      </c>
      <c r="R11" s="699" t="s">
        <v>14</v>
      </c>
      <c r="S11" s="700" t="e">
        <f t="shared" si="0"/>
        <v>#N/A</v>
      </c>
      <c r="T11" s="699" t="s">
        <v>14</v>
      </c>
      <c r="U11" s="700" t="e">
        <f t="shared" si="1"/>
        <v>#N/A</v>
      </c>
      <c r="V11" s="699" t="s">
        <v>14</v>
      </c>
      <c r="W11" s="700" t="e">
        <f t="shared" si="2"/>
        <v>#N/A</v>
      </c>
      <c r="X11" s="701"/>
      <c r="Y11" s="364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11"/>
      <c r="Q12" s="1341">
        <f t="shared" si="6"/>
        <v>111</v>
      </c>
      <c r="R12" s="699" t="s">
        <v>14</v>
      </c>
      <c r="S12" s="700">
        <f t="shared" si="0"/>
        <v>100</v>
      </c>
      <c r="T12" s="699" t="s">
        <v>14</v>
      </c>
      <c r="U12" s="700">
        <f t="shared" si="1"/>
        <v>100</v>
      </c>
      <c r="V12" s="699" t="s">
        <v>14</v>
      </c>
      <c r="W12" s="700">
        <f t="shared" si="2"/>
        <v>100</v>
      </c>
      <c r="X12" s="701"/>
      <c r="Y12" s="36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11"/>
      <c r="Q13" s="1341">
        <f t="shared" si="6"/>
        <v>111</v>
      </c>
      <c r="R13" s="699" t="s">
        <v>14</v>
      </c>
      <c r="S13" s="700">
        <f t="shared" si="0"/>
        <v>100</v>
      </c>
      <c r="T13" s="699" t="s">
        <v>14</v>
      </c>
      <c r="U13" s="700">
        <f t="shared" si="1"/>
        <v>100</v>
      </c>
      <c r="V13" s="699" t="s">
        <v>14</v>
      </c>
      <c r="W13" s="700">
        <f t="shared" si="2"/>
        <v>100</v>
      </c>
      <c r="X13" s="701"/>
      <c r="Y13" s="364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11"/>
      <c r="Q14" s="1341">
        <f t="shared" si="6"/>
        <v>111</v>
      </c>
      <c r="R14" s="699" t="s">
        <v>14</v>
      </c>
      <c r="S14" s="700">
        <f t="shared" si="0"/>
        <v>100</v>
      </c>
      <c r="T14" s="699" t="s">
        <v>14</v>
      </c>
      <c r="U14" s="700">
        <f t="shared" si="1"/>
        <v>100</v>
      </c>
      <c r="V14" s="699" t="s">
        <v>14</v>
      </c>
      <c r="W14" s="700">
        <f t="shared" si="2"/>
        <v>100</v>
      </c>
      <c r="X14" s="701"/>
      <c r="Y14" s="3649"/>
      <c r="Z14" s="52">
        <f t="shared" si="7"/>
        <v>111</v>
      </c>
      <c r="AA14" s="702">
        <f t="shared" si="3"/>
        <v>1</v>
      </c>
      <c r="AB14" s="702">
        <f t="shared" si="4"/>
        <v>1</v>
      </c>
      <c r="AC14" s="702">
        <f t="shared" si="5"/>
        <v>1</v>
      </c>
    </row>
    <row r="15" spans="1:29" ht="15">
      <c r="A15" s="391" t="s">
        <v>1687</v>
      </c>
      <c r="B15" s="61" t="s">
        <v>1774</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38" t="s">
        <v>1688</v>
      </c>
      <c r="Q15" s="1350" t="str">
        <f t="shared" si="6"/>
        <v>商业繁华度</v>
      </c>
      <c r="R15" s="703" t="s">
        <v>14</v>
      </c>
      <c r="S15" s="704">
        <f t="shared" si="0"/>
        <v>100</v>
      </c>
      <c r="T15" s="703" t="s">
        <v>14</v>
      </c>
      <c r="U15" s="704">
        <f t="shared" si="1"/>
        <v>100</v>
      </c>
      <c r="V15" s="703" t="s">
        <v>14</v>
      </c>
      <c r="W15" s="704">
        <f t="shared" si="2"/>
        <v>100</v>
      </c>
      <c r="X15" s="1353"/>
      <c r="Y15" s="3731" t="s">
        <v>1688</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5"/>
      <c r="M16" s="2709"/>
      <c r="N16" s="2709"/>
      <c r="O16" s="2709"/>
      <c r="P16" s="3739"/>
      <c r="Q16" s="1350"/>
      <c r="R16" s="703"/>
      <c r="S16" s="704"/>
      <c r="T16" s="703"/>
      <c r="U16" s="704"/>
      <c r="V16" s="703"/>
      <c r="W16" s="704"/>
      <c r="X16" s="1353"/>
      <c r="Y16" s="3732"/>
      <c r="Z16" s="1354"/>
      <c r="AA16" s="1351">
        <v>1</v>
      </c>
      <c r="AB16" s="1351">
        <v>1</v>
      </c>
      <c r="AC16" s="1351">
        <v>1</v>
      </c>
    </row>
    <row r="17" spans="1:29" ht="85.5">
      <c r="A17" s="379"/>
      <c r="B17" s="402" t="s">
        <v>1257</v>
      </c>
      <c r="C17" s="1898" t="str">
        <f>估价对象房地状况!C6</f>
        <v>周边有75、110、420路及地铁2号、6号线，周边道路密集，停车便捷程度，综合评价交通便捷度好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39"/>
      <c r="Q17" s="1350" t="str">
        <f>B17</f>
        <v>交通便捷度</v>
      </c>
      <c r="R17" s="703" t="s">
        <v>14</v>
      </c>
      <c r="S17" s="704">
        <f>F17</f>
        <v>100</v>
      </c>
      <c r="T17" s="703" t="s">
        <v>14</v>
      </c>
      <c r="U17" s="704">
        <f>H17</f>
        <v>100</v>
      </c>
      <c r="V17" s="703" t="s">
        <v>14</v>
      </c>
      <c r="W17" s="704">
        <f>J17</f>
        <v>100</v>
      </c>
      <c r="X17" s="1353"/>
      <c r="Y17" s="373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5"/>
      <c r="M18" s="2709"/>
      <c r="N18" s="2709"/>
      <c r="O18" s="2709"/>
      <c r="P18" s="3739"/>
      <c r="Q18" s="1350"/>
      <c r="R18" s="703"/>
      <c r="S18" s="704"/>
      <c r="T18" s="703"/>
      <c r="U18" s="704"/>
      <c r="V18" s="703"/>
      <c r="W18" s="704"/>
      <c r="X18" s="1353"/>
      <c r="Y18" s="3732"/>
      <c r="Z18" s="1354"/>
      <c r="AA18" s="1351">
        <v>1</v>
      </c>
      <c r="AB18" s="1351">
        <v>1</v>
      </c>
      <c r="AC18" s="1351">
        <v>1</v>
      </c>
    </row>
    <row r="19" spans="1:29" ht="85.5">
      <c r="A19" s="379"/>
      <c r="B19" s="402" t="s">
        <v>1775</v>
      </c>
      <c r="C19" s="1898" t="str">
        <f>估价对象房地状况!C7</f>
        <v>估价对象所在区域银行、购物场所、学校等公共配套设施齐备，综合评价公共配套设施水平好。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39"/>
      <c r="Q19" s="1350" t="str">
        <f>B19</f>
        <v>公共配套设施</v>
      </c>
      <c r="R19" s="703" t="s">
        <v>14</v>
      </c>
      <c r="S19" s="704">
        <f>F19</f>
        <v>100</v>
      </c>
      <c r="T19" s="703" t="s">
        <v>14</v>
      </c>
      <c r="U19" s="704">
        <f>H19</f>
        <v>100</v>
      </c>
      <c r="V19" s="703" t="s">
        <v>14</v>
      </c>
      <c r="W19" s="704">
        <f>J19</f>
        <v>100</v>
      </c>
      <c r="X19" s="1353"/>
      <c r="Y19" s="373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5"/>
      <c r="M20" s="2709"/>
      <c r="N20" s="2709"/>
      <c r="O20" s="2709"/>
      <c r="P20" s="3739"/>
      <c r="Q20" s="1350"/>
      <c r="R20" s="703"/>
      <c r="S20" s="704"/>
      <c r="T20" s="703"/>
      <c r="U20" s="704"/>
      <c r="V20" s="703"/>
      <c r="W20" s="704"/>
      <c r="X20" s="1353"/>
      <c r="Y20" s="3732"/>
      <c r="Z20" s="1354"/>
      <c r="AA20" s="1351">
        <v>1</v>
      </c>
      <c r="AB20" s="1351">
        <v>1</v>
      </c>
      <c r="AC20" s="1351">
        <v>1</v>
      </c>
    </row>
    <row r="21" spans="1:29" ht="42.75">
      <c r="A21" s="379"/>
      <c r="B21" s="1129" t="s">
        <v>1776</v>
      </c>
      <c r="C21" s="1898" t="str">
        <f>估价对象房地状况!C8</f>
        <v>估价对象所在区域基础设施水平“七通一平</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39"/>
      <c r="Q21" s="1350" t="str">
        <f>B21</f>
        <v>基础设施水平</v>
      </c>
      <c r="R21" s="703" t="s">
        <v>14</v>
      </c>
      <c r="S21" s="704">
        <f>F21</f>
        <v>100</v>
      </c>
      <c r="T21" s="703" t="s">
        <v>14</v>
      </c>
      <c r="U21" s="704">
        <f>H21</f>
        <v>100</v>
      </c>
      <c r="V21" s="703" t="s">
        <v>14</v>
      </c>
      <c r="W21" s="704">
        <f>J21</f>
        <v>100</v>
      </c>
      <c r="X21" s="1353"/>
      <c r="Y21" s="373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5"/>
      <c r="M22" s="2709"/>
      <c r="N22" s="2709"/>
      <c r="O22" s="2709"/>
      <c r="P22" s="3739"/>
      <c r="Q22" s="1350"/>
      <c r="R22" s="703"/>
      <c r="S22" s="704"/>
      <c r="T22" s="703"/>
      <c r="U22" s="704"/>
      <c r="V22" s="703"/>
      <c r="W22" s="704"/>
      <c r="X22" s="1353"/>
      <c r="Y22" s="3732"/>
      <c r="Z22" s="1354"/>
      <c r="AA22" s="1351">
        <v>1</v>
      </c>
      <c r="AB22" s="1351">
        <v>1</v>
      </c>
      <c r="AC22" s="1351">
        <v>1</v>
      </c>
    </row>
    <row r="23" spans="1:29" ht="99.75">
      <c r="A23" s="379"/>
      <c r="B23" s="402" t="s">
        <v>1259</v>
      </c>
      <c r="C23" s="1953" t="str">
        <f>估价对象房地状况!C9</f>
        <v>区域内有东城职业大学、日坛公园、富国海底世界等自然及人文环境，综合评价自然及人文环境状况较好。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39"/>
      <c r="Q23" s="1350" t="str">
        <f>B23</f>
        <v>自然及人文环境</v>
      </c>
      <c r="R23" s="703" t="s">
        <v>14</v>
      </c>
      <c r="S23" s="704">
        <f>F23</f>
        <v>100</v>
      </c>
      <c r="T23" s="703" t="s">
        <v>14</v>
      </c>
      <c r="U23" s="704">
        <f>H23</f>
        <v>100</v>
      </c>
      <c r="V23" s="703" t="s">
        <v>14</v>
      </c>
      <c r="W23" s="704">
        <f>J23</f>
        <v>100</v>
      </c>
      <c r="X23" s="1353"/>
      <c r="Y23" s="373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5"/>
      <c r="M24" s="2709"/>
      <c r="N24" s="2709"/>
      <c r="O24" s="2709"/>
      <c r="P24" s="3739"/>
      <c r="Q24" s="1350"/>
      <c r="R24" s="703"/>
      <c r="S24" s="704"/>
      <c r="T24" s="703"/>
      <c r="U24" s="704"/>
      <c r="V24" s="703"/>
      <c r="W24" s="704"/>
      <c r="X24" s="1353"/>
      <c r="Y24" s="3732"/>
      <c r="Z24" s="1354"/>
      <c r="AA24" s="1351">
        <v>1</v>
      </c>
      <c r="AB24" s="1351">
        <v>1</v>
      </c>
      <c r="AC24" s="1351">
        <v>1</v>
      </c>
    </row>
    <row r="25" spans="1:29" ht="15">
      <c r="A25" s="379"/>
      <c r="B25" s="375" t="s">
        <v>1777</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39"/>
      <c r="Q25" s="1350" t="str">
        <f t="shared" ref="Q25:Q46" si="11">B25</f>
        <v>临街状况</v>
      </c>
      <c r="R25" s="703" t="s">
        <v>14</v>
      </c>
      <c r="S25" s="704">
        <f>F25</f>
        <v>100</v>
      </c>
      <c r="T25" s="703" t="s">
        <v>14</v>
      </c>
      <c r="U25" s="704">
        <f>H25</f>
        <v>100</v>
      </c>
      <c r="V25" s="703" t="s">
        <v>14</v>
      </c>
      <c r="W25" s="704">
        <f>J25</f>
        <v>100</v>
      </c>
      <c r="X25" s="1353"/>
      <c r="Y25" s="3732"/>
      <c r="Z25" s="1354" t="str">
        <f>Q25</f>
        <v>临街状况</v>
      </c>
      <c r="AA25" s="1351">
        <f t="shared" si="3"/>
        <v>1</v>
      </c>
      <c r="AB25" s="1351">
        <f t="shared" si="4"/>
        <v>1</v>
      </c>
      <c r="AC25" s="1351">
        <f t="shared" si="5"/>
        <v>1</v>
      </c>
    </row>
    <row r="26" spans="1:29" ht="15">
      <c r="A26" s="379"/>
      <c r="B26" s="1131" t="s">
        <v>1778</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39"/>
      <c r="Q26" s="1350" t="str">
        <f t="shared" si="11"/>
        <v>平面位置/可视性</v>
      </c>
      <c r="R26" s="703" t="s">
        <v>14</v>
      </c>
      <c r="S26" s="704">
        <f>F26</f>
        <v>100</v>
      </c>
      <c r="T26" s="703" t="s">
        <v>14</v>
      </c>
      <c r="U26" s="704">
        <f>H26</f>
        <v>100</v>
      </c>
      <c r="V26" s="703" t="s">
        <v>14</v>
      </c>
      <c r="W26" s="704">
        <f>J26</f>
        <v>100</v>
      </c>
      <c r="X26" s="1353"/>
      <c r="Y26" s="3732"/>
      <c r="Z26" s="1354" t="str">
        <f>Q26</f>
        <v>平面位置/可视性</v>
      </c>
      <c r="AA26" s="1351">
        <f t="shared" si="3"/>
        <v>1</v>
      </c>
      <c r="AB26" s="1351">
        <f t="shared" si="4"/>
        <v>1</v>
      </c>
      <c r="AC26" s="1351">
        <f t="shared" si="5"/>
        <v>1</v>
      </c>
    </row>
    <row r="27" spans="1:29" s="108" customFormat="1" ht="15">
      <c r="A27" s="382"/>
      <c r="B27" s="402" t="s">
        <v>1779</v>
      </c>
      <c r="C27" s="1954"/>
      <c r="D27" s="413">
        <v>100</v>
      </c>
      <c r="E27" s="1954"/>
      <c r="F27" s="415">
        <f>SUMIF(90:90,E27,91:91)-SUMIF(90:90,C27,91:91)+100</f>
        <v>100</v>
      </c>
      <c r="G27" s="1954"/>
      <c r="H27" s="413">
        <f>SUMIF(90:90,G27,91:91)-SUMIF(90:90,C27,91:91)+100</f>
        <v>100</v>
      </c>
      <c r="I27" s="1954"/>
      <c r="J27" s="413">
        <f>SUMIF(90:90,I27,91:91)-SUMIF(90:90,C27,91:91)+100</f>
        <v>100</v>
      </c>
      <c r="K27" s="561"/>
      <c r="L27" s="2710"/>
      <c r="M27" s="2711"/>
      <c r="N27" s="2711"/>
      <c r="O27" s="2711"/>
      <c r="P27" s="3739"/>
      <c r="Q27" s="1341" t="str">
        <f t="shared" si="11"/>
        <v>人流量</v>
      </c>
      <c r="R27" s="699" t="s">
        <v>14</v>
      </c>
      <c r="S27" s="700">
        <f>F27</f>
        <v>100</v>
      </c>
      <c r="T27" s="699" t="s">
        <v>14</v>
      </c>
      <c r="U27" s="700">
        <f>H27</f>
        <v>100</v>
      </c>
      <c r="V27" s="699" t="s">
        <v>14</v>
      </c>
      <c r="W27" s="700">
        <f>J27</f>
        <v>100</v>
      </c>
      <c r="X27" s="701"/>
      <c r="Y27" s="3732"/>
      <c r="Z27" s="52" t="str">
        <f>Q27</f>
        <v>人流量</v>
      </c>
      <c r="AA27" s="1351">
        <f>D27/F27</f>
        <v>1</v>
      </c>
      <c r="AB27" s="1351">
        <f>D27/H27</f>
        <v>1</v>
      </c>
      <c r="AC27" s="1351">
        <f>D27/J27</f>
        <v>1</v>
      </c>
    </row>
    <row r="28" spans="1:29" ht="15">
      <c r="A28" s="379"/>
      <c r="B28" s="375" t="s">
        <v>1780</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3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3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39"/>
      <c r="Q29" s="1350">
        <f t="shared" si="11"/>
        <v>111</v>
      </c>
      <c r="R29" s="703" t="s">
        <v>14</v>
      </c>
      <c r="S29" s="704">
        <f t="shared" si="12"/>
        <v>100</v>
      </c>
      <c r="T29" s="703" t="s">
        <v>14</v>
      </c>
      <c r="U29" s="704">
        <f t="shared" si="13"/>
        <v>100</v>
      </c>
      <c r="V29" s="703" t="s">
        <v>14</v>
      </c>
      <c r="W29" s="704">
        <f t="shared" si="14"/>
        <v>100</v>
      </c>
      <c r="X29" s="1353"/>
      <c r="Y29" s="373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39"/>
      <c r="Q30" s="1350">
        <f t="shared" si="11"/>
        <v>111</v>
      </c>
      <c r="R30" s="703" t="s">
        <v>14</v>
      </c>
      <c r="S30" s="704">
        <f t="shared" si="12"/>
        <v>100</v>
      </c>
      <c r="T30" s="703" t="s">
        <v>14</v>
      </c>
      <c r="U30" s="704">
        <f t="shared" si="13"/>
        <v>100</v>
      </c>
      <c r="V30" s="703" t="s">
        <v>14</v>
      </c>
      <c r="W30" s="704">
        <f t="shared" si="14"/>
        <v>100</v>
      </c>
      <c r="X30" s="1353"/>
      <c r="Y30" s="373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39"/>
      <c r="Q31" s="1350">
        <f t="shared" si="11"/>
        <v>111</v>
      </c>
      <c r="R31" s="703" t="s">
        <v>14</v>
      </c>
      <c r="S31" s="704">
        <f t="shared" si="12"/>
        <v>100</v>
      </c>
      <c r="T31" s="703" t="s">
        <v>14</v>
      </c>
      <c r="U31" s="704">
        <f t="shared" si="13"/>
        <v>100</v>
      </c>
      <c r="V31" s="703" t="s">
        <v>14</v>
      </c>
      <c r="W31" s="704">
        <f t="shared" si="14"/>
        <v>100</v>
      </c>
      <c r="X31" s="1353"/>
      <c r="Y31" s="3732"/>
      <c r="Z31" s="1354">
        <f t="shared" si="15"/>
        <v>111</v>
      </c>
      <c r="AA31" s="1351">
        <f t="shared" si="3"/>
        <v>1</v>
      </c>
      <c r="AB31" s="1351">
        <f t="shared" si="4"/>
        <v>1</v>
      </c>
      <c r="AC31" s="1351">
        <f t="shared" si="5"/>
        <v>1</v>
      </c>
    </row>
    <row r="32" spans="1:29" ht="15">
      <c r="A32" s="391" t="s">
        <v>1691</v>
      </c>
      <c r="B32" s="63" t="s">
        <v>1781</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5"/>
      <c r="M32" s="2709"/>
      <c r="N32" s="2709"/>
      <c r="O32" s="2709"/>
      <c r="P32" s="3733" t="s">
        <v>1693</v>
      </c>
      <c r="Q32" s="1350" t="str">
        <f t="shared" si="11"/>
        <v>商业类型</v>
      </c>
      <c r="R32" s="703" t="s">
        <v>14</v>
      </c>
      <c r="S32" s="704">
        <f t="shared" si="12"/>
        <v>100</v>
      </c>
      <c r="T32" s="703" t="s">
        <v>14</v>
      </c>
      <c r="U32" s="704">
        <f t="shared" si="13"/>
        <v>100</v>
      </c>
      <c r="V32" s="703" t="s">
        <v>14</v>
      </c>
      <c r="W32" s="704">
        <f t="shared" si="14"/>
        <v>100</v>
      </c>
      <c r="X32" s="1353"/>
      <c r="Y32" s="3736" t="s">
        <v>1693</v>
      </c>
      <c r="Z32" s="1354" t="str">
        <f t="shared" si="15"/>
        <v>商业类型</v>
      </c>
      <c r="AA32" s="1351">
        <f t="shared" si="3"/>
        <v>1</v>
      </c>
      <c r="AB32" s="1351">
        <f t="shared" si="4"/>
        <v>1</v>
      </c>
      <c r="AC32" s="1351">
        <f t="shared" si="5"/>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34"/>
      <c r="Q33" s="705" t="str">
        <f t="shared" si="11"/>
        <v>项目建筑规模</v>
      </c>
      <c r="R33" s="706" t="s">
        <v>14</v>
      </c>
      <c r="S33" s="707" t="e">
        <f t="shared" si="12"/>
        <v>#N/A</v>
      </c>
      <c r="T33" s="706" t="s">
        <v>14</v>
      </c>
      <c r="U33" s="707" t="e">
        <f t="shared" si="13"/>
        <v>#N/A</v>
      </c>
      <c r="V33" s="706" t="s">
        <v>14</v>
      </c>
      <c r="W33" s="707" t="e">
        <f t="shared" si="14"/>
        <v>#N/A</v>
      </c>
      <c r="X33" s="708"/>
      <c r="Y33" s="3736"/>
      <c r="Z33" s="709" t="str">
        <f t="shared" si="15"/>
        <v>项目建筑规模</v>
      </c>
      <c r="AA33" s="1351" t="e">
        <f t="shared" si="3"/>
        <v>#N/A</v>
      </c>
      <c r="AB33" s="1351" t="e">
        <f t="shared" si="4"/>
        <v>#N/A</v>
      </c>
      <c r="AC33" s="1351" t="e">
        <f t="shared" si="5"/>
        <v>#N/A</v>
      </c>
    </row>
    <row r="34" spans="1:29" ht="15">
      <c r="A34" s="423"/>
      <c r="B34" s="375" t="s">
        <v>1695</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5"/>
      <c r="M34" s="2709"/>
      <c r="N34" s="2709"/>
      <c r="O34" s="2709"/>
      <c r="P34" s="3734"/>
      <c r="Q34" s="1350" t="str">
        <f t="shared" si="11"/>
        <v>建筑结构</v>
      </c>
      <c r="R34" s="703" t="s">
        <v>14</v>
      </c>
      <c r="S34" s="704">
        <f t="shared" si="12"/>
        <v>100</v>
      </c>
      <c r="T34" s="703" t="s">
        <v>14</v>
      </c>
      <c r="U34" s="704">
        <f t="shared" si="13"/>
        <v>100</v>
      </c>
      <c r="V34" s="703" t="s">
        <v>14</v>
      </c>
      <c r="W34" s="704">
        <f t="shared" si="14"/>
        <v>100</v>
      </c>
      <c r="X34" s="1353"/>
      <c r="Y34" s="3736"/>
      <c r="Z34" s="1354" t="str">
        <f t="shared" si="15"/>
        <v>建筑结构</v>
      </c>
      <c r="AA34" s="1351">
        <f t="shared" si="3"/>
        <v>1</v>
      </c>
      <c r="AB34" s="1351">
        <f t="shared" si="4"/>
        <v>1</v>
      </c>
      <c r="AC34" s="1351">
        <f t="shared" si="5"/>
        <v>1</v>
      </c>
    </row>
    <row r="35" spans="1:29" ht="15">
      <c r="A35" s="423"/>
      <c r="B35" s="375" t="s">
        <v>1782</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5"/>
      <c r="M35" s="2709"/>
      <c r="N35" s="2709"/>
      <c r="O35" s="2709"/>
      <c r="P35" s="3734"/>
      <c r="Q35" s="1350" t="str">
        <f t="shared" si="11"/>
        <v>公共部分装修</v>
      </c>
      <c r="R35" s="703" t="s">
        <v>14</v>
      </c>
      <c r="S35" s="704">
        <f t="shared" si="12"/>
        <v>100</v>
      </c>
      <c r="T35" s="703" t="s">
        <v>14</v>
      </c>
      <c r="U35" s="704">
        <f t="shared" si="13"/>
        <v>100</v>
      </c>
      <c r="V35" s="703" t="s">
        <v>14</v>
      </c>
      <c r="W35" s="704">
        <f t="shared" si="14"/>
        <v>100</v>
      </c>
      <c r="X35" s="1353"/>
      <c r="Y35" s="3736"/>
      <c r="Z35" s="1354" t="str">
        <f t="shared" si="15"/>
        <v>公共部分装修</v>
      </c>
      <c r="AA35" s="1351">
        <f t="shared" si="3"/>
        <v>1</v>
      </c>
      <c r="AB35" s="1351">
        <f t="shared" si="4"/>
        <v>1</v>
      </c>
      <c r="AC35" s="1351">
        <f t="shared" si="5"/>
        <v>1</v>
      </c>
    </row>
    <row r="36" spans="1:29" ht="15">
      <c r="A36" s="423"/>
      <c r="B36" s="375" t="s">
        <v>1783</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34"/>
      <c r="Q36" s="1350" t="str">
        <f t="shared" si="11"/>
        <v>成新度</v>
      </c>
      <c r="R36" s="703" t="s">
        <v>14</v>
      </c>
      <c r="S36" s="704" t="e">
        <f t="shared" si="12"/>
        <v>#N/A</v>
      </c>
      <c r="T36" s="703" t="s">
        <v>14</v>
      </c>
      <c r="U36" s="704" t="e">
        <f t="shared" si="13"/>
        <v>#N/A</v>
      </c>
      <c r="V36" s="703" t="s">
        <v>14</v>
      </c>
      <c r="W36" s="704" t="e">
        <f t="shared" si="14"/>
        <v>#N/A</v>
      </c>
      <c r="X36" s="1353"/>
      <c r="Y36" s="3736"/>
      <c r="Z36" s="1354" t="str">
        <f t="shared" si="15"/>
        <v>成新度</v>
      </c>
      <c r="AA36" s="1351" t="e">
        <f t="shared" si="3"/>
        <v>#N/A</v>
      </c>
      <c r="AB36" s="1351" t="e">
        <f t="shared" si="4"/>
        <v>#N/A</v>
      </c>
      <c r="AC36" s="1351" t="e">
        <f t="shared" si="5"/>
        <v>#N/A</v>
      </c>
    </row>
    <row r="37" spans="1:29" s="108" customFormat="1" ht="15">
      <c r="A37" s="424"/>
      <c r="B37" s="375" t="s">
        <v>1784</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0"/>
      <c r="M37" s="2711"/>
      <c r="N37" s="2711"/>
      <c r="O37" s="2711"/>
      <c r="P37" s="3734"/>
      <c r="Q37" s="1341" t="str">
        <f t="shared" si="11"/>
        <v>市政基础设施</v>
      </c>
      <c r="R37" s="699" t="s">
        <v>14</v>
      </c>
      <c r="S37" s="700">
        <f t="shared" si="12"/>
        <v>100</v>
      </c>
      <c r="T37" s="699" t="s">
        <v>14</v>
      </c>
      <c r="U37" s="700">
        <f t="shared" si="13"/>
        <v>100</v>
      </c>
      <c r="V37" s="699" t="s">
        <v>14</v>
      </c>
      <c r="W37" s="700">
        <f t="shared" si="14"/>
        <v>100</v>
      </c>
      <c r="X37" s="701"/>
      <c r="Y37" s="3736"/>
      <c r="Z37" s="52" t="str">
        <f t="shared" si="15"/>
        <v>市政基础设施</v>
      </c>
      <c r="AA37" s="702">
        <f t="shared" si="3"/>
        <v>1</v>
      </c>
      <c r="AB37" s="702">
        <f t="shared" si="4"/>
        <v>1</v>
      </c>
      <c r="AC37" s="702">
        <f t="shared" si="5"/>
        <v>1</v>
      </c>
    </row>
    <row r="38" spans="1:29" ht="15">
      <c r="A38" s="423"/>
      <c r="B38" s="375" t="s">
        <v>1785</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5"/>
      <c r="M38" s="2709"/>
      <c r="N38" s="2709"/>
      <c r="O38" s="2709"/>
      <c r="P38" s="3734" t="s">
        <v>1693</v>
      </c>
      <c r="Q38" s="1350" t="str">
        <f t="shared" si="11"/>
        <v>业态</v>
      </c>
      <c r="R38" s="703" t="s">
        <v>14</v>
      </c>
      <c r="S38" s="704">
        <f t="shared" si="12"/>
        <v>100</v>
      </c>
      <c r="T38" s="703" t="s">
        <v>14</v>
      </c>
      <c r="U38" s="704">
        <f t="shared" si="13"/>
        <v>100</v>
      </c>
      <c r="V38" s="703" t="s">
        <v>14</v>
      </c>
      <c r="W38" s="704">
        <f t="shared" si="14"/>
        <v>100</v>
      </c>
      <c r="X38" s="1353"/>
      <c r="Y38" s="3736" t="s">
        <v>1693</v>
      </c>
      <c r="Z38" s="1354" t="str">
        <f t="shared" si="15"/>
        <v>业态</v>
      </c>
      <c r="AA38" s="1351">
        <f t="shared" si="3"/>
        <v>1</v>
      </c>
      <c r="AB38" s="1351">
        <f t="shared" si="4"/>
        <v>1</v>
      </c>
      <c r="AC38" s="1351">
        <f t="shared" si="5"/>
        <v>1</v>
      </c>
    </row>
    <row r="39" spans="1:29" ht="15">
      <c r="A39" s="423"/>
      <c r="B39" s="375" t="s">
        <v>1786</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5"/>
      <c r="M39" s="2709"/>
      <c r="N39" s="2709"/>
      <c r="O39" s="2709"/>
      <c r="P39" s="3734"/>
      <c r="Q39" s="1350" t="str">
        <f t="shared" si="11"/>
        <v>层高</v>
      </c>
      <c r="R39" s="703" t="s">
        <v>14</v>
      </c>
      <c r="S39" s="704">
        <f t="shared" si="12"/>
        <v>100</v>
      </c>
      <c r="T39" s="703" t="s">
        <v>14</v>
      </c>
      <c r="U39" s="704">
        <f t="shared" si="13"/>
        <v>100</v>
      </c>
      <c r="V39" s="703" t="s">
        <v>14</v>
      </c>
      <c r="W39" s="704">
        <f t="shared" si="14"/>
        <v>100</v>
      </c>
      <c r="X39" s="1353"/>
      <c r="Y39" s="3736"/>
      <c r="Z39" s="1354" t="str">
        <f t="shared" si="15"/>
        <v>层高</v>
      </c>
      <c r="AA39" s="1351">
        <f t="shared" si="3"/>
        <v>1</v>
      </c>
      <c r="AB39" s="1351">
        <f t="shared" si="4"/>
        <v>1</v>
      </c>
      <c r="AC39" s="1351">
        <f t="shared" si="5"/>
        <v>1</v>
      </c>
    </row>
    <row r="40" spans="1:29" ht="15">
      <c r="A40" s="423"/>
      <c r="B40" s="375" t="s">
        <v>1787</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34"/>
      <c r="Q40" s="1350" t="str">
        <f t="shared" si="11"/>
        <v>单套建筑面积</v>
      </c>
      <c r="R40" s="703" t="s">
        <v>14</v>
      </c>
      <c r="S40" s="704">
        <f t="shared" si="12"/>
        <v>100</v>
      </c>
      <c r="T40" s="703" t="s">
        <v>14</v>
      </c>
      <c r="U40" s="704">
        <f t="shared" si="13"/>
        <v>100</v>
      </c>
      <c r="V40" s="703" t="s">
        <v>14</v>
      </c>
      <c r="W40" s="704">
        <f t="shared" si="14"/>
        <v>100</v>
      </c>
      <c r="X40" s="1353"/>
      <c r="Y40" s="3736"/>
      <c r="Z40" s="1354" t="str">
        <f t="shared" si="15"/>
        <v>单套建筑面积</v>
      </c>
      <c r="AA40" s="1351">
        <f t="shared" si="3"/>
        <v>1</v>
      </c>
      <c r="AB40" s="1351">
        <f t="shared" si="4"/>
        <v>1</v>
      </c>
      <c r="AC40" s="1351">
        <f t="shared" si="5"/>
        <v>1</v>
      </c>
    </row>
    <row r="41" spans="1:29" s="422" customFormat="1" ht="15">
      <c r="A41" s="419"/>
      <c r="B41" s="1352"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34"/>
      <c r="Q41" s="705" t="str">
        <f t="shared" si="11"/>
        <v>进深比</v>
      </c>
      <c r="R41" s="706" t="s">
        <v>14</v>
      </c>
      <c r="S41" s="707">
        <f t="shared" si="12"/>
        <v>100</v>
      </c>
      <c r="T41" s="706" t="s">
        <v>14</v>
      </c>
      <c r="U41" s="707">
        <f t="shared" si="13"/>
        <v>100</v>
      </c>
      <c r="V41" s="706" t="s">
        <v>14</v>
      </c>
      <c r="W41" s="707">
        <f t="shared" si="14"/>
        <v>100</v>
      </c>
      <c r="X41" s="708"/>
      <c r="Y41" s="3736"/>
      <c r="Z41" s="709" t="str">
        <f t="shared" si="15"/>
        <v>进深比</v>
      </c>
      <c r="AA41" s="1351">
        <f t="shared" si="3"/>
        <v>1</v>
      </c>
      <c r="AB41" s="1351">
        <f t="shared" si="4"/>
        <v>1</v>
      </c>
      <c r="AC41" s="1351">
        <f t="shared" si="5"/>
        <v>1</v>
      </c>
    </row>
    <row r="42" spans="1:29" ht="15">
      <c r="A42" s="423"/>
      <c r="B42" s="375" t="s">
        <v>1789</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5"/>
      <c r="M42" s="2709"/>
      <c r="N42" s="2709"/>
      <c r="O42" s="2709"/>
      <c r="P42" s="3734"/>
      <c r="Q42" s="1350" t="str">
        <f t="shared" si="11"/>
        <v>内部装修</v>
      </c>
      <c r="R42" s="703" t="s">
        <v>14</v>
      </c>
      <c r="S42" s="704">
        <f t="shared" si="12"/>
        <v>100</v>
      </c>
      <c r="T42" s="703" t="s">
        <v>14</v>
      </c>
      <c r="U42" s="704">
        <f t="shared" si="13"/>
        <v>100</v>
      </c>
      <c r="V42" s="703" t="s">
        <v>14</v>
      </c>
      <c r="W42" s="704">
        <f t="shared" si="14"/>
        <v>100</v>
      </c>
      <c r="X42" s="1353"/>
      <c r="Y42" s="3736"/>
      <c r="Z42" s="1354" t="str">
        <f t="shared" si="15"/>
        <v>内部装修</v>
      </c>
      <c r="AA42" s="1351">
        <f t="shared" si="3"/>
        <v>1</v>
      </c>
      <c r="AB42" s="1351">
        <f t="shared" si="4"/>
        <v>1</v>
      </c>
      <c r="AC42" s="1351">
        <f t="shared" si="5"/>
        <v>1</v>
      </c>
    </row>
    <row r="43" spans="1:29" ht="15">
      <c r="A43" s="423"/>
      <c r="B43" s="375" t="s">
        <v>1704</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5"/>
      <c r="M43" s="2709"/>
      <c r="N43" s="2709"/>
      <c r="O43" s="2709"/>
      <c r="P43" s="3734"/>
      <c r="Q43" s="1350" t="str">
        <f t="shared" si="11"/>
        <v>内部装修维护情况</v>
      </c>
      <c r="R43" s="703" t="s">
        <v>14</v>
      </c>
      <c r="S43" s="704">
        <f t="shared" si="12"/>
        <v>100</v>
      </c>
      <c r="T43" s="703" t="s">
        <v>14</v>
      </c>
      <c r="U43" s="704">
        <f t="shared" si="13"/>
        <v>100</v>
      </c>
      <c r="V43" s="703" t="s">
        <v>14</v>
      </c>
      <c r="W43" s="704">
        <f t="shared" si="14"/>
        <v>100</v>
      </c>
      <c r="X43" s="1353"/>
      <c r="Y43" s="373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34"/>
      <c r="Q44" s="1341">
        <f t="shared" si="11"/>
        <v>111</v>
      </c>
      <c r="R44" s="699" t="s">
        <v>14</v>
      </c>
      <c r="S44" s="700">
        <f t="shared" si="12"/>
        <v>100</v>
      </c>
      <c r="T44" s="699" t="s">
        <v>14</v>
      </c>
      <c r="U44" s="700">
        <f t="shared" si="13"/>
        <v>100</v>
      </c>
      <c r="V44" s="699" t="s">
        <v>14</v>
      </c>
      <c r="W44" s="700">
        <f t="shared" si="14"/>
        <v>100</v>
      </c>
      <c r="X44" s="701"/>
      <c r="Y44" s="373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34"/>
      <c r="Q45" s="1350">
        <f t="shared" si="11"/>
        <v>111</v>
      </c>
      <c r="R45" s="703" t="s">
        <v>14</v>
      </c>
      <c r="S45" s="704">
        <f t="shared" si="12"/>
        <v>100</v>
      </c>
      <c r="T45" s="703" t="s">
        <v>14</v>
      </c>
      <c r="U45" s="704">
        <f t="shared" si="13"/>
        <v>100</v>
      </c>
      <c r="V45" s="703" t="s">
        <v>14</v>
      </c>
      <c r="W45" s="704">
        <f t="shared" si="14"/>
        <v>100</v>
      </c>
      <c r="X45" s="1353"/>
      <c r="Y45" s="373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35"/>
      <c r="Q46" s="1350">
        <f t="shared" si="11"/>
        <v>111</v>
      </c>
      <c r="R46" s="703" t="s">
        <v>14</v>
      </c>
      <c r="S46" s="704">
        <f t="shared" si="12"/>
        <v>100</v>
      </c>
      <c r="T46" s="703" t="s">
        <v>14</v>
      </c>
      <c r="U46" s="704">
        <f t="shared" si="13"/>
        <v>100</v>
      </c>
      <c r="V46" s="703" t="s">
        <v>14</v>
      </c>
      <c r="W46" s="704">
        <f t="shared" si="14"/>
        <v>100</v>
      </c>
      <c r="X46" s="1353"/>
      <c r="Y46" s="3737"/>
      <c r="Z46" s="1354">
        <f t="shared" si="15"/>
        <v>111</v>
      </c>
      <c r="AA46" s="1351">
        <f t="shared" si="3"/>
        <v>1</v>
      </c>
      <c r="AB46" s="1351">
        <f t="shared" si="4"/>
        <v>1</v>
      </c>
      <c r="AC46" s="1351">
        <f t="shared" si="5"/>
        <v>1</v>
      </c>
    </row>
    <row r="47" spans="1:29" ht="15">
      <c r="A47" s="430" t="s">
        <v>1705</v>
      </c>
      <c r="B47" s="431"/>
      <c r="C47" s="1152" t="s">
        <v>0</v>
      </c>
      <c r="D47" s="1153"/>
      <c r="E47" s="1154"/>
      <c r="F47" s="1155"/>
      <c r="G47" s="1156"/>
      <c r="H47" s="1157"/>
      <c r="I47" s="1154"/>
      <c r="J47" s="1157"/>
      <c r="K47" s="712"/>
      <c r="L47" s="2717"/>
      <c r="M47" s="2718"/>
      <c r="N47" s="2709"/>
      <c r="O47" s="2718"/>
      <c r="P47" s="3729" t="str">
        <f>A47</f>
        <v>成交单价（元/平方米）</v>
      </c>
      <c r="Q47" s="3729"/>
      <c r="R47" s="3724">
        <f>E47</f>
        <v>0</v>
      </c>
      <c r="S47" s="3724"/>
      <c r="T47" s="3724">
        <f>G47</f>
        <v>0</v>
      </c>
      <c r="U47" s="3724"/>
      <c r="V47" s="3724">
        <f>I47</f>
        <v>0</v>
      </c>
      <c r="W47" s="3724"/>
      <c r="X47" s="688"/>
      <c r="Y47" s="710"/>
      <c r="Z47" s="688"/>
      <c r="AA47" s="688"/>
      <c r="AB47" s="688"/>
      <c r="AC47" s="688"/>
    </row>
    <row r="48" spans="1:29" ht="15.75" thickBot="1">
      <c r="A48" s="437" t="s">
        <v>1790</v>
      </c>
      <c r="B48" s="438"/>
      <c r="C48" s="1158" t="e">
        <f>R49</f>
        <v>#DIV/0!</v>
      </c>
      <c r="D48" s="2315" t="s">
        <v>2133</v>
      </c>
      <c r="E48" s="1159" t="e">
        <f>R48</f>
        <v>#DIV/0!</v>
      </c>
      <c r="F48" s="2316"/>
      <c r="G48" s="1158" t="e">
        <f>T48</f>
        <v>#DIV/0!</v>
      </c>
      <c r="H48" s="2316"/>
      <c r="I48" s="1159" t="e">
        <f>V48</f>
        <v>#DIV/0!</v>
      </c>
      <c r="J48" s="2316"/>
      <c r="K48" s="2318">
        <f>F48+H48+J48</f>
        <v>0</v>
      </c>
      <c r="L48" s="2717"/>
      <c r="M48" s="2718"/>
      <c r="N48" s="2709"/>
      <c r="O48" s="2718"/>
      <c r="P48" s="3729" t="str">
        <f>A48</f>
        <v>比较价值（元/平方米）</v>
      </c>
      <c r="Q48" s="3729"/>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88"/>
      <c r="Y48" s="688"/>
      <c r="Z48" s="688"/>
      <c r="AA48" s="688"/>
      <c r="AB48" s="688"/>
      <c r="AC48" s="688"/>
    </row>
    <row r="49" spans="1:29" ht="15.75" thickBot="1">
      <c r="A49" s="441" t="s">
        <v>1791</v>
      </c>
      <c r="B49" s="442"/>
      <c r="C49" s="1161" t="e">
        <f>R49</f>
        <v>#DIV/0!</v>
      </c>
      <c r="D49" s="1161"/>
      <c r="E49" s="1161"/>
      <c r="F49" s="1161"/>
      <c r="G49" s="1161"/>
      <c r="H49" s="1161"/>
      <c r="I49" s="1161"/>
      <c r="J49" s="1161"/>
      <c r="K49" s="713"/>
      <c r="L49" s="2717"/>
      <c r="M49" s="2718"/>
      <c r="N49" s="2709"/>
      <c r="O49" s="2718"/>
      <c r="P49" s="3726" t="str">
        <f>A49</f>
        <v>估价对象XX用房的比较价值（楼面单价，元/平方米）</v>
      </c>
      <c r="Q49" s="3727"/>
      <c r="R49" s="3728" t="e">
        <f>IF(F1="售价",ROUND(IF(D48="简单平均",AVERAGE(R48:V48),R48*F48+T48*H48+V48*J48),0),ROUND(IF(D48="简单平均",AVERAGE(R48:V48),R48*F48+T48*H48+V48*J48),1))</f>
        <v>#DIV/0!</v>
      </c>
      <c r="S49" s="3728"/>
      <c r="T49" s="3728"/>
      <c r="U49" s="3728"/>
      <c r="V49" s="3728"/>
      <c r="W49" s="3728"/>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1792</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1793</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1794</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1795</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7" customFormat="1" ht="15">
      <c r="A58" s="454" t="s">
        <v>1676</v>
      </c>
      <c r="B58" s="455"/>
      <c r="C58" s="1182" t="str">
        <f>YEAR(C7)&amp;"-"&amp;MONTH(C7)</f>
        <v>2023-4</v>
      </c>
      <c r="D58" s="1183">
        <f>EDATE(C58,-1)</f>
        <v>44986</v>
      </c>
      <c r="E58" s="1183">
        <f t="shared" ref="E58:N58" si="16">EDATE(D58,-1)</f>
        <v>44958</v>
      </c>
      <c r="F58" s="1183">
        <f t="shared" si="16"/>
        <v>44927</v>
      </c>
      <c r="G58" s="1183">
        <f t="shared" si="16"/>
        <v>44896</v>
      </c>
      <c r="H58" s="1183">
        <f t="shared" si="16"/>
        <v>44866</v>
      </c>
      <c r="I58" s="1183">
        <f t="shared" si="16"/>
        <v>44835</v>
      </c>
      <c r="J58" s="1183">
        <f t="shared" si="16"/>
        <v>44805</v>
      </c>
      <c r="K58" s="1183">
        <f t="shared" si="16"/>
        <v>44774</v>
      </c>
      <c r="L58" s="1183">
        <f t="shared" si="16"/>
        <v>44743</v>
      </c>
      <c r="M58" s="1183">
        <f t="shared" si="16"/>
        <v>44713</v>
      </c>
      <c r="N58" s="1183">
        <f t="shared" si="16"/>
        <v>44682</v>
      </c>
      <c r="O58" s="1183">
        <f>EDATE(N58,-1)</f>
        <v>44652</v>
      </c>
      <c r="P58" s="2733"/>
      <c r="Q58" s="2734"/>
      <c r="R58" s="2734"/>
      <c r="S58" s="2734"/>
      <c r="T58" s="2734"/>
      <c r="U58" s="2734"/>
      <c r="V58" s="2734"/>
      <c r="W58" s="2734"/>
      <c r="X58" s="2734"/>
      <c r="Y58" s="2734"/>
      <c r="Z58" s="2734"/>
      <c r="AA58" s="2734"/>
      <c r="AB58" s="2734"/>
      <c r="AC58" s="2734"/>
    </row>
    <row r="59" spans="1:29" s="108" customFormat="1" ht="15">
      <c r="A59" s="458"/>
      <c r="B59" s="459"/>
      <c r="C59" s="1181">
        <v>100</v>
      </c>
      <c r="D59" s="461"/>
      <c r="E59" s="461"/>
      <c r="F59" s="461"/>
      <c r="G59" s="461"/>
      <c r="H59" s="461"/>
      <c r="I59" s="461"/>
      <c r="J59" s="461"/>
      <c r="K59" s="461"/>
      <c r="L59" s="461"/>
      <c r="M59" s="462"/>
      <c r="N59" s="461"/>
      <c r="O59" s="462"/>
      <c r="P59" s="2735"/>
      <c r="Q59" s="2655"/>
      <c r="R59" s="2655"/>
      <c r="S59" s="2655"/>
      <c r="T59" s="2655"/>
      <c r="U59" s="2655"/>
      <c r="V59" s="2655"/>
      <c r="W59" s="2655"/>
      <c r="X59" s="2655"/>
      <c r="Y59" s="2655"/>
      <c r="Z59" s="2655"/>
      <c r="AA59" s="2655"/>
      <c r="AB59" s="2655"/>
      <c r="AC59" s="2655"/>
    </row>
    <row r="60" spans="1:29" s="108" customFormat="1" ht="15.75" thickBot="1">
      <c r="A60" s="464" t="s">
        <v>1713</v>
      </c>
      <c r="B60" s="465"/>
      <c r="C60" s="466"/>
      <c r="D60" s="467"/>
      <c r="E60" s="467"/>
      <c r="F60" s="467"/>
      <c r="G60" s="467"/>
      <c r="H60" s="467"/>
      <c r="I60" s="467"/>
      <c r="J60" s="467"/>
      <c r="K60" s="467"/>
      <c r="L60" s="467"/>
      <c r="M60" s="468"/>
      <c r="N60" s="467"/>
      <c r="O60" s="468"/>
      <c r="P60" s="2735"/>
      <c r="Q60" s="2732"/>
      <c r="R60" s="2655"/>
      <c r="S60" s="2655"/>
      <c r="T60" s="2655"/>
      <c r="U60" s="2655"/>
      <c r="V60" s="2655"/>
      <c r="W60" s="2655"/>
      <c r="X60" s="2655"/>
      <c r="Y60" s="2655"/>
      <c r="Z60" s="2655"/>
      <c r="AA60" s="2655"/>
      <c r="AB60" s="2655"/>
      <c r="AC60" s="2655"/>
    </row>
    <row r="61" spans="1:29" s="108" customFormat="1" ht="15">
      <c r="A61" s="470" t="s">
        <v>1678</v>
      </c>
      <c r="B61" s="459"/>
      <c r="C61" s="471" t="s">
        <v>1773</v>
      </c>
      <c r="D61" s="472"/>
      <c r="E61" s="472"/>
      <c r="F61" s="472"/>
      <c r="G61" s="472"/>
      <c r="H61" s="472"/>
      <c r="I61" s="472"/>
      <c r="J61" s="472"/>
      <c r="K61" s="472"/>
      <c r="L61" s="473"/>
      <c r="M61" s="474"/>
      <c r="N61" s="2745"/>
      <c r="O61" s="2745"/>
      <c r="P61" s="2736"/>
      <c r="Q61" s="2732"/>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5"/>
      <c r="S62" s="2655"/>
      <c r="T62" s="2655"/>
      <c r="U62" s="2655"/>
      <c r="V62" s="2655"/>
      <c r="W62" s="2655"/>
      <c r="X62" s="2655"/>
      <c r="Y62" s="2655"/>
      <c r="Z62" s="2655"/>
      <c r="AA62" s="2655"/>
      <c r="AB62" s="2655"/>
      <c r="AC62" s="2655"/>
    </row>
    <row r="63" spans="1:29">
      <c r="A63" s="476" t="s">
        <v>1716</v>
      </c>
      <c r="B63" s="477" t="s">
        <v>1682</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1685</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1686</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1687</v>
      </c>
      <c r="B76" s="477" t="s">
        <v>1717</v>
      </c>
      <c r="C76" s="522" t="s">
        <v>1718</v>
      </c>
      <c r="D76" s="522" t="s">
        <v>1719</v>
      </c>
      <c r="E76" s="522" t="s">
        <v>1720</v>
      </c>
      <c r="F76" s="522" t="s">
        <v>1721</v>
      </c>
      <c r="G76" s="522" t="s">
        <v>1722</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1723</v>
      </c>
      <c r="C78" s="527" t="s">
        <v>1718</v>
      </c>
      <c r="D78" s="527" t="s">
        <v>1719</v>
      </c>
      <c r="E78" s="527" t="s">
        <v>1720</v>
      </c>
      <c r="F78" s="527" t="s">
        <v>1721</v>
      </c>
      <c r="G78" s="527" t="s">
        <v>1722</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1724</v>
      </c>
      <c r="C80" s="527" t="s">
        <v>1718</v>
      </c>
      <c r="D80" s="527" t="s">
        <v>1719</v>
      </c>
      <c r="E80" s="527" t="s">
        <v>1720</v>
      </c>
      <c r="F80" s="527" t="s">
        <v>1721</v>
      </c>
      <c r="G80" s="527" t="s">
        <v>1722</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1776</v>
      </c>
      <c r="C82" s="608" t="s">
        <v>1796</v>
      </c>
      <c r="D82" s="608" t="s">
        <v>1797</v>
      </c>
      <c r="E82" s="608" t="s">
        <v>1798</v>
      </c>
      <c r="F82" s="608" t="s">
        <v>1799</v>
      </c>
      <c r="G82" s="608" t="s">
        <v>1800</v>
      </c>
      <c r="H82" s="488"/>
      <c r="I82" s="488"/>
      <c r="J82" s="488"/>
      <c r="K82" s="488"/>
      <c r="L82" s="488"/>
      <c r="M82" s="1127"/>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1730</v>
      </c>
      <c r="C84" s="527" t="s">
        <v>1718</v>
      </c>
      <c r="D84" s="527" t="s">
        <v>1719</v>
      </c>
      <c r="E84" s="527" t="s">
        <v>1720</v>
      </c>
      <c r="F84" s="527" t="s">
        <v>1721</v>
      </c>
      <c r="G84" s="527" t="s">
        <v>1722</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1801</v>
      </c>
      <c r="C86" s="503"/>
      <c r="D86" s="503"/>
      <c r="E86" s="503"/>
      <c r="F86" s="503"/>
      <c r="G86" s="503"/>
      <c r="H86" s="503"/>
      <c r="I86" s="503"/>
      <c r="J86" s="503"/>
      <c r="K86" s="503"/>
      <c r="L86" s="529"/>
      <c r="M86" s="530"/>
      <c r="N86" s="2745"/>
      <c r="O86" s="2745"/>
      <c r="P86" s="2737"/>
      <c r="Q86" s="2732"/>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5"/>
      <c r="G88" s="503"/>
      <c r="H88" s="503"/>
      <c r="I88" s="503"/>
      <c r="J88" s="503"/>
      <c r="K88" s="503"/>
      <c r="L88" s="503"/>
      <c r="M88" s="530"/>
      <c r="N88" s="2745"/>
      <c r="O88" s="2745"/>
      <c r="P88" s="2737"/>
      <c r="Q88" s="2732"/>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7"/>
      <c r="O89" s="2747"/>
      <c r="P89" s="2737"/>
      <c r="Q89" s="2732"/>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6"/>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1691</v>
      </c>
      <c r="B100" s="477" t="s">
        <v>1802</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1734</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1735</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1737</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1739</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1803</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1804</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1805</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1806</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1741</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8" priority="21" stopIfTrue="1" operator="containsText" text="超过">
      <formula>NOT(ISERROR(SEARCH("超过",F52)))</formula>
    </cfRule>
  </conditionalFormatting>
  <conditionalFormatting sqref="H54">
    <cfRule type="containsText" dxfId="147" priority="19" stopIfTrue="1" operator="containsText" text="超过">
      <formula>NOT(ISERROR(SEARCH("超过",H54)))</formula>
    </cfRule>
  </conditionalFormatting>
  <conditionalFormatting sqref="F54">
    <cfRule type="containsText" dxfId="146" priority="18" stopIfTrue="1" operator="containsText" text="超过">
      <formula>NOT(ISERROR(SEARCH("超过",F54)))</formula>
    </cfRule>
  </conditionalFormatting>
  <conditionalFormatting sqref="F53 H53">
    <cfRule type="containsText" dxfId="145" priority="17" stopIfTrue="1" operator="containsText" text="超过">
      <formula>NOT(ISERROR(SEARCH("超过",F53)))</formula>
    </cfRule>
  </conditionalFormatting>
  <conditionalFormatting sqref="E52">
    <cfRule type="expression" dxfId="144" priority="16" stopIfTrue="1">
      <formula>$F$52="超过30%"</formula>
    </cfRule>
  </conditionalFormatting>
  <conditionalFormatting sqref="E53">
    <cfRule type="expression" dxfId="143" priority="15" stopIfTrue="1">
      <formula>$F$53="超过20%"</formula>
    </cfRule>
  </conditionalFormatting>
  <conditionalFormatting sqref="E54">
    <cfRule type="expression" dxfId="142" priority="14" stopIfTrue="1">
      <formula>$F$54="超过30%"</formula>
    </cfRule>
  </conditionalFormatting>
  <conditionalFormatting sqref="G54">
    <cfRule type="expression" dxfId="141" priority="13" stopIfTrue="1">
      <formula>$H$54="超过30%"</formula>
    </cfRule>
  </conditionalFormatting>
  <conditionalFormatting sqref="G52">
    <cfRule type="expression" dxfId="140" priority="12" stopIfTrue="1">
      <formula>$H$52="超过30%"</formula>
    </cfRule>
  </conditionalFormatting>
  <conditionalFormatting sqref="G53">
    <cfRule type="expression" dxfId="139" priority="11" stopIfTrue="1">
      <formula>$H$53="超过20%"</formula>
    </cfRule>
  </conditionalFormatting>
  <conditionalFormatting sqref="J52">
    <cfRule type="containsText" dxfId="138" priority="10" stopIfTrue="1" operator="containsText" text="超过">
      <formula>NOT(ISERROR(SEARCH("超过",J52)))</formula>
    </cfRule>
  </conditionalFormatting>
  <conditionalFormatting sqref="J54">
    <cfRule type="containsText" dxfId="137" priority="9" stopIfTrue="1" operator="containsText" text="超过">
      <formula>NOT(ISERROR(SEARCH("超过",J54)))</formula>
    </cfRule>
  </conditionalFormatting>
  <conditionalFormatting sqref="J53">
    <cfRule type="containsText" dxfId="136" priority="8" stopIfTrue="1" operator="containsText" text="超过">
      <formula>NOT(ISERROR(SEARCH("超过",J53)))</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O22" zoomScale="80" zoomScaleNormal="70" zoomScaleSheetLayoutView="80" workbookViewId="0">
      <selection activeCell="R50" sqref="R50:W50"/>
    </sheetView>
  </sheetViews>
  <sheetFormatPr defaultColWidth="9" defaultRowHeight="14.25"/>
  <cols>
    <col min="1" max="1" width="10.5" style="357" customWidth="1"/>
    <col min="2" max="2" width="15.75" style="357" customWidth="1"/>
    <col min="3" max="3" width="2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1807</v>
      </c>
      <c r="C1" s="1222" t="s">
        <v>1659</v>
      </c>
      <c r="D1" s="1223" t="s">
        <v>21</v>
      </c>
      <c r="E1" s="3428" t="s">
        <v>3498</v>
      </c>
      <c r="F1" s="1877" t="s">
        <v>3394</v>
      </c>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f>IF(E1="项目模式",IF(C2="——",ROUND(C50*D3/10000,0),ROUND(C50*D3/10000,0)-D2),IF(E1="单套模式",IF(C2="——",ROUND(C50*D3/10000,4),ROUND(C50*D3/10000,4)-D2)))</f>
        <v>12941</v>
      </c>
      <c r="C2" s="1879" t="s">
        <v>43</v>
      </c>
      <c r="D2" s="1113" t="e">
        <f ca="1">IF(E1="项目模式",SUMIF(INDIRECT("'"&amp;F2&amp;"'"&amp;"!A:A"),"承租人权益价值",INDIRECT("'"&amp;F2&amp;"'"&amp;"!c:c")),SUMIF(INDIRECT("'"&amp;F2&amp;"'"&amp;"!A:A"),"承租人权益价值（单套）",INDIRECT("'"&amp;F2&amp;"'"&amp;"!c:c")))</f>
        <v>#REF!</v>
      </c>
      <c r="E2" s="1880" t="s">
        <v>1460</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1461</v>
      </c>
      <c r="B3" s="558">
        <f>IF(C2="——",C50,ROUND(B2*10000/D3,0))</f>
        <v>37447</v>
      </c>
      <c r="C3" s="354" t="s">
        <v>1765</v>
      </c>
      <c r="D3" s="353">
        <f>IF(D1="",'数据-汇总表'!E3,SUMIF('数据-汇总表'!$C19:$C33,D1,'数据-汇总表'!$E19:$E33))</f>
        <v>3455.7</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47" t="s">
        <v>1772</v>
      </c>
      <c r="Q4" s="3748"/>
      <c r="R4" s="3741" t="s">
        <v>1768</v>
      </c>
      <c r="S4" s="3742"/>
      <c r="T4" s="3741" t="s">
        <v>1769</v>
      </c>
      <c r="U4" s="3742"/>
      <c r="V4" s="3751" t="s">
        <v>1770</v>
      </c>
      <c r="W4" s="3751"/>
      <c r="X4" s="1956"/>
      <c r="Y4" s="3741" t="s">
        <v>1772</v>
      </c>
      <c r="Z4" s="3742"/>
      <c r="AA4" s="3740" t="s">
        <v>1768</v>
      </c>
      <c r="AB4" s="3740" t="s">
        <v>1769</v>
      </c>
      <c r="AC4" s="3744" t="s">
        <v>1770</v>
      </c>
    </row>
    <row r="5" spans="1:29" ht="15">
      <c r="A5" s="358"/>
      <c r="B5" s="359"/>
      <c r="C5" s="3705" t="s">
        <v>1670</v>
      </c>
      <c r="D5" s="3706"/>
      <c r="E5" s="3743" t="s">
        <v>3448</v>
      </c>
      <c r="F5" s="3704"/>
      <c r="G5" s="3743" t="s">
        <v>3448</v>
      </c>
      <c r="H5" s="3704"/>
      <c r="I5" s="3743" t="s">
        <v>3448</v>
      </c>
      <c r="J5" s="3704"/>
      <c r="K5" s="559"/>
      <c r="L5" s="2708"/>
      <c r="M5" s="2709"/>
      <c r="N5" s="2709"/>
      <c r="O5" s="2709"/>
      <c r="P5" s="3749"/>
      <c r="Q5" s="3719"/>
      <c r="R5" s="3701"/>
      <c r="S5" s="3702"/>
      <c r="T5" s="3701"/>
      <c r="U5" s="3702"/>
      <c r="V5" s="3724"/>
      <c r="W5" s="3724"/>
      <c r="X5" s="1353"/>
      <c r="Y5" s="3701"/>
      <c r="Z5" s="3702"/>
      <c r="AA5" s="3695"/>
      <c r="AB5" s="3695"/>
      <c r="AC5" s="3745"/>
    </row>
    <row r="6" spans="1:29" ht="15.75" thickBot="1">
      <c r="A6" s="360"/>
      <c r="B6" s="361"/>
      <c r="C6" s="3707" t="s">
        <v>1674</v>
      </c>
      <c r="D6" s="3708"/>
      <c r="E6" s="3709" t="s">
        <v>1674</v>
      </c>
      <c r="F6" s="3710"/>
      <c r="G6" s="3707" t="s">
        <v>1674</v>
      </c>
      <c r="H6" s="3708"/>
      <c r="I6" s="3707" t="s">
        <v>1674</v>
      </c>
      <c r="J6" s="3708"/>
      <c r="K6" s="559" t="s">
        <v>1675</v>
      </c>
      <c r="L6" s="2708"/>
      <c r="M6" s="2709"/>
      <c r="N6" s="2709"/>
      <c r="O6" s="2709"/>
      <c r="P6" s="3750"/>
      <c r="Q6" s="3721"/>
      <c r="R6" s="3701"/>
      <c r="S6" s="3702"/>
      <c r="T6" s="3722"/>
      <c r="U6" s="3723"/>
      <c r="V6" s="3724"/>
      <c r="W6" s="3724"/>
      <c r="X6" s="1353"/>
      <c r="Y6" s="3722"/>
      <c r="Z6" s="3723"/>
      <c r="AA6" s="3696"/>
      <c r="AB6" s="3696"/>
      <c r="AC6" s="3746"/>
    </row>
    <row r="7" spans="1:29" s="108" customFormat="1" ht="15.75" thickBot="1">
      <c r="A7" s="362" t="s">
        <v>1676</v>
      </c>
      <c r="B7" s="363"/>
      <c r="C7" s="364">
        <f>'数据-取费表'!B2</f>
        <v>45037</v>
      </c>
      <c r="D7" s="365">
        <v>100</v>
      </c>
      <c r="E7" s="366">
        <v>44986</v>
      </c>
      <c r="F7" s="367">
        <f>SUMIF(59:59,YEAR(E7)&amp;"-"&amp;MONTH(E7),60:60)</f>
        <v>100</v>
      </c>
      <c r="G7" s="366">
        <v>44986</v>
      </c>
      <c r="H7" s="365">
        <f>SUMIF(59:59,YEAR(G7)&amp;"-"&amp;MONTH(G7),60:60)</f>
        <v>100</v>
      </c>
      <c r="I7" s="366">
        <v>44986</v>
      </c>
      <c r="J7" s="365">
        <f>SUMIF(59:59,YEAR(I7)&amp;"-"&amp;MONTH(I7),60:60)</f>
        <v>100</v>
      </c>
      <c r="K7" s="560"/>
      <c r="L7" s="2710"/>
      <c r="M7" s="2711"/>
      <c r="N7" s="2711"/>
      <c r="O7" s="2711"/>
      <c r="P7" s="3752" t="s">
        <v>1677</v>
      </c>
      <c r="Q7" s="3725"/>
      <c r="R7" s="699" t="s">
        <v>14</v>
      </c>
      <c r="S7" s="700">
        <f t="shared" ref="S7:S15" si="0">F7</f>
        <v>100</v>
      </c>
      <c r="T7" s="699" t="s">
        <v>14</v>
      </c>
      <c r="U7" s="700">
        <f t="shared" ref="U7:U15" si="1">H7</f>
        <v>100</v>
      </c>
      <c r="V7" s="699" t="s">
        <v>14</v>
      </c>
      <c r="W7" s="700">
        <f t="shared" ref="W7:W15" si="2">J7</f>
        <v>100</v>
      </c>
      <c r="X7" s="701"/>
      <c r="Y7" s="3697" t="s">
        <v>1677</v>
      </c>
      <c r="Z7" s="3698"/>
      <c r="AA7" s="702">
        <f>D7/F7</f>
        <v>1</v>
      </c>
      <c r="AB7" s="702">
        <f>D7/H7</f>
        <v>1</v>
      </c>
      <c r="AC7" s="1957">
        <f>D7/J7</f>
        <v>1</v>
      </c>
    </row>
    <row r="8" spans="1:29" s="108" customFormat="1" ht="15.75" thickBot="1">
      <c r="A8" s="362" t="s">
        <v>1678</v>
      </c>
      <c r="B8" s="363"/>
      <c r="C8" s="368" t="s">
        <v>3395</v>
      </c>
      <c r="D8" s="365">
        <v>100</v>
      </c>
      <c r="E8" s="368" t="s">
        <v>3395</v>
      </c>
      <c r="F8" s="367">
        <f>SUMIF(62:62,E8,63:63)-SUMIF(62:62,C8,63:63)+100</f>
        <v>100</v>
      </c>
      <c r="G8" s="368" t="s">
        <v>3395</v>
      </c>
      <c r="H8" s="365">
        <f>SUMIF(62:62,G8,63:63)-SUMIF(62:62,C8,63:63)+100</f>
        <v>100</v>
      </c>
      <c r="I8" s="368" t="s">
        <v>3395</v>
      </c>
      <c r="J8" s="365">
        <f>SUMIF(62:62,I8,63:63)-SUMIF(62:62,C8,63:63)+100</f>
        <v>100</v>
      </c>
      <c r="K8" s="560"/>
      <c r="L8" s="2710"/>
      <c r="M8" s="2711"/>
      <c r="N8" s="2711"/>
      <c r="O8" s="2711"/>
      <c r="P8" s="3752" t="s">
        <v>1680</v>
      </c>
      <c r="Q8" s="3698"/>
      <c r="R8" s="699" t="s">
        <v>14</v>
      </c>
      <c r="S8" s="700">
        <f t="shared" si="0"/>
        <v>100</v>
      </c>
      <c r="T8" s="699" t="s">
        <v>14</v>
      </c>
      <c r="U8" s="700">
        <f t="shared" si="1"/>
        <v>100</v>
      </c>
      <c r="V8" s="699" t="s">
        <v>14</v>
      </c>
      <c r="W8" s="700">
        <f t="shared" si="2"/>
        <v>100</v>
      </c>
      <c r="X8" s="701"/>
      <c r="Y8" s="3697" t="s">
        <v>1680</v>
      </c>
      <c r="Z8" s="3698"/>
      <c r="AA8" s="702">
        <f t="shared" ref="AA8:AA47" si="3">D8/F8</f>
        <v>1</v>
      </c>
      <c r="AB8" s="702">
        <f t="shared" ref="AB8:AB47" si="4">D8/H8</f>
        <v>1</v>
      </c>
      <c r="AC8" s="1957">
        <f t="shared" ref="AC8:AC47" si="5">D8/J8</f>
        <v>1</v>
      </c>
    </row>
    <row r="9" spans="1:29" s="108" customFormat="1">
      <c r="A9" s="369" t="s">
        <v>1681</v>
      </c>
      <c r="B9" s="63" t="s">
        <v>1682</v>
      </c>
      <c r="C9" s="3443" t="s">
        <v>3396</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711" t="s">
        <v>1683</v>
      </c>
      <c r="Q9" s="1341" t="str">
        <f t="shared" ref="Q9:Q15" si="6">B9</f>
        <v>用途</v>
      </c>
      <c r="R9" s="699" t="s">
        <v>14</v>
      </c>
      <c r="S9" s="700">
        <f t="shared" si="0"/>
        <v>100</v>
      </c>
      <c r="T9" s="699" t="s">
        <v>14</v>
      </c>
      <c r="U9" s="700">
        <f t="shared" si="1"/>
        <v>100</v>
      </c>
      <c r="V9" s="699" t="s">
        <v>14</v>
      </c>
      <c r="W9" s="700">
        <f t="shared" si="2"/>
        <v>100</v>
      </c>
      <c r="X9" s="701"/>
      <c r="Y9" s="3649" t="s">
        <v>1684</v>
      </c>
      <c r="Z9" s="52" t="str">
        <f t="shared" ref="Z9:Z15" si="7">Q9</f>
        <v>用途</v>
      </c>
      <c r="AA9" s="702">
        <f t="shared" si="3"/>
        <v>1</v>
      </c>
      <c r="AB9" s="702">
        <f t="shared" si="4"/>
        <v>1</v>
      </c>
      <c r="AC9" s="1957">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2"/>
      <c r="M10" s="2713"/>
      <c r="N10" s="2713"/>
      <c r="O10" s="2713"/>
      <c r="P10" s="3711"/>
      <c r="Q10" s="1341" t="str">
        <f t="shared" si="6"/>
        <v>土地使用年限（年）</v>
      </c>
      <c r="R10" s="699" t="s">
        <v>14</v>
      </c>
      <c r="S10" s="700">
        <f t="shared" si="0"/>
        <v>100</v>
      </c>
      <c r="T10" s="699" t="s">
        <v>14</v>
      </c>
      <c r="U10" s="700">
        <f t="shared" si="1"/>
        <v>100</v>
      </c>
      <c r="V10" s="699" t="s">
        <v>14</v>
      </c>
      <c r="W10" s="700">
        <f t="shared" si="2"/>
        <v>100</v>
      </c>
      <c r="X10" s="701"/>
      <c r="Y10" s="3649"/>
      <c r="Z10" s="52" t="str">
        <f t="shared" si="7"/>
        <v>土地使用年限（年）</v>
      </c>
      <c r="AA10" s="702">
        <f t="shared" si="3"/>
        <v>1</v>
      </c>
      <c r="AB10" s="702">
        <f t="shared" si="4"/>
        <v>1</v>
      </c>
      <c r="AC10" s="1957">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11"/>
      <c r="Q11" s="1341" t="str">
        <f t="shared" si="6"/>
        <v>容积率</v>
      </c>
      <c r="R11" s="699" t="s">
        <v>14</v>
      </c>
      <c r="S11" s="700">
        <f t="shared" si="0"/>
        <v>100</v>
      </c>
      <c r="T11" s="699" t="s">
        <v>14</v>
      </c>
      <c r="U11" s="700">
        <f t="shared" si="1"/>
        <v>100</v>
      </c>
      <c r="V11" s="699" t="s">
        <v>14</v>
      </c>
      <c r="W11" s="700">
        <f t="shared" si="2"/>
        <v>100</v>
      </c>
      <c r="X11" s="701"/>
      <c r="Y11" s="364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0"/>
      <c r="M12" s="2711"/>
      <c r="N12" s="2711"/>
      <c r="O12" s="2711"/>
      <c r="P12" s="3711"/>
      <c r="Q12" s="1341">
        <f t="shared" si="6"/>
        <v>111</v>
      </c>
      <c r="R12" s="699" t="s">
        <v>14</v>
      </c>
      <c r="S12" s="700">
        <f t="shared" si="0"/>
        <v>100</v>
      </c>
      <c r="T12" s="699" t="s">
        <v>14</v>
      </c>
      <c r="U12" s="700">
        <f t="shared" si="1"/>
        <v>100</v>
      </c>
      <c r="V12" s="699" t="s">
        <v>14</v>
      </c>
      <c r="W12" s="700">
        <f t="shared" si="2"/>
        <v>100</v>
      </c>
      <c r="X12" s="701"/>
      <c r="Y12" s="364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5"/>
      <c r="M13" s="2709"/>
      <c r="N13" s="2709"/>
      <c r="O13" s="2709"/>
      <c r="P13" s="3711"/>
      <c r="Q13" s="1341">
        <f t="shared" si="6"/>
        <v>111</v>
      </c>
      <c r="R13" s="699" t="s">
        <v>14</v>
      </c>
      <c r="S13" s="700">
        <f t="shared" si="0"/>
        <v>100</v>
      </c>
      <c r="T13" s="699" t="s">
        <v>14</v>
      </c>
      <c r="U13" s="700">
        <f t="shared" si="1"/>
        <v>100</v>
      </c>
      <c r="V13" s="699" t="s">
        <v>14</v>
      </c>
      <c r="W13" s="700">
        <f t="shared" si="2"/>
        <v>100</v>
      </c>
      <c r="X13" s="701"/>
      <c r="Y13" s="364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5"/>
      <c r="M14" s="2709"/>
      <c r="N14" s="2709"/>
      <c r="O14" s="2709"/>
      <c r="P14" s="3711"/>
      <c r="Q14" s="1341">
        <f t="shared" si="6"/>
        <v>111</v>
      </c>
      <c r="R14" s="699" t="s">
        <v>14</v>
      </c>
      <c r="S14" s="700">
        <f t="shared" si="0"/>
        <v>100</v>
      </c>
      <c r="T14" s="699" t="s">
        <v>14</v>
      </c>
      <c r="U14" s="700">
        <f t="shared" si="1"/>
        <v>100</v>
      </c>
      <c r="V14" s="699" t="s">
        <v>14</v>
      </c>
      <c r="W14" s="700">
        <f t="shared" si="2"/>
        <v>100</v>
      </c>
      <c r="X14" s="701"/>
      <c r="Y14" s="3649"/>
      <c r="Z14" s="52">
        <f t="shared" si="7"/>
        <v>111</v>
      </c>
      <c r="AA14" s="702">
        <f t="shared" si="3"/>
        <v>1</v>
      </c>
      <c r="AB14" s="702">
        <f t="shared" si="4"/>
        <v>1</v>
      </c>
      <c r="AC14" s="1957">
        <f t="shared" si="5"/>
        <v>1</v>
      </c>
    </row>
    <row r="15" spans="1:29" ht="77.25" customHeight="1">
      <c r="A15" s="391" t="s">
        <v>1687</v>
      </c>
      <c r="B15" s="577" t="s">
        <v>1808</v>
      </c>
      <c r="C15" s="1959" t="str">
        <f>估价对象房地状况!C5</f>
        <v>估价对象位于朝阳门商圈，周边办公楼项目较多，有联合大厦、华普国际大厦等写字楼，入驻率高，办公集聚程度较好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5"/>
      <c r="M15" s="2709"/>
      <c r="N15" s="2709"/>
      <c r="O15" s="2709"/>
      <c r="P15" s="3738" t="s">
        <v>1688</v>
      </c>
      <c r="Q15" s="1350" t="str">
        <f t="shared" si="6"/>
        <v>办公集聚程度</v>
      </c>
      <c r="R15" s="703" t="s">
        <v>14</v>
      </c>
      <c r="S15" s="704">
        <f t="shared" si="0"/>
        <v>100</v>
      </c>
      <c r="T15" s="703" t="s">
        <v>14</v>
      </c>
      <c r="U15" s="704">
        <f t="shared" si="1"/>
        <v>100</v>
      </c>
      <c r="V15" s="703" t="s">
        <v>14</v>
      </c>
      <c r="W15" s="704">
        <f t="shared" si="2"/>
        <v>100</v>
      </c>
      <c r="X15" s="1353"/>
      <c r="Y15" s="3731" t="s">
        <v>1688</v>
      </c>
      <c r="Z15" s="1354" t="str">
        <f t="shared" si="7"/>
        <v>办公集聚程度</v>
      </c>
      <c r="AA15" s="1351">
        <f t="shared" si="3"/>
        <v>1</v>
      </c>
      <c r="AB15" s="1351">
        <f t="shared" si="4"/>
        <v>1</v>
      </c>
      <c r="AC15" s="1960">
        <f t="shared" si="5"/>
        <v>1</v>
      </c>
    </row>
    <row r="16" spans="1:29" ht="15">
      <c r="A16" s="379"/>
      <c r="B16" s="578"/>
      <c r="C16" s="1902" t="s">
        <v>3397</v>
      </c>
      <c r="D16" s="399"/>
      <c r="E16" s="1902" t="s">
        <v>3397</v>
      </c>
      <c r="F16" s="399"/>
      <c r="G16" s="1902" t="s">
        <v>3397</v>
      </c>
      <c r="H16" s="401"/>
      <c r="I16" s="1902" t="s">
        <v>3397</v>
      </c>
      <c r="J16" s="399"/>
      <c r="K16" s="564"/>
      <c r="L16" s="2715"/>
      <c r="M16" s="2709"/>
      <c r="N16" s="2709"/>
      <c r="O16" s="2709"/>
      <c r="P16" s="3739"/>
      <c r="Q16" s="1350"/>
      <c r="R16" s="703"/>
      <c r="S16" s="704"/>
      <c r="T16" s="703"/>
      <c r="U16" s="704"/>
      <c r="V16" s="703"/>
      <c r="W16" s="704"/>
      <c r="X16" s="1353"/>
      <c r="Y16" s="3732"/>
      <c r="Z16" s="1354"/>
      <c r="AA16" s="1351">
        <v>1</v>
      </c>
      <c r="AB16" s="1351">
        <v>1</v>
      </c>
      <c r="AC16" s="1960">
        <v>1</v>
      </c>
    </row>
    <row r="17" spans="1:29" ht="65.25" customHeight="1">
      <c r="A17" s="379"/>
      <c r="B17" s="579" t="s">
        <v>1257</v>
      </c>
      <c r="C17" s="1961" t="str">
        <f>估价对象房地状况!C6</f>
        <v>周边有75、110、420路及地铁2号、6号线，周边道路密集，停车便捷程度，综合评价交通便捷度好</v>
      </c>
      <c r="D17" s="401">
        <v>100</v>
      </c>
      <c r="E17" s="405"/>
      <c r="F17" s="401">
        <f>SUMIF(79:79,E18,80:80)-SUMIF(79:79,C18,80:80)+100</f>
        <v>100</v>
      </c>
      <c r="G17" s="403"/>
      <c r="H17" s="406">
        <f>SUMIF(79:79,G18,80:80)-SUMIF(79:79,C18,80:80)+100</f>
        <v>100</v>
      </c>
      <c r="I17" s="403"/>
      <c r="J17" s="406">
        <f>SUMIF(79:79,I18,80:80)-SUMIF(79:79,C18,80:80)+100</f>
        <v>100</v>
      </c>
      <c r="K17" s="563">
        <v>2</v>
      </c>
      <c r="L17" s="2715"/>
      <c r="M17" s="2709"/>
      <c r="N17" s="2709"/>
      <c r="O17" s="2709"/>
      <c r="P17" s="3739"/>
      <c r="Q17" s="1350" t="str">
        <f>B17</f>
        <v>交通便捷度</v>
      </c>
      <c r="R17" s="703" t="s">
        <v>14</v>
      </c>
      <c r="S17" s="704">
        <f>F17</f>
        <v>100</v>
      </c>
      <c r="T17" s="703" t="s">
        <v>14</v>
      </c>
      <c r="U17" s="704">
        <f>H17</f>
        <v>100</v>
      </c>
      <c r="V17" s="703" t="s">
        <v>14</v>
      </c>
      <c r="W17" s="704">
        <f>J17</f>
        <v>100</v>
      </c>
      <c r="X17" s="1353"/>
      <c r="Y17" s="3732"/>
      <c r="Z17" s="1354" t="str">
        <f>Q17</f>
        <v>交通便捷度</v>
      </c>
      <c r="AA17" s="1351">
        <f t="shared" si="3"/>
        <v>1</v>
      </c>
      <c r="AB17" s="1351">
        <f t="shared" si="4"/>
        <v>1</v>
      </c>
      <c r="AC17" s="1960">
        <f t="shared" si="5"/>
        <v>1</v>
      </c>
    </row>
    <row r="18" spans="1:29" ht="15">
      <c r="A18" s="379"/>
      <c r="B18" s="580"/>
      <c r="C18" s="1962" t="s">
        <v>3449</v>
      </c>
      <c r="D18" s="401"/>
      <c r="E18" s="1962" t="s">
        <v>3449</v>
      </c>
      <c r="F18" s="401"/>
      <c r="G18" s="1962" t="s">
        <v>3449</v>
      </c>
      <c r="H18" s="399"/>
      <c r="I18" s="1962" t="s">
        <v>3449</v>
      </c>
      <c r="J18" s="399"/>
      <c r="K18" s="564"/>
      <c r="L18" s="2715"/>
      <c r="M18" s="2709"/>
      <c r="N18" s="2709"/>
      <c r="O18" s="2709"/>
      <c r="P18" s="3739"/>
      <c r="Q18" s="1350"/>
      <c r="R18" s="703"/>
      <c r="S18" s="704"/>
      <c r="T18" s="703"/>
      <c r="U18" s="704"/>
      <c r="V18" s="703"/>
      <c r="W18" s="704"/>
      <c r="X18" s="1353"/>
      <c r="Y18" s="3732"/>
      <c r="Z18" s="1354"/>
      <c r="AA18" s="1351">
        <v>1</v>
      </c>
      <c r="AB18" s="1351">
        <v>1</v>
      </c>
      <c r="AC18" s="1960">
        <v>1</v>
      </c>
    </row>
    <row r="19" spans="1:29" ht="63.75" customHeight="1">
      <c r="A19" s="379"/>
      <c r="B19" s="579" t="s">
        <v>1809</v>
      </c>
      <c r="C19" s="1961" t="str">
        <f>估价对象房地状况!C7</f>
        <v>估价对象所在区域银行、购物场所、学校等公共配套设施齐备，综合评价公共配套设施水平好。</v>
      </c>
      <c r="D19" s="406">
        <v>100</v>
      </c>
      <c r="E19" s="410"/>
      <c r="F19" s="406">
        <f>SUMIF(81:81,E20,82:82)-SUMIF(81:81,C20,82:82)+100</f>
        <v>100</v>
      </c>
      <c r="G19" s="408"/>
      <c r="H19" s="401">
        <f>SUMIF(81:81,G20,82:82)-SUMIF(81:81,C20,82:82)+100</f>
        <v>100</v>
      </c>
      <c r="I19" s="408"/>
      <c r="J19" s="401">
        <f>SUMIF(81:81,I20,82:82)-SUMIF(81:81,C20,82:82)+100</f>
        <v>100</v>
      </c>
      <c r="K19" s="563">
        <v>2</v>
      </c>
      <c r="L19" s="2715"/>
      <c r="M19" s="2709"/>
      <c r="N19" s="2709"/>
      <c r="O19" s="2709"/>
      <c r="P19" s="3739"/>
      <c r="Q19" s="1350" t="str">
        <f>B19</f>
        <v>公共配套设施</v>
      </c>
      <c r="R19" s="703" t="s">
        <v>14</v>
      </c>
      <c r="S19" s="704">
        <f>F19</f>
        <v>100</v>
      </c>
      <c r="T19" s="703" t="s">
        <v>14</v>
      </c>
      <c r="U19" s="704">
        <f>H19</f>
        <v>100</v>
      </c>
      <c r="V19" s="703" t="s">
        <v>14</v>
      </c>
      <c r="W19" s="704">
        <f>J19</f>
        <v>100</v>
      </c>
      <c r="X19" s="1353"/>
      <c r="Y19" s="3732"/>
      <c r="Z19" s="1354" t="str">
        <f>Q19</f>
        <v>公共配套设施</v>
      </c>
      <c r="AA19" s="1351">
        <f t="shared" si="3"/>
        <v>1</v>
      </c>
      <c r="AB19" s="1351">
        <f t="shared" si="4"/>
        <v>1</v>
      </c>
      <c r="AC19" s="1960">
        <f t="shared" si="5"/>
        <v>1</v>
      </c>
    </row>
    <row r="20" spans="1:29" ht="15">
      <c r="A20" s="379"/>
      <c r="B20" s="580"/>
      <c r="C20" s="1902" t="s">
        <v>3449</v>
      </c>
      <c r="D20" s="399"/>
      <c r="E20" s="1902" t="s">
        <v>3449</v>
      </c>
      <c r="F20" s="399"/>
      <c r="G20" s="1902" t="s">
        <v>3449</v>
      </c>
      <c r="H20" s="399"/>
      <c r="I20" s="1902" t="s">
        <v>3449</v>
      </c>
      <c r="J20" s="399"/>
      <c r="K20" s="564"/>
      <c r="L20" s="2715"/>
      <c r="M20" s="2709"/>
      <c r="N20" s="2709"/>
      <c r="O20" s="2709"/>
      <c r="P20" s="3739"/>
      <c r="Q20" s="1350"/>
      <c r="R20" s="703"/>
      <c r="S20" s="704"/>
      <c r="T20" s="703"/>
      <c r="U20" s="704"/>
      <c r="V20" s="703"/>
      <c r="W20" s="704"/>
      <c r="X20" s="1353"/>
      <c r="Y20" s="3732"/>
      <c r="Z20" s="1354"/>
      <c r="AA20" s="1351">
        <v>1</v>
      </c>
      <c r="AB20" s="1351">
        <v>1</v>
      </c>
      <c r="AC20" s="1960">
        <v>1</v>
      </c>
    </row>
    <row r="21" spans="1:29" ht="27" customHeight="1">
      <c r="A21" s="379"/>
      <c r="B21" s="581" t="s">
        <v>1810</v>
      </c>
      <c r="C21" s="1961" t="str">
        <f>估价对象房地状况!C8</f>
        <v>估价对象所在区域基础设施水平“七通一平</v>
      </c>
      <c r="D21" s="401">
        <v>100</v>
      </c>
      <c r="E21" s="410"/>
      <c r="F21" s="406">
        <f>SUMIF(83:83,E22,84:84)-SUMIF(83:83,C22,84:84)+100</f>
        <v>100</v>
      </c>
      <c r="G21" s="408"/>
      <c r="H21" s="401">
        <f>SUMIF(83:83,G22,84:84)-SUMIF(83:83,C22,84:84)+100</f>
        <v>100</v>
      </c>
      <c r="I21" s="408"/>
      <c r="J21" s="401">
        <f>SUMIF(83:83,I22,84:84)-SUMIF(83:83,C22,84:84)+100</f>
        <v>100</v>
      </c>
      <c r="K21" s="563">
        <v>2</v>
      </c>
      <c r="L21" s="2715"/>
      <c r="M21" s="2709"/>
      <c r="N21" s="2709"/>
      <c r="O21" s="2709"/>
      <c r="P21" s="3739"/>
      <c r="Q21" s="1350" t="str">
        <f>B21</f>
        <v>基础设施水平</v>
      </c>
      <c r="R21" s="703" t="s">
        <v>14</v>
      </c>
      <c r="S21" s="704">
        <f>F21</f>
        <v>100</v>
      </c>
      <c r="T21" s="703" t="s">
        <v>14</v>
      </c>
      <c r="U21" s="704">
        <f>H21</f>
        <v>100</v>
      </c>
      <c r="V21" s="703" t="s">
        <v>14</v>
      </c>
      <c r="W21" s="704">
        <f>J21</f>
        <v>100</v>
      </c>
      <c r="X21" s="1353"/>
      <c r="Y21" s="3732"/>
      <c r="Z21" s="1354" t="str">
        <f>Q21</f>
        <v>基础设施水平</v>
      </c>
      <c r="AA21" s="1351">
        <f t="shared" ref="AA21" si="8">D21/F21</f>
        <v>1</v>
      </c>
      <c r="AB21" s="1351">
        <f t="shared" ref="AB21" si="9">D21/H21</f>
        <v>1</v>
      </c>
      <c r="AC21" s="1960">
        <f t="shared" ref="AC21" si="10">D21/J21</f>
        <v>1</v>
      </c>
    </row>
    <row r="22" spans="1:29" ht="15">
      <c r="A22" s="379"/>
      <c r="B22" s="581"/>
      <c r="C22" s="1962" t="s">
        <v>3398</v>
      </c>
      <c r="D22" s="399"/>
      <c r="E22" s="1962" t="s">
        <v>3398</v>
      </c>
      <c r="F22" s="399"/>
      <c r="G22" s="1962" t="s">
        <v>3398</v>
      </c>
      <c r="H22" s="399"/>
      <c r="I22" s="1962" t="s">
        <v>3398</v>
      </c>
      <c r="J22" s="399"/>
      <c r="K22" s="1128"/>
      <c r="L22" s="2715"/>
      <c r="M22" s="2709"/>
      <c r="N22" s="2709"/>
      <c r="O22" s="2709"/>
      <c r="P22" s="3739"/>
      <c r="Q22" s="1350"/>
      <c r="R22" s="703"/>
      <c r="S22" s="704"/>
      <c r="T22" s="703"/>
      <c r="U22" s="704"/>
      <c r="V22" s="703"/>
      <c r="W22" s="704"/>
      <c r="X22" s="1353"/>
      <c r="Y22" s="3732"/>
      <c r="Z22" s="1354"/>
      <c r="AA22" s="1351">
        <v>1</v>
      </c>
      <c r="AB22" s="1351">
        <v>1</v>
      </c>
      <c r="AC22" s="1960">
        <v>1</v>
      </c>
    </row>
    <row r="23" spans="1:29" ht="60" customHeight="1">
      <c r="A23" s="379"/>
      <c r="B23" s="579" t="s">
        <v>1811</v>
      </c>
      <c r="C23" s="1961" t="str">
        <f>估价对象房地状况!C9</f>
        <v>区域内有东城职业大学、日坛公园、富国海底世界等自然及人文环境，综合评价自然及人文环境状况较好。</v>
      </c>
      <c r="D23" s="401">
        <v>100</v>
      </c>
      <c r="E23" s="405"/>
      <c r="F23" s="401">
        <f>SUMIF(85:85,E24,86:86)-SUMIF(85:85,C24,86:86)+100</f>
        <v>100</v>
      </c>
      <c r="G23" s="403"/>
      <c r="H23" s="401">
        <f>SUMIF(85:85,G24,86:86)-SUMIF(85:85,C24,86:86)+100</f>
        <v>100</v>
      </c>
      <c r="I23" s="403"/>
      <c r="J23" s="401">
        <f>SUMIF(85:85,I24,86:86)-SUMIF(85:85,C24,86:86)+100</f>
        <v>100</v>
      </c>
      <c r="K23" s="563">
        <v>2</v>
      </c>
      <c r="L23" s="2715"/>
      <c r="M23" s="2709"/>
      <c r="N23" s="2709"/>
      <c r="O23" s="2709"/>
      <c r="P23" s="3739"/>
      <c r="Q23" s="1350" t="str">
        <f>B23</f>
        <v>环境质量</v>
      </c>
      <c r="R23" s="703" t="s">
        <v>14</v>
      </c>
      <c r="S23" s="704">
        <f>F23</f>
        <v>100</v>
      </c>
      <c r="T23" s="703" t="s">
        <v>14</v>
      </c>
      <c r="U23" s="704">
        <f>H23</f>
        <v>100</v>
      </c>
      <c r="V23" s="703" t="s">
        <v>14</v>
      </c>
      <c r="W23" s="704">
        <f>J23</f>
        <v>100</v>
      </c>
      <c r="X23" s="1353"/>
      <c r="Y23" s="3732"/>
      <c r="Z23" s="1354" t="str">
        <f>Q23</f>
        <v>环境质量</v>
      </c>
      <c r="AA23" s="1351">
        <f t="shared" si="3"/>
        <v>1</v>
      </c>
      <c r="AB23" s="1351">
        <f t="shared" si="4"/>
        <v>1</v>
      </c>
      <c r="AC23" s="1960">
        <f t="shared" si="5"/>
        <v>1</v>
      </c>
    </row>
    <row r="24" spans="1:29" ht="15">
      <c r="A24" s="379"/>
      <c r="B24" s="581"/>
      <c r="C24" s="1902" t="s">
        <v>3397</v>
      </c>
      <c r="D24" s="399"/>
      <c r="E24" s="1902" t="s">
        <v>3397</v>
      </c>
      <c r="F24" s="399"/>
      <c r="G24" s="1902" t="s">
        <v>3397</v>
      </c>
      <c r="H24" s="399"/>
      <c r="I24" s="1902" t="s">
        <v>3397</v>
      </c>
      <c r="J24" s="399"/>
      <c r="K24" s="564"/>
      <c r="L24" s="2715"/>
      <c r="M24" s="2709"/>
      <c r="N24" s="2709"/>
      <c r="O24" s="2709"/>
      <c r="P24" s="3739"/>
      <c r="Q24" s="1350"/>
      <c r="R24" s="703"/>
      <c r="S24" s="704"/>
      <c r="T24" s="703"/>
      <c r="U24" s="704"/>
      <c r="V24" s="703"/>
      <c r="W24" s="704"/>
      <c r="X24" s="1353"/>
      <c r="Y24" s="3732"/>
      <c r="Z24" s="1354"/>
      <c r="AA24" s="1351">
        <v>1</v>
      </c>
      <c r="AB24" s="1351">
        <v>1</v>
      </c>
      <c r="AC24" s="1960">
        <v>1</v>
      </c>
    </row>
    <row r="25" spans="1:29" ht="27">
      <c r="A25" s="358"/>
      <c r="B25" s="579" t="s">
        <v>1812</v>
      </c>
      <c r="C25" s="3454" t="s">
        <v>3451</v>
      </c>
      <c r="D25" s="386">
        <v>100</v>
      </c>
      <c r="E25" s="3454" t="s">
        <v>3451</v>
      </c>
      <c r="F25" s="386">
        <f>SUMIF(87:87,E26,88:88)-SUMIF(87:87,C26,88:88)+100</f>
        <v>100</v>
      </c>
      <c r="G25" s="3454" t="s">
        <v>3451</v>
      </c>
      <c r="H25" s="386">
        <f>SUMIF(87:87,G26,88:88)-SUMIF(87:87,C26,88:88)+100</f>
        <v>100</v>
      </c>
      <c r="I25" s="3454" t="s">
        <v>3451</v>
      </c>
      <c r="J25" s="386">
        <f>SUMIF(87:87,I26,88:88)-SUMIF(87:87,C26,88:88)+100</f>
        <v>100</v>
      </c>
      <c r="K25" s="563">
        <v>2</v>
      </c>
      <c r="L25" s="2715"/>
      <c r="M25" s="2709"/>
      <c r="N25" s="2709"/>
      <c r="O25" s="2709"/>
      <c r="P25" s="3739"/>
      <c r="Q25" s="1350" t="str">
        <f>B25</f>
        <v>毗邻道路的类型与等级</v>
      </c>
      <c r="R25" s="703" t="s">
        <v>14</v>
      </c>
      <c r="S25" s="704">
        <f>F25</f>
        <v>100</v>
      </c>
      <c r="T25" s="703" t="s">
        <v>14</v>
      </c>
      <c r="U25" s="704">
        <f>H25</f>
        <v>100</v>
      </c>
      <c r="V25" s="703" t="s">
        <v>14</v>
      </c>
      <c r="W25" s="704">
        <f>J25</f>
        <v>100</v>
      </c>
      <c r="X25" s="1353"/>
      <c r="Y25" s="3732"/>
      <c r="Z25" s="1354" t="str">
        <f>Q25</f>
        <v>毗邻道路的类型与等级</v>
      </c>
      <c r="AA25" s="1351">
        <f t="shared" si="3"/>
        <v>1</v>
      </c>
      <c r="AB25" s="1351">
        <f t="shared" si="4"/>
        <v>1</v>
      </c>
      <c r="AC25" s="1960">
        <f t="shared" si="5"/>
        <v>1</v>
      </c>
    </row>
    <row r="26" spans="1:29" ht="15">
      <c r="A26" s="358"/>
      <c r="B26" s="580"/>
      <c r="C26" s="582" t="s">
        <v>3450</v>
      </c>
      <c r="D26" s="386"/>
      <c r="E26" s="582" t="s">
        <v>3450</v>
      </c>
      <c r="F26" s="386"/>
      <c r="G26" s="582" t="s">
        <v>3450</v>
      </c>
      <c r="H26" s="386"/>
      <c r="I26" s="582" t="s">
        <v>3450</v>
      </c>
      <c r="J26" s="386"/>
      <c r="K26" s="564"/>
      <c r="L26" s="2715"/>
      <c r="M26" s="2709"/>
      <c r="N26" s="2709"/>
      <c r="O26" s="2709"/>
      <c r="P26" s="3739"/>
      <c r="Q26" s="1350"/>
      <c r="R26" s="703"/>
      <c r="S26" s="704"/>
      <c r="T26" s="703"/>
      <c r="U26" s="704"/>
      <c r="V26" s="703"/>
      <c r="W26" s="704"/>
      <c r="X26" s="1353"/>
      <c r="Y26" s="3732"/>
      <c r="Z26" s="1354"/>
      <c r="AA26" s="1351">
        <v>1</v>
      </c>
      <c r="AB26" s="1351">
        <v>1</v>
      </c>
      <c r="AC26" s="1960">
        <v>1</v>
      </c>
    </row>
    <row r="27" spans="1:29" ht="15">
      <c r="A27" s="379"/>
      <c r="B27" s="580" t="s">
        <v>1780</v>
      </c>
      <c r="C27" s="582" t="s">
        <v>3494</v>
      </c>
      <c r="D27" s="386">
        <v>100</v>
      </c>
      <c r="E27" s="582" t="s">
        <v>3405</v>
      </c>
      <c r="F27" s="386">
        <f>SUMIF(89:89,E27,90:90)-SUMIF(89:89,C27,90:90)+100</f>
        <v>102</v>
      </c>
      <c r="G27" s="582" t="s">
        <v>3405</v>
      </c>
      <c r="H27" s="386">
        <f>SUMIF(89:89,G27,90:90)-SUMIF(89:89,C27,90:90)+100</f>
        <v>102</v>
      </c>
      <c r="I27" s="582" t="s">
        <v>3405</v>
      </c>
      <c r="J27" s="386">
        <f>SUMIF(89:89,I27,90:90)-SUMIF(89:89,C27,90:90)+100</f>
        <v>102</v>
      </c>
      <c r="K27" s="561">
        <v>2</v>
      </c>
      <c r="L27" s="2715"/>
      <c r="M27" s="2709"/>
      <c r="N27" s="2709"/>
      <c r="O27" s="2709"/>
      <c r="P27" s="3739"/>
      <c r="Q27" s="1350" t="str">
        <f t="shared" ref="Q27:Q47" si="11">B27</f>
        <v>楼层</v>
      </c>
      <c r="R27" s="703" t="s">
        <v>14</v>
      </c>
      <c r="S27" s="704">
        <f>F27</f>
        <v>102</v>
      </c>
      <c r="T27" s="703" t="s">
        <v>14</v>
      </c>
      <c r="U27" s="704">
        <f>H27</f>
        <v>102</v>
      </c>
      <c r="V27" s="703" t="s">
        <v>14</v>
      </c>
      <c r="W27" s="704">
        <f>J27</f>
        <v>102</v>
      </c>
      <c r="X27" s="1353"/>
      <c r="Y27" s="3732"/>
      <c r="Z27" s="1354" t="str">
        <f>Q27</f>
        <v>楼层</v>
      </c>
      <c r="AA27" s="1351">
        <f t="shared" si="3"/>
        <v>0.98039215686274506</v>
      </c>
      <c r="AB27" s="1351">
        <f t="shared" si="4"/>
        <v>0.98039215686274506</v>
      </c>
      <c r="AC27" s="1960">
        <f t="shared" si="5"/>
        <v>0.98039215686274506</v>
      </c>
    </row>
    <row r="28" spans="1:29" s="108" customFormat="1" ht="15">
      <c r="A28" s="382"/>
      <c r="B28" s="579" t="s">
        <v>1813</v>
      </c>
      <c r="C28" s="1963"/>
      <c r="D28" s="413">
        <v>100</v>
      </c>
      <c r="E28" s="1954"/>
      <c r="F28" s="413">
        <f>SUMIF(91:91,E28,92:92)-SUMIF(91:91,C28,92:92)+100</f>
        <v>100</v>
      </c>
      <c r="G28" s="1963"/>
      <c r="H28" s="413">
        <f>SUMIF(91:91,G28,92:92)-SUMIF(91:91,C28,92:92)+100</f>
        <v>100</v>
      </c>
      <c r="I28" s="1954"/>
      <c r="J28" s="413">
        <f>SUMIF(91:91,I28,92:92)-SUMIF(91:91,C28,92:92)+100</f>
        <v>100</v>
      </c>
      <c r="K28" s="561"/>
      <c r="L28" s="2710"/>
      <c r="M28" s="2711"/>
      <c r="N28" s="2711"/>
      <c r="O28" s="2711"/>
      <c r="P28" s="3739"/>
      <c r="Q28" s="1341" t="str">
        <f t="shared" si="11"/>
        <v>朝向</v>
      </c>
      <c r="R28" s="699" t="s">
        <v>14</v>
      </c>
      <c r="S28" s="700">
        <f>F28</f>
        <v>100</v>
      </c>
      <c r="T28" s="699" t="s">
        <v>14</v>
      </c>
      <c r="U28" s="700">
        <f>H28</f>
        <v>100</v>
      </c>
      <c r="V28" s="699" t="s">
        <v>14</v>
      </c>
      <c r="W28" s="700">
        <f>J28</f>
        <v>100</v>
      </c>
      <c r="X28" s="701"/>
      <c r="Y28" s="373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5"/>
      <c r="M29" s="2709"/>
      <c r="N29" s="2709"/>
      <c r="O29" s="2709"/>
      <c r="P29" s="3739"/>
      <c r="Q29" s="1350">
        <f t="shared" si="11"/>
        <v>111</v>
      </c>
      <c r="R29" s="703" t="s">
        <v>14</v>
      </c>
      <c r="S29" s="704">
        <f t="shared" ref="S29:S47" si="12">F29</f>
        <v>100</v>
      </c>
      <c r="T29" s="703" t="s">
        <v>14</v>
      </c>
      <c r="U29" s="704">
        <f t="shared" ref="U29:U47" si="13">H29</f>
        <v>100</v>
      </c>
      <c r="V29" s="703" t="s">
        <v>14</v>
      </c>
      <c r="W29" s="704">
        <f t="shared" ref="W29:W47" si="14">J29</f>
        <v>100</v>
      </c>
      <c r="X29" s="1353"/>
      <c r="Y29" s="373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5"/>
      <c r="M30" s="2709"/>
      <c r="N30" s="2709"/>
      <c r="O30" s="2709"/>
      <c r="P30" s="3739"/>
      <c r="Q30" s="1350">
        <f t="shared" si="11"/>
        <v>111</v>
      </c>
      <c r="R30" s="703" t="s">
        <v>14</v>
      </c>
      <c r="S30" s="704">
        <f t="shared" si="12"/>
        <v>100</v>
      </c>
      <c r="T30" s="703" t="s">
        <v>14</v>
      </c>
      <c r="U30" s="704">
        <f t="shared" si="13"/>
        <v>100</v>
      </c>
      <c r="V30" s="703" t="s">
        <v>14</v>
      </c>
      <c r="W30" s="704">
        <f t="shared" si="14"/>
        <v>100</v>
      </c>
      <c r="X30" s="1353"/>
      <c r="Y30" s="373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5"/>
      <c r="M31" s="2709"/>
      <c r="N31" s="2709"/>
      <c r="O31" s="2709"/>
      <c r="P31" s="3739"/>
      <c r="Q31" s="1350">
        <f t="shared" si="11"/>
        <v>111</v>
      </c>
      <c r="R31" s="703" t="s">
        <v>14</v>
      </c>
      <c r="S31" s="704">
        <f t="shared" si="12"/>
        <v>100</v>
      </c>
      <c r="T31" s="703" t="s">
        <v>14</v>
      </c>
      <c r="U31" s="704">
        <f t="shared" si="13"/>
        <v>100</v>
      </c>
      <c r="V31" s="703" t="s">
        <v>14</v>
      </c>
      <c r="W31" s="704">
        <f t="shared" si="14"/>
        <v>100</v>
      </c>
      <c r="X31" s="1353"/>
      <c r="Y31" s="3732"/>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5"/>
      <c r="M32" s="2709"/>
      <c r="N32" s="2709"/>
      <c r="O32" s="2709"/>
      <c r="P32" s="3739"/>
      <c r="Q32" s="1350">
        <f t="shared" si="11"/>
        <v>111</v>
      </c>
      <c r="R32" s="703" t="s">
        <v>14</v>
      </c>
      <c r="S32" s="704">
        <f t="shared" si="12"/>
        <v>100</v>
      </c>
      <c r="T32" s="703" t="s">
        <v>14</v>
      </c>
      <c r="U32" s="704">
        <f t="shared" si="13"/>
        <v>100</v>
      </c>
      <c r="V32" s="703" t="s">
        <v>14</v>
      </c>
      <c r="W32" s="704">
        <f t="shared" si="14"/>
        <v>100</v>
      </c>
      <c r="X32" s="1353"/>
      <c r="Y32" s="3732"/>
      <c r="Z32" s="1354">
        <f t="shared" si="15"/>
        <v>111</v>
      </c>
      <c r="AA32" s="1351">
        <f t="shared" si="3"/>
        <v>1</v>
      </c>
      <c r="AB32" s="1351">
        <f t="shared" si="4"/>
        <v>1</v>
      </c>
      <c r="AC32" s="1960">
        <f t="shared" si="5"/>
        <v>1</v>
      </c>
    </row>
    <row r="33" spans="1:29" ht="15">
      <c r="A33" s="391" t="s">
        <v>1691</v>
      </c>
      <c r="B33" s="63" t="s">
        <v>1814</v>
      </c>
      <c r="C33" s="1965" t="s">
        <v>3431</v>
      </c>
      <c r="D33" s="418">
        <v>100</v>
      </c>
      <c r="E33" s="1965" t="s">
        <v>3431</v>
      </c>
      <c r="F33" s="412">
        <f>SUMIF(101:101,E33,102:102)-SUMIF(101:101,C33,102:102)+100</f>
        <v>100</v>
      </c>
      <c r="G33" s="1965" t="s">
        <v>3431</v>
      </c>
      <c r="H33" s="386">
        <f>SUMIF(101:101,G33,102:102)-SUMIF(101:101,C33,102:102)+100</f>
        <v>100</v>
      </c>
      <c r="I33" s="1965" t="s">
        <v>3431</v>
      </c>
      <c r="J33" s="418">
        <f>SUMIF(101:101,I33,102:102)-SUMIF(101:101,C33,102:102)+100</f>
        <v>100</v>
      </c>
      <c r="K33" s="561">
        <v>2</v>
      </c>
      <c r="L33" s="2715"/>
      <c r="M33" s="2709"/>
      <c r="N33" s="2709"/>
      <c r="O33" s="2709"/>
      <c r="P33" s="3733" t="s">
        <v>1693</v>
      </c>
      <c r="Q33" s="1350" t="str">
        <f t="shared" si="11"/>
        <v>建筑类型</v>
      </c>
      <c r="R33" s="703" t="s">
        <v>14</v>
      </c>
      <c r="S33" s="704">
        <f t="shared" si="12"/>
        <v>100</v>
      </c>
      <c r="T33" s="703" t="s">
        <v>14</v>
      </c>
      <c r="U33" s="704">
        <f t="shared" si="13"/>
        <v>100</v>
      </c>
      <c r="V33" s="703" t="s">
        <v>14</v>
      </c>
      <c r="W33" s="704">
        <f t="shared" si="14"/>
        <v>100</v>
      </c>
      <c r="X33" s="1353"/>
      <c r="Y33" s="3736" t="s">
        <v>1693</v>
      </c>
      <c r="Z33" s="1354" t="str">
        <f t="shared" si="15"/>
        <v>建筑类型</v>
      </c>
      <c r="AA33" s="1351">
        <f t="shared" si="3"/>
        <v>1</v>
      </c>
      <c r="AB33" s="1351">
        <f t="shared" si="4"/>
        <v>1</v>
      </c>
      <c r="AC33" s="1960">
        <f t="shared" si="5"/>
        <v>1</v>
      </c>
    </row>
    <row r="34" spans="1:29" s="422" customFormat="1" ht="15">
      <c r="A34" s="419"/>
      <c r="B34" s="375" t="s">
        <v>1694</v>
      </c>
      <c r="C34" s="420">
        <f>'数据-汇总表'!F19</f>
        <v>3455.7</v>
      </c>
      <c r="D34" s="127">
        <v>100</v>
      </c>
      <c r="E34" s="420">
        <v>1870</v>
      </c>
      <c r="F34" s="376">
        <f>LOOKUP(E34,104:104,105:105)-LOOKUP(C34,104:104,105:105)+100</f>
        <v>101</v>
      </c>
      <c r="G34" s="420">
        <v>1372.44</v>
      </c>
      <c r="H34" s="127">
        <f>LOOKUP(G34,104:104,105:105)-LOOKUP(C34,104:104,105:105)+100</f>
        <v>101</v>
      </c>
      <c r="I34" s="420">
        <v>490.45</v>
      </c>
      <c r="J34" s="127">
        <f>LOOKUP(I34,104:104,105:105)-LOOKUP(C34,104:104,105:105)+100</f>
        <v>103</v>
      </c>
      <c r="K34" s="562"/>
      <c r="L34" s="2714"/>
      <c r="M34" s="2716"/>
      <c r="N34" s="2716"/>
      <c r="O34" s="2716"/>
      <c r="P34" s="3734"/>
      <c r="Q34" s="705" t="str">
        <f t="shared" si="11"/>
        <v>项目建筑规模</v>
      </c>
      <c r="R34" s="706" t="s">
        <v>14</v>
      </c>
      <c r="S34" s="707">
        <f t="shared" si="12"/>
        <v>101</v>
      </c>
      <c r="T34" s="706" t="s">
        <v>14</v>
      </c>
      <c r="U34" s="707">
        <f t="shared" si="13"/>
        <v>101</v>
      </c>
      <c r="V34" s="706" t="s">
        <v>14</v>
      </c>
      <c r="W34" s="707">
        <f t="shared" si="14"/>
        <v>103</v>
      </c>
      <c r="X34" s="708"/>
      <c r="Y34" s="3736"/>
      <c r="Z34" s="709" t="str">
        <f t="shared" si="15"/>
        <v>项目建筑规模</v>
      </c>
      <c r="AA34" s="1351">
        <f t="shared" si="3"/>
        <v>0.99009900990099009</v>
      </c>
      <c r="AB34" s="1351">
        <f t="shared" si="4"/>
        <v>0.99009900990099009</v>
      </c>
      <c r="AC34" s="1960">
        <f t="shared" si="5"/>
        <v>0.970873786407767</v>
      </c>
    </row>
    <row r="35" spans="1:29" ht="15">
      <c r="A35" s="423"/>
      <c r="B35" s="375" t="s">
        <v>1695</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15"/>
      <c r="M35" s="2709"/>
      <c r="N35" s="2709"/>
      <c r="O35" s="2709"/>
      <c r="P35" s="3734"/>
      <c r="Q35" s="1350" t="str">
        <f t="shared" si="11"/>
        <v>建筑结构</v>
      </c>
      <c r="R35" s="703" t="s">
        <v>14</v>
      </c>
      <c r="S35" s="704">
        <f t="shared" si="12"/>
        <v>100</v>
      </c>
      <c r="T35" s="703" t="s">
        <v>14</v>
      </c>
      <c r="U35" s="704">
        <f t="shared" si="13"/>
        <v>100</v>
      </c>
      <c r="V35" s="703" t="s">
        <v>14</v>
      </c>
      <c r="W35" s="704">
        <f t="shared" si="14"/>
        <v>100</v>
      </c>
      <c r="X35" s="1353"/>
      <c r="Y35" s="3736"/>
      <c r="Z35" s="1354" t="str">
        <f t="shared" si="15"/>
        <v>建筑结构</v>
      </c>
      <c r="AA35" s="1351">
        <f t="shared" si="3"/>
        <v>1</v>
      </c>
      <c r="AB35" s="1351">
        <f t="shared" si="4"/>
        <v>1</v>
      </c>
      <c r="AC35" s="1960">
        <f t="shared" si="5"/>
        <v>1</v>
      </c>
    </row>
    <row r="36" spans="1:29" ht="15">
      <c r="A36" s="423"/>
      <c r="B36" s="375" t="s">
        <v>1782</v>
      </c>
      <c r="C36" s="411" t="s">
        <v>3432</v>
      </c>
      <c r="D36" s="386">
        <v>100</v>
      </c>
      <c r="E36" s="411" t="s">
        <v>3432</v>
      </c>
      <c r="F36" s="412">
        <f>SUMIF(108:108,E36,109:109)-SUMIF(108:108,C36,109:109)+100</f>
        <v>100</v>
      </c>
      <c r="G36" s="411" t="s">
        <v>3432</v>
      </c>
      <c r="H36" s="386">
        <f>SUMIF(108:108,G36,109:109)-SUMIF(108:108,C36,109:109)+100</f>
        <v>100</v>
      </c>
      <c r="I36" s="411" t="s">
        <v>3432</v>
      </c>
      <c r="J36" s="386">
        <f>SUMIF(108:108,I36,109:109)-SUMIF(108:108,C36,109:109)+100</f>
        <v>100</v>
      </c>
      <c r="K36" s="561">
        <v>2</v>
      </c>
      <c r="L36" s="2715"/>
      <c r="M36" s="2709"/>
      <c r="N36" s="2709"/>
      <c r="O36" s="2709"/>
      <c r="P36" s="3734"/>
      <c r="Q36" s="1350" t="str">
        <f t="shared" si="11"/>
        <v>公共部分装修</v>
      </c>
      <c r="R36" s="703" t="s">
        <v>14</v>
      </c>
      <c r="S36" s="704">
        <f t="shared" si="12"/>
        <v>100</v>
      </c>
      <c r="T36" s="703" t="s">
        <v>14</v>
      </c>
      <c r="U36" s="704">
        <f t="shared" si="13"/>
        <v>100</v>
      </c>
      <c r="V36" s="703" t="s">
        <v>14</v>
      </c>
      <c r="W36" s="704">
        <f t="shared" si="14"/>
        <v>100</v>
      </c>
      <c r="X36" s="1353"/>
      <c r="Y36" s="3736"/>
      <c r="Z36" s="1354" t="str">
        <f t="shared" si="15"/>
        <v>公共部分装修</v>
      </c>
      <c r="AA36" s="1351">
        <f t="shared" si="3"/>
        <v>1</v>
      </c>
      <c r="AB36" s="1351">
        <f t="shared" si="4"/>
        <v>1</v>
      </c>
      <c r="AC36" s="1960">
        <f t="shared" si="5"/>
        <v>1</v>
      </c>
    </row>
    <row r="37" spans="1:29" ht="15">
      <c r="A37" s="423"/>
      <c r="B37" s="375" t="s">
        <v>1783</v>
      </c>
      <c r="C37" s="425">
        <f>'数据-取费表'!Y6</f>
        <v>0.7</v>
      </c>
      <c r="D37" s="386">
        <v>100</v>
      </c>
      <c r="E37" s="425">
        <f>C37</f>
        <v>0.7</v>
      </c>
      <c r="F37" s="412">
        <f>LOOKUP(E37,111:111,112:112)-LOOKUP(C37,111:111,112:112)+100</f>
        <v>100</v>
      </c>
      <c r="G37" s="425">
        <f>E37</f>
        <v>0.7</v>
      </c>
      <c r="H37" s="412">
        <f>LOOKUP(G37,111:111,112:112)-LOOKUP(C37,111:111,112:112)+100</f>
        <v>100</v>
      </c>
      <c r="I37" s="425">
        <f>G37</f>
        <v>0.7</v>
      </c>
      <c r="J37" s="386">
        <f>LOOKUP(I37,111:111,112:112)-LOOKUP(C37,111:111,112:112)+100</f>
        <v>100</v>
      </c>
      <c r="K37" s="561">
        <v>1</v>
      </c>
      <c r="L37" s="2715"/>
      <c r="M37" s="2709"/>
      <c r="N37" s="2709"/>
      <c r="O37" s="2709"/>
      <c r="P37" s="3734"/>
      <c r="Q37" s="1350" t="str">
        <f t="shared" si="11"/>
        <v>成新度</v>
      </c>
      <c r="R37" s="703" t="s">
        <v>14</v>
      </c>
      <c r="S37" s="704">
        <f t="shared" si="12"/>
        <v>100</v>
      </c>
      <c r="T37" s="703" t="s">
        <v>14</v>
      </c>
      <c r="U37" s="704">
        <f t="shared" si="13"/>
        <v>100</v>
      </c>
      <c r="V37" s="703" t="s">
        <v>14</v>
      </c>
      <c r="W37" s="704">
        <f t="shared" si="14"/>
        <v>100</v>
      </c>
      <c r="X37" s="1353"/>
      <c r="Y37" s="3736"/>
      <c r="Z37" s="1354" t="str">
        <f t="shared" si="15"/>
        <v>成新度</v>
      </c>
      <c r="AA37" s="1351">
        <f t="shared" si="3"/>
        <v>1</v>
      </c>
      <c r="AB37" s="1351">
        <f t="shared" si="4"/>
        <v>1</v>
      </c>
      <c r="AC37" s="1960">
        <f t="shared" si="5"/>
        <v>1</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34"/>
      <c r="Q38" s="1341" t="str">
        <f t="shared" si="11"/>
        <v>写字楼等级</v>
      </c>
      <c r="R38" s="699" t="s">
        <v>14</v>
      </c>
      <c r="S38" s="700">
        <f t="shared" si="12"/>
        <v>100</v>
      </c>
      <c r="T38" s="699" t="s">
        <v>14</v>
      </c>
      <c r="U38" s="700">
        <f t="shared" si="13"/>
        <v>100</v>
      </c>
      <c r="V38" s="699" t="s">
        <v>14</v>
      </c>
      <c r="W38" s="700">
        <f t="shared" si="14"/>
        <v>100</v>
      </c>
      <c r="X38" s="701"/>
      <c r="Y38" s="3736"/>
      <c r="Z38" s="52" t="str">
        <f t="shared" si="15"/>
        <v>写字楼等级</v>
      </c>
      <c r="AA38" s="702">
        <f t="shared" si="3"/>
        <v>1</v>
      </c>
      <c r="AB38" s="702">
        <f t="shared" si="4"/>
        <v>1</v>
      </c>
      <c r="AC38" s="1957">
        <f t="shared" si="5"/>
        <v>1</v>
      </c>
    </row>
    <row r="39" spans="1:29" ht="15">
      <c r="A39" s="423"/>
      <c r="B39" s="375" t="s">
        <v>1816</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v>2</v>
      </c>
      <c r="L39" s="2715"/>
      <c r="M39" s="2709"/>
      <c r="N39" s="2709"/>
      <c r="O39" s="2709"/>
      <c r="P39" s="3734" t="s">
        <v>1693</v>
      </c>
      <c r="Q39" s="1350" t="str">
        <f t="shared" si="11"/>
        <v>物业管理</v>
      </c>
      <c r="R39" s="703" t="s">
        <v>14</v>
      </c>
      <c r="S39" s="704">
        <f t="shared" si="12"/>
        <v>100</v>
      </c>
      <c r="T39" s="703" t="s">
        <v>14</v>
      </c>
      <c r="U39" s="704">
        <f t="shared" si="13"/>
        <v>100</v>
      </c>
      <c r="V39" s="703" t="s">
        <v>14</v>
      </c>
      <c r="W39" s="704">
        <f t="shared" si="14"/>
        <v>100</v>
      </c>
      <c r="X39" s="1353"/>
      <c r="Y39" s="3736" t="s">
        <v>1693</v>
      </c>
      <c r="Z39" s="1354" t="str">
        <f t="shared" si="15"/>
        <v>物业管理</v>
      </c>
      <c r="AA39" s="1351">
        <f t="shared" si="3"/>
        <v>1</v>
      </c>
      <c r="AB39" s="1351">
        <f t="shared" si="4"/>
        <v>1</v>
      </c>
      <c r="AC39" s="1960">
        <f t="shared" si="5"/>
        <v>1</v>
      </c>
    </row>
    <row r="40" spans="1:29" ht="15">
      <c r="A40" s="423"/>
      <c r="B40" s="375" t="s">
        <v>1784</v>
      </c>
      <c r="C40" s="411" t="s">
        <v>3433</v>
      </c>
      <c r="D40" s="386">
        <v>100</v>
      </c>
      <c r="E40" s="411" t="s">
        <v>3433</v>
      </c>
      <c r="F40" s="412">
        <f>SUMIF(117:117,E40,118:118)-SUMIF(117:117,C40,118:118)+100</f>
        <v>100</v>
      </c>
      <c r="G40" s="411" t="s">
        <v>3433</v>
      </c>
      <c r="H40" s="386">
        <f>SUMIF(117:117,G40,118:118)-SUMIF(117:117,C40,118:118)+100</f>
        <v>100</v>
      </c>
      <c r="I40" s="411" t="s">
        <v>3433</v>
      </c>
      <c r="J40" s="386">
        <f>SUMIF(117:117,I40,118:118)-SUMIF(117:117,C40,118:118)+100</f>
        <v>100</v>
      </c>
      <c r="K40" s="561">
        <v>1</v>
      </c>
      <c r="L40" s="2715"/>
      <c r="M40" s="2709"/>
      <c r="N40" s="2709"/>
      <c r="O40" s="2709"/>
      <c r="P40" s="3734"/>
      <c r="Q40" s="1350" t="str">
        <f t="shared" si="11"/>
        <v>市政基础设施</v>
      </c>
      <c r="R40" s="703" t="s">
        <v>14</v>
      </c>
      <c r="S40" s="704">
        <f t="shared" si="12"/>
        <v>100</v>
      </c>
      <c r="T40" s="703" t="s">
        <v>14</v>
      </c>
      <c r="U40" s="704">
        <f t="shared" si="13"/>
        <v>100</v>
      </c>
      <c r="V40" s="703" t="s">
        <v>14</v>
      </c>
      <c r="W40" s="704">
        <f t="shared" si="14"/>
        <v>100</v>
      </c>
      <c r="X40" s="1353"/>
      <c r="Y40" s="3736"/>
      <c r="Z40" s="1354" t="str">
        <f t="shared" si="15"/>
        <v>市政基础设施</v>
      </c>
      <c r="AA40" s="1351">
        <f t="shared" si="3"/>
        <v>1</v>
      </c>
      <c r="AB40" s="1351">
        <f t="shared" si="4"/>
        <v>1</v>
      </c>
      <c r="AC40" s="1960">
        <f t="shared" si="5"/>
        <v>1</v>
      </c>
    </row>
    <row r="41" spans="1:29" ht="15">
      <c r="A41" s="423"/>
      <c r="B41" s="375" t="s">
        <v>1786</v>
      </c>
      <c r="C41" s="565" t="s">
        <v>3452</v>
      </c>
      <c r="D41" s="386">
        <v>100</v>
      </c>
      <c r="E41" s="565" t="s">
        <v>3452</v>
      </c>
      <c r="F41" s="412">
        <f>SUMIF(119:119,E41,120:120)-SUMIF(119:119,C41,120:120)+100</f>
        <v>100</v>
      </c>
      <c r="G41" s="565" t="s">
        <v>3452</v>
      </c>
      <c r="H41" s="386">
        <f>SUMIF(119:119,G41,120:120)-SUMIF(119:119,C41,120:120)+100</f>
        <v>100</v>
      </c>
      <c r="I41" s="565" t="s">
        <v>3452</v>
      </c>
      <c r="J41" s="386">
        <f>SUMIF(119:119,I41,120:120)-SUMIF(119:119,C41,120:120)+100</f>
        <v>100</v>
      </c>
      <c r="K41" s="561">
        <v>3</v>
      </c>
      <c r="L41" s="2715"/>
      <c r="M41" s="2709"/>
      <c r="N41" s="2709"/>
      <c r="O41" s="2709"/>
      <c r="P41" s="3734"/>
      <c r="Q41" s="1350" t="str">
        <f t="shared" si="11"/>
        <v>层高</v>
      </c>
      <c r="R41" s="703" t="s">
        <v>14</v>
      </c>
      <c r="S41" s="704">
        <f t="shared" si="12"/>
        <v>100</v>
      </c>
      <c r="T41" s="703" t="s">
        <v>14</v>
      </c>
      <c r="U41" s="704">
        <f t="shared" si="13"/>
        <v>100</v>
      </c>
      <c r="V41" s="703" t="s">
        <v>14</v>
      </c>
      <c r="W41" s="704">
        <f t="shared" si="14"/>
        <v>100</v>
      </c>
      <c r="X41" s="1353"/>
      <c r="Y41" s="3736"/>
      <c r="Z41" s="1354" t="str">
        <f t="shared" si="15"/>
        <v>层高</v>
      </c>
      <c r="AA41" s="1351">
        <f t="shared" si="3"/>
        <v>1</v>
      </c>
      <c r="AB41" s="1351">
        <f t="shared" si="4"/>
        <v>1</v>
      </c>
      <c r="AC41" s="1960">
        <f t="shared" si="5"/>
        <v>1</v>
      </c>
    </row>
    <row r="42" spans="1:29" s="422" customFormat="1" ht="15">
      <c r="A42" s="419"/>
      <c r="B42" s="1352"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34"/>
      <c r="Q42" s="705" t="str">
        <f t="shared" si="11"/>
        <v>单套建筑面积</v>
      </c>
      <c r="R42" s="706" t="s">
        <v>14</v>
      </c>
      <c r="S42" s="707">
        <f t="shared" si="12"/>
        <v>100</v>
      </c>
      <c r="T42" s="706" t="s">
        <v>14</v>
      </c>
      <c r="U42" s="707">
        <f t="shared" si="13"/>
        <v>100</v>
      </c>
      <c r="V42" s="706" t="s">
        <v>14</v>
      </c>
      <c r="W42" s="707">
        <f t="shared" si="14"/>
        <v>100</v>
      </c>
      <c r="X42" s="708"/>
      <c r="Y42" s="3736"/>
      <c r="Z42" s="709" t="str">
        <f t="shared" si="15"/>
        <v>单套建筑面积</v>
      </c>
      <c r="AA42" s="1351">
        <f t="shared" si="3"/>
        <v>1</v>
      </c>
      <c r="AB42" s="1351">
        <f t="shared" si="4"/>
        <v>1</v>
      </c>
      <c r="AC42" s="1960">
        <f t="shared" si="5"/>
        <v>1</v>
      </c>
    </row>
    <row r="43" spans="1:29" ht="15">
      <c r="A43" s="423"/>
      <c r="B43" s="375" t="s">
        <v>1789</v>
      </c>
      <c r="C43" s="411" t="s">
        <v>3432</v>
      </c>
      <c r="D43" s="386">
        <v>100</v>
      </c>
      <c r="E43" s="411" t="s">
        <v>3432</v>
      </c>
      <c r="F43" s="412">
        <f>SUMIF(123:123,E43,124:124)-SUMIF(123:123,C43,124:124)+100</f>
        <v>100</v>
      </c>
      <c r="G43" s="411" t="s">
        <v>3432</v>
      </c>
      <c r="H43" s="386">
        <f>SUMIF(123:123,G43,124:124)-SUMIF(123:123,C43,124:124)+100</f>
        <v>100</v>
      </c>
      <c r="I43" s="411" t="s">
        <v>3432</v>
      </c>
      <c r="J43" s="386">
        <f>SUMIF(123:123,I43,124:124)-SUMIF(123:123,C43,124:124)+100</f>
        <v>100</v>
      </c>
      <c r="K43" s="561">
        <v>2</v>
      </c>
      <c r="L43" s="2715"/>
      <c r="M43" s="2709"/>
      <c r="N43" s="2709"/>
      <c r="O43" s="2709"/>
      <c r="P43" s="3734"/>
      <c r="Q43" s="1350" t="str">
        <f t="shared" si="11"/>
        <v>内部装修</v>
      </c>
      <c r="R43" s="703" t="s">
        <v>14</v>
      </c>
      <c r="S43" s="704">
        <f t="shared" si="12"/>
        <v>100</v>
      </c>
      <c r="T43" s="703" t="s">
        <v>14</v>
      </c>
      <c r="U43" s="704">
        <f t="shared" si="13"/>
        <v>100</v>
      </c>
      <c r="V43" s="703" t="s">
        <v>14</v>
      </c>
      <c r="W43" s="704">
        <f t="shared" si="14"/>
        <v>100</v>
      </c>
      <c r="X43" s="1353"/>
      <c r="Y43" s="3736"/>
      <c r="Z43" s="1354" t="str">
        <f t="shared" si="15"/>
        <v>内部装修</v>
      </c>
      <c r="AA43" s="1351">
        <f t="shared" si="3"/>
        <v>1</v>
      </c>
      <c r="AB43" s="1351">
        <f t="shared" si="4"/>
        <v>1</v>
      </c>
      <c r="AC43" s="1960">
        <f t="shared" si="5"/>
        <v>1</v>
      </c>
    </row>
    <row r="44" spans="1:29" ht="15">
      <c r="A44" s="423"/>
      <c r="B44" s="375" t="s">
        <v>1704</v>
      </c>
      <c r="C44" s="411" t="s">
        <v>3397</v>
      </c>
      <c r="D44" s="386">
        <v>100</v>
      </c>
      <c r="E44" s="411" t="s">
        <v>3397</v>
      </c>
      <c r="F44" s="412">
        <f>SUMIF(125:125,E44,126:126)-SUMIF(125:125,C44,126:126)+100</f>
        <v>100</v>
      </c>
      <c r="G44" s="411" t="s">
        <v>3397</v>
      </c>
      <c r="H44" s="386">
        <f>SUMIF(125:125,G44,126:126)-SUMIF(125:125,C44,126:126)+100</f>
        <v>100</v>
      </c>
      <c r="I44" s="411" t="s">
        <v>3397</v>
      </c>
      <c r="J44" s="386">
        <f>SUMIF(125:125,I44,126:126)-SUMIF(125:125,C44,126:126)+100</f>
        <v>100</v>
      </c>
      <c r="K44" s="561">
        <v>2</v>
      </c>
      <c r="L44" s="2715"/>
      <c r="M44" s="2709"/>
      <c r="N44" s="2709"/>
      <c r="O44" s="2709"/>
      <c r="P44" s="3734"/>
      <c r="Q44" s="1350" t="str">
        <f t="shared" si="11"/>
        <v>内部装修维护情况</v>
      </c>
      <c r="R44" s="703" t="s">
        <v>14</v>
      </c>
      <c r="S44" s="704">
        <f t="shared" si="12"/>
        <v>100</v>
      </c>
      <c r="T44" s="703" t="s">
        <v>14</v>
      </c>
      <c r="U44" s="704">
        <f t="shared" si="13"/>
        <v>100</v>
      </c>
      <c r="V44" s="703" t="s">
        <v>14</v>
      </c>
      <c r="W44" s="704">
        <f t="shared" si="14"/>
        <v>100</v>
      </c>
      <c r="X44" s="1353"/>
      <c r="Y44" s="3736"/>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34"/>
      <c r="Q45" s="1341">
        <f t="shared" si="11"/>
        <v>111</v>
      </c>
      <c r="R45" s="699" t="s">
        <v>14</v>
      </c>
      <c r="S45" s="700">
        <f t="shared" si="12"/>
        <v>100</v>
      </c>
      <c r="T45" s="699" t="s">
        <v>14</v>
      </c>
      <c r="U45" s="700">
        <f t="shared" si="13"/>
        <v>100</v>
      </c>
      <c r="V45" s="699" t="s">
        <v>14</v>
      </c>
      <c r="W45" s="700">
        <f t="shared" si="14"/>
        <v>100</v>
      </c>
      <c r="X45" s="701"/>
      <c r="Y45" s="3736"/>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34"/>
      <c r="Q46" s="1350">
        <f t="shared" si="11"/>
        <v>111</v>
      </c>
      <c r="R46" s="703" t="s">
        <v>14</v>
      </c>
      <c r="S46" s="704">
        <f t="shared" si="12"/>
        <v>100</v>
      </c>
      <c r="T46" s="703" t="s">
        <v>14</v>
      </c>
      <c r="U46" s="704">
        <f t="shared" si="13"/>
        <v>100</v>
      </c>
      <c r="V46" s="703" t="s">
        <v>14</v>
      </c>
      <c r="W46" s="704">
        <f t="shared" si="14"/>
        <v>100</v>
      </c>
      <c r="X46" s="1353"/>
      <c r="Y46" s="3736"/>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35"/>
      <c r="Q47" s="1350">
        <f t="shared" si="11"/>
        <v>111</v>
      </c>
      <c r="R47" s="703" t="s">
        <v>14</v>
      </c>
      <c r="S47" s="704">
        <f t="shared" si="12"/>
        <v>100</v>
      </c>
      <c r="T47" s="703" t="s">
        <v>14</v>
      </c>
      <c r="U47" s="704">
        <f t="shared" si="13"/>
        <v>100</v>
      </c>
      <c r="V47" s="703" t="s">
        <v>14</v>
      </c>
      <c r="W47" s="704">
        <f t="shared" si="14"/>
        <v>100</v>
      </c>
      <c r="X47" s="1353"/>
      <c r="Y47" s="3737"/>
      <c r="Z47" s="1354">
        <f t="shared" si="15"/>
        <v>111</v>
      </c>
      <c r="AA47" s="1351">
        <f t="shared" si="3"/>
        <v>1</v>
      </c>
      <c r="AB47" s="1351">
        <f t="shared" si="4"/>
        <v>1</v>
      </c>
      <c r="AC47" s="1960">
        <f t="shared" si="5"/>
        <v>1</v>
      </c>
    </row>
    <row r="48" spans="1:29" ht="15">
      <c r="A48" s="430" t="s">
        <v>1705</v>
      </c>
      <c r="B48" s="431"/>
      <c r="C48" s="1152" t="s">
        <v>0</v>
      </c>
      <c r="D48" s="1153"/>
      <c r="E48" s="1154">
        <v>38500</v>
      </c>
      <c r="F48" s="1155"/>
      <c r="G48" s="1154">
        <f>ROUND(38501*G51,0)</f>
        <v>38501</v>
      </c>
      <c r="H48" s="1157"/>
      <c r="I48" s="1154">
        <v>39500</v>
      </c>
      <c r="J48" s="436"/>
      <c r="K48" s="712"/>
      <c r="L48" s="2717"/>
      <c r="M48" s="2709"/>
      <c r="N48" s="2709"/>
      <c r="O48" s="2709"/>
      <c r="P48" s="3711" t="str">
        <f>A48</f>
        <v>成交单价（元/平方米）</v>
      </c>
      <c r="Q48" s="3729"/>
      <c r="R48" s="3730">
        <f>E48</f>
        <v>38500</v>
      </c>
      <c r="S48" s="3730"/>
      <c r="T48" s="3730">
        <f>G48</f>
        <v>38501</v>
      </c>
      <c r="U48" s="3730"/>
      <c r="V48" s="3730">
        <f>I48</f>
        <v>39500</v>
      </c>
      <c r="W48" s="3730"/>
      <c r="X48" s="397"/>
      <c r="Y48" s="710"/>
      <c r="Z48" s="397"/>
      <c r="AA48" s="397"/>
      <c r="AB48" s="397"/>
      <c r="AC48" s="578"/>
    </row>
    <row r="49" spans="1:29" ht="15.75" thickBot="1">
      <c r="A49" s="437" t="s">
        <v>1790</v>
      </c>
      <c r="B49" s="438"/>
      <c r="C49" s="1158">
        <f>R50</f>
        <v>37447</v>
      </c>
      <c r="D49" s="2315" t="s">
        <v>2133</v>
      </c>
      <c r="E49" s="1159">
        <f>R49</f>
        <v>37371</v>
      </c>
      <c r="F49" s="2316"/>
      <c r="G49" s="1158">
        <f>T49</f>
        <v>37372</v>
      </c>
      <c r="H49" s="2316"/>
      <c r="I49" s="1159">
        <f>V49</f>
        <v>37598</v>
      </c>
      <c r="J49" s="2316"/>
      <c r="K49" s="2318">
        <f>F49+H49+J49</f>
        <v>0</v>
      </c>
      <c r="L49" s="2717"/>
      <c r="M49" s="2709"/>
      <c r="N49" s="2709"/>
      <c r="O49" s="2709"/>
      <c r="P49" s="3711" t="str">
        <f>A49</f>
        <v>比较价值（元/平方米）</v>
      </c>
      <c r="Q49" s="3729"/>
      <c r="R49" s="3730">
        <f>IF(F1="售价",ROUND(PRODUCT(R48,AA7:AA47),0),ROUND(PRODUCT(R48,AA7:AA47),1))</f>
        <v>37371</v>
      </c>
      <c r="S49" s="3730"/>
      <c r="T49" s="3730">
        <f>IF(F1="售价",ROUND(PRODUCT(T48,AB7:AB47),0),ROUND(PRODUCT(T48,AB7:AB47),1))</f>
        <v>37372</v>
      </c>
      <c r="U49" s="3730"/>
      <c r="V49" s="3730">
        <f>IF(F1="售价",ROUND(PRODUCT(V48,AC7:AC47),0),ROUND(PRODUCT(V48,AC7:AC47),1))</f>
        <v>37598</v>
      </c>
      <c r="W49" s="3730"/>
      <c r="X49" s="397"/>
      <c r="Y49" s="397"/>
      <c r="Z49" s="397"/>
      <c r="AA49" s="397"/>
      <c r="AB49" s="397"/>
      <c r="AC49" s="578"/>
    </row>
    <row r="50" spans="1:29" ht="15.75" thickBot="1">
      <c r="A50" s="441" t="s">
        <v>1791</v>
      </c>
      <c r="B50" s="442"/>
      <c r="C50" s="1161">
        <f>R50</f>
        <v>37447</v>
      </c>
      <c r="D50" s="1161"/>
      <c r="E50" s="1161"/>
      <c r="F50" s="1161"/>
      <c r="G50" s="1161"/>
      <c r="H50" s="1161"/>
      <c r="I50" s="1161"/>
      <c r="J50" s="443"/>
      <c r="K50" s="713"/>
      <c r="L50" s="2717"/>
      <c r="M50" s="2709"/>
      <c r="N50" s="2709"/>
      <c r="O50" s="2709"/>
      <c r="P50" s="3753" t="str">
        <f>A50</f>
        <v>估价对象XX用房的比较价值（楼面单价，元/平方米）</v>
      </c>
      <c r="Q50" s="3754"/>
      <c r="R50" s="3755">
        <f>IF(F1="售价",ROUND(IF(D49="简单平均",AVERAGE(R49:V49),R49*F49+T49*H49+V49*J49),0),ROUND(IF(D49="简单平均",AVERAGE(R49:V49),R49*F49+T49*H49+V49*J49),1))</f>
        <v>37447</v>
      </c>
      <c r="S50" s="3755"/>
      <c r="T50" s="3755"/>
      <c r="U50" s="3755"/>
      <c r="V50" s="3755"/>
      <c r="W50" s="3755"/>
      <c r="X50" s="1944"/>
      <c r="Y50" s="1944"/>
      <c r="Z50" s="1944"/>
      <c r="AA50" s="1944"/>
      <c r="AB50" s="1944"/>
      <c r="AC50" s="1945"/>
    </row>
    <row r="51" spans="1:29">
      <c r="A51" s="2718"/>
      <c r="B51" s="2718"/>
      <c r="C51" s="2718"/>
      <c r="D51" s="2718"/>
      <c r="E51" s="2718">
        <v>1</v>
      </c>
      <c r="F51" s="2718"/>
      <c r="G51" s="2718">
        <f>E51</f>
        <v>1</v>
      </c>
      <c r="H51" s="2718"/>
      <c r="I51" s="2718">
        <f>G51</f>
        <v>1</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1792</v>
      </c>
      <c r="D53" s="447"/>
      <c r="E53" s="448">
        <f>IF(E48&lt;E49,E49/E48-1,E48/E49-1)</f>
        <v>3.0210591100050754E-2</v>
      </c>
      <c r="F53" s="449" t="str">
        <f>IF(OR(E53&gt;=0.3,E53&lt;=-0.3),"超过30%","")</f>
        <v/>
      </c>
      <c r="G53" s="448">
        <f>IF(G48&lt;G49,G49/G48-1,G48/G49-1)</f>
        <v>3.0209782725034717E-2</v>
      </c>
      <c r="H53" s="449" t="str">
        <f>IF(OR(G53&gt;=0.3,G53&lt;=-0.3),"超过30%","")</f>
        <v/>
      </c>
      <c r="I53" s="448">
        <f>IF(I48&lt;I49,I49/I48-1,I48/I49-1)</f>
        <v>5.0587797223256459E-2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1793</v>
      </c>
      <c r="D54" s="450"/>
      <c r="E54" s="448">
        <f>IF(E49&lt;G49,G49/E49-1,E49/G49-1)</f>
        <v>2.6758716652031111E-5</v>
      </c>
      <c r="F54" s="449" t="str">
        <f>IF(OR(E54&gt;=0.2,E54&lt;=-0.2),"超过20%","")</f>
        <v/>
      </c>
      <c r="G54" s="448">
        <f>IF(G49&lt;I49,I49/G49-1,G49/I49-1)</f>
        <v>6.0473081451353217E-3</v>
      </c>
      <c r="H54" s="449" t="str">
        <f>IF(OR(G54&gt;=0.2,G54&lt;=-0.2),"超过20%","")</f>
        <v/>
      </c>
      <c r="I54" s="448">
        <f>IF(I49&lt;E49,E49/I49-1,I49/E49-1)</f>
        <v>6.0742286799924106E-3</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1794</v>
      </c>
      <c r="D55" s="450"/>
      <c r="E55" s="448">
        <f>IF(E48&lt;G48,G48/E48-1,E48/G48-1)</f>
        <v>2.5974025974040416E-5</v>
      </c>
      <c r="F55" s="449" t="str">
        <f>IF(OR(E55&gt;=0.3,E55&lt;=-0.3),"超过30%","")</f>
        <v/>
      </c>
      <c r="G55" s="448">
        <f>IF(G48&lt;I48,I48/G48-1,G48/I48-1)</f>
        <v>2.5947377990181986E-2</v>
      </c>
      <c r="H55" s="449" t="str">
        <f>IF(OR(G55&gt;=0.3,G55&lt;=-0.3),"超过30%","")</f>
        <v/>
      </c>
      <c r="I55" s="448">
        <f>IF(I48&lt;E48,E48/I48-1,I48/E48-1)</f>
        <v>2.5974025974025983E-2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1795</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7" customFormat="1" ht="15">
      <c r="A59" s="454" t="s">
        <v>1676</v>
      </c>
      <c r="B59" s="455"/>
      <c r="C59" s="1182" t="str">
        <f>YEAR(C7)&amp;"-"&amp;MONTH(C7)</f>
        <v>2023-4</v>
      </c>
      <c r="D59" s="1183">
        <f>EDATE(C59,-1)</f>
        <v>44986</v>
      </c>
      <c r="E59" s="1183">
        <f>EDATE(D59,-1)</f>
        <v>44958</v>
      </c>
      <c r="F59" s="1183">
        <f t="shared" ref="F59:O59" si="16">EDATE(E59,-1)</f>
        <v>44927</v>
      </c>
      <c r="G59" s="1183">
        <f t="shared" si="16"/>
        <v>44896</v>
      </c>
      <c r="H59" s="1183">
        <f t="shared" si="16"/>
        <v>44866</v>
      </c>
      <c r="I59" s="1183">
        <f t="shared" si="16"/>
        <v>44835</v>
      </c>
      <c r="J59" s="1183">
        <f t="shared" si="16"/>
        <v>44805</v>
      </c>
      <c r="K59" s="1183">
        <f t="shared" si="16"/>
        <v>44774</v>
      </c>
      <c r="L59" s="1183">
        <f t="shared" si="16"/>
        <v>44743</v>
      </c>
      <c r="M59" s="1183">
        <f t="shared" si="16"/>
        <v>44713</v>
      </c>
      <c r="N59" s="1183">
        <f t="shared" si="16"/>
        <v>44682</v>
      </c>
      <c r="O59" s="1183">
        <f t="shared" si="16"/>
        <v>44652</v>
      </c>
      <c r="P59" s="2752"/>
      <c r="Q59" s="2734"/>
      <c r="R59" s="2734"/>
      <c r="S59" s="2734"/>
      <c r="T59" s="2734"/>
      <c r="U59" s="2734"/>
      <c r="V59" s="2734"/>
      <c r="W59" s="2734"/>
      <c r="X59" s="2734"/>
      <c r="Y59" s="2734"/>
      <c r="Z59" s="2734"/>
      <c r="AA59" s="2734"/>
      <c r="AB59" s="2734"/>
      <c r="AC59" s="2734"/>
    </row>
    <row r="60" spans="1:29" s="108" customFormat="1" ht="15">
      <c r="A60" s="458"/>
      <c r="B60" s="459"/>
      <c r="C60" s="1181">
        <v>100</v>
      </c>
      <c r="D60" s="461">
        <v>100</v>
      </c>
      <c r="E60" s="461"/>
      <c r="F60" s="461"/>
      <c r="G60" s="461"/>
      <c r="H60" s="461"/>
      <c r="I60" s="461"/>
      <c r="J60" s="461"/>
      <c r="K60" s="461"/>
      <c r="L60" s="461"/>
      <c r="M60" s="462"/>
      <c r="N60" s="461"/>
      <c r="O60" s="462"/>
      <c r="P60" s="2753"/>
      <c r="Q60" s="2655"/>
      <c r="R60" s="2655"/>
      <c r="S60" s="2655"/>
      <c r="T60" s="2655"/>
      <c r="U60" s="2655"/>
      <c r="V60" s="2655"/>
      <c r="W60" s="2655"/>
      <c r="X60" s="2655"/>
      <c r="Y60" s="2655"/>
      <c r="Z60" s="2655"/>
      <c r="AA60" s="2655"/>
      <c r="AB60" s="2655"/>
      <c r="AC60" s="2655"/>
    </row>
    <row r="61" spans="1:29" s="108" customFormat="1" ht="15.75" thickBot="1">
      <c r="A61" s="464" t="s">
        <v>1713</v>
      </c>
      <c r="B61" s="465"/>
      <c r="C61" s="466"/>
      <c r="D61" s="467"/>
      <c r="E61" s="467"/>
      <c r="F61" s="467"/>
      <c r="G61" s="467"/>
      <c r="H61" s="467"/>
      <c r="I61" s="467"/>
      <c r="J61" s="467"/>
      <c r="K61" s="467"/>
      <c r="L61" s="467"/>
      <c r="M61" s="468"/>
      <c r="N61" s="467"/>
      <c r="O61" s="468"/>
      <c r="P61" s="2753"/>
      <c r="Q61" s="2732"/>
      <c r="R61" s="2655"/>
      <c r="S61" s="2655"/>
      <c r="T61" s="2655"/>
      <c r="U61" s="2655"/>
      <c r="V61" s="2655"/>
      <c r="W61" s="2655"/>
      <c r="X61" s="2655"/>
      <c r="Y61" s="2655"/>
      <c r="Z61" s="2655"/>
      <c r="AA61" s="2655"/>
      <c r="AB61" s="2655"/>
      <c r="AC61" s="2655"/>
    </row>
    <row r="62" spans="1:29" s="108" customFormat="1" ht="15">
      <c r="A62" s="470" t="s">
        <v>1678</v>
      </c>
      <c r="B62" s="459"/>
      <c r="C62" s="471" t="s">
        <v>1773</v>
      </c>
      <c r="D62" s="472"/>
      <c r="E62" s="472"/>
      <c r="F62" s="472"/>
      <c r="G62" s="472"/>
      <c r="H62" s="472"/>
      <c r="I62" s="472"/>
      <c r="J62" s="472"/>
      <c r="K62" s="472"/>
      <c r="L62" s="473"/>
      <c r="M62" s="474"/>
      <c r="N62" s="2745"/>
      <c r="O62" s="2745"/>
      <c r="P62" s="2754"/>
      <c r="Q62" s="2732"/>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5"/>
      <c r="O63" s="2745"/>
      <c r="P63" s="2753"/>
      <c r="Q63" s="2732"/>
      <c r="R63" s="2655"/>
      <c r="S63" s="2655"/>
      <c r="T63" s="2655"/>
      <c r="U63" s="2655"/>
      <c r="V63" s="2655"/>
      <c r="W63" s="2655"/>
      <c r="X63" s="2655"/>
      <c r="Y63" s="2655"/>
      <c r="Z63" s="2655"/>
      <c r="AA63" s="2655"/>
      <c r="AB63" s="2655"/>
      <c r="AC63" s="2655"/>
    </row>
    <row r="64" spans="1:29">
      <c r="A64" s="476" t="s">
        <v>1716</v>
      </c>
      <c r="B64" s="477" t="s">
        <v>1682</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1685</v>
      </c>
      <c r="C66" s="532"/>
      <c r="D66" s="532"/>
      <c r="E66" s="532"/>
      <c r="F66" s="532"/>
      <c r="G66" s="532"/>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1687</v>
      </c>
      <c r="B77" s="477" t="s">
        <v>1818</v>
      </c>
      <c r="C77" s="522" t="s">
        <v>1718</v>
      </c>
      <c r="D77" s="522" t="s">
        <v>1719</v>
      </c>
      <c r="E77" s="522" t="s">
        <v>1720</v>
      </c>
      <c r="F77" s="522" t="s">
        <v>1721</v>
      </c>
      <c r="G77" s="522" t="s">
        <v>1722</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97</v>
      </c>
      <c r="E78" s="493">
        <f>D78-$K15</f>
        <v>94</v>
      </c>
      <c r="F78" s="493">
        <f>E78-$K15</f>
        <v>91</v>
      </c>
      <c r="G78" s="493">
        <f>F78-$K15</f>
        <v>88</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1723</v>
      </c>
      <c r="C79" s="527" t="s">
        <v>1718</v>
      </c>
      <c r="D79" s="527" t="s">
        <v>1719</v>
      </c>
      <c r="E79" s="527" t="s">
        <v>1720</v>
      </c>
      <c r="F79" s="527" t="s">
        <v>1721</v>
      </c>
      <c r="G79" s="527" t="s">
        <v>1722</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1724</v>
      </c>
      <c r="C81" s="527" t="s">
        <v>1718</v>
      </c>
      <c r="D81" s="527" t="s">
        <v>1719</v>
      </c>
      <c r="E81" s="527" t="s">
        <v>1720</v>
      </c>
      <c r="F81" s="527" t="s">
        <v>1721</v>
      </c>
      <c r="G81" s="527" t="s">
        <v>1722</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1810</v>
      </c>
      <c r="C83" s="608" t="s">
        <v>1796</v>
      </c>
      <c r="D83" s="608" t="s">
        <v>1797</v>
      </c>
      <c r="E83" s="608" t="s">
        <v>1798</v>
      </c>
      <c r="F83" s="608" t="s">
        <v>1799</v>
      </c>
      <c r="G83" s="608" t="s">
        <v>1800</v>
      </c>
      <c r="H83" s="488"/>
      <c r="I83" s="488"/>
      <c r="J83" s="488"/>
      <c r="K83" s="488"/>
      <c r="L83" s="488"/>
      <c r="M83" s="1127"/>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98</v>
      </c>
      <c r="E84" s="493">
        <f>D84-$K21</f>
        <v>96</v>
      </c>
      <c r="F84" s="493">
        <f>E84-$K21</f>
        <v>94</v>
      </c>
      <c r="G84" s="493">
        <f>F84-$K21</f>
        <v>92</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1819</v>
      </c>
      <c r="C85" s="527" t="s">
        <v>1718</v>
      </c>
      <c r="D85" s="527" t="s">
        <v>1719</v>
      </c>
      <c r="E85" s="527" t="s">
        <v>1720</v>
      </c>
      <c r="F85" s="527" t="s">
        <v>1721</v>
      </c>
      <c r="G85" s="527" t="s">
        <v>1722</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1820</v>
      </c>
      <c r="C87" s="3444" t="s">
        <v>3399</v>
      </c>
      <c r="D87" s="3444" t="s">
        <v>3400</v>
      </c>
      <c r="E87" s="3444" t="s">
        <v>3401</v>
      </c>
      <c r="F87" s="3444" t="s">
        <v>3402</v>
      </c>
      <c r="G87" s="3444" t="s">
        <v>3403</v>
      </c>
      <c r="H87" s="503"/>
      <c r="I87" s="503"/>
      <c r="J87" s="503"/>
      <c r="K87" s="503"/>
      <c r="L87" s="529"/>
      <c r="M87" s="530"/>
      <c r="N87" s="2745"/>
      <c r="O87" s="2745"/>
      <c r="P87" s="2755"/>
      <c r="Q87" s="2732"/>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7"/>
      <c r="O88" s="2747"/>
      <c r="P88" s="2755"/>
      <c r="Q88" s="2732"/>
      <c r="R88" s="2655"/>
      <c r="S88" s="2655"/>
      <c r="T88" s="2655"/>
      <c r="U88" s="2655"/>
      <c r="V88" s="2655"/>
      <c r="W88" s="2655"/>
      <c r="X88" s="2655"/>
      <c r="Y88" s="2655"/>
      <c r="Z88" s="2655"/>
      <c r="AA88" s="2655"/>
      <c r="AB88" s="2655"/>
      <c r="AC88" s="2655"/>
    </row>
    <row r="89" spans="1:29" s="108" customFormat="1" ht="15.75" thickTop="1">
      <c r="A89" s="528"/>
      <c r="B89" s="487" t="str">
        <f>B27</f>
        <v>楼层</v>
      </c>
      <c r="C89" s="3444" t="s">
        <v>3404</v>
      </c>
      <c r="D89" s="3444" t="s">
        <v>3406</v>
      </c>
      <c r="E89" s="3444" t="s">
        <v>3407</v>
      </c>
      <c r="F89" s="1925"/>
      <c r="G89" s="503"/>
      <c r="H89" s="503"/>
      <c r="I89" s="503"/>
      <c r="J89" s="503"/>
      <c r="K89" s="503"/>
      <c r="L89" s="503"/>
      <c r="M89" s="530"/>
      <c r="N89" s="2745"/>
      <c r="O89" s="2745"/>
      <c r="P89" s="2755"/>
      <c r="Q89" s="2732"/>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6"/>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1691</v>
      </c>
      <c r="B101" s="477" t="s">
        <v>1733</v>
      </c>
      <c r="C101" s="3445" t="s">
        <v>3408</v>
      </c>
      <c r="D101" s="3445" t="s">
        <v>3409</v>
      </c>
      <c r="E101" s="3445" t="s">
        <v>3410</v>
      </c>
      <c r="F101" s="3445" t="s">
        <v>3411</v>
      </c>
      <c r="G101" s="3445" t="s">
        <v>3412</v>
      </c>
      <c r="H101" s="3445" t="s">
        <v>3413</v>
      </c>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7"/>
      <c r="O102" s="2747"/>
      <c r="P102" s="2755"/>
      <c r="Q102" s="2732"/>
      <c r="R102" s="2718"/>
      <c r="S102" s="2718"/>
      <c r="T102" s="2718"/>
      <c r="U102" s="2718"/>
      <c r="V102" s="2718"/>
      <c r="W102" s="2718"/>
      <c r="X102" s="2718"/>
      <c r="Y102" s="2718"/>
      <c r="Z102" s="2718"/>
      <c r="AA102" s="2718"/>
      <c r="AB102" s="2718"/>
      <c r="AC102" s="2718"/>
    </row>
    <row r="103" spans="1:29" ht="29.25" thickTop="1">
      <c r="A103" s="483"/>
      <c r="B103" s="487" t="s">
        <v>1734</v>
      </c>
      <c r="C103" s="527" t="str">
        <f>C104&amp;"(含)"&amp;"-"&amp;D104</f>
        <v>100(含)-300</v>
      </c>
      <c r="D103" s="527" t="str">
        <f t="shared" ref="D103:L103" si="23">D104&amp;"(含)"&amp;"-"&amp;E104</f>
        <v>300(含)-500</v>
      </c>
      <c r="E103" s="527" t="str">
        <f t="shared" si="23"/>
        <v>500(含)-1000</v>
      </c>
      <c r="F103" s="527" t="str">
        <f t="shared" si="23"/>
        <v>1000(含)-2000</v>
      </c>
      <c r="G103" s="527" t="str">
        <f t="shared" si="23"/>
        <v>2000(含)-4000</v>
      </c>
      <c r="H103" s="527" t="str">
        <f t="shared" si="23"/>
        <v>4000(含)-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3446">
        <v>100</v>
      </c>
      <c r="D104" s="3446">
        <v>300</v>
      </c>
      <c r="E104" s="3446">
        <v>500</v>
      </c>
      <c r="F104" s="3446">
        <v>1000</v>
      </c>
      <c r="G104" s="3446">
        <v>2000</v>
      </c>
      <c r="H104" s="3446">
        <v>4000</v>
      </c>
      <c r="I104" s="3446"/>
      <c r="J104" s="3446"/>
      <c r="K104" s="3446"/>
      <c r="L104" s="34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3447">
        <v>99</v>
      </c>
      <c r="D105" s="3447">
        <v>100</v>
      </c>
      <c r="E105" s="3447">
        <f>D105-1</f>
        <v>99</v>
      </c>
      <c r="F105" s="3447">
        <f t="shared" ref="F105" si="24">E105-1</f>
        <v>98</v>
      </c>
      <c r="G105" s="3447">
        <f t="shared" ref="G105" si="25">F105-1</f>
        <v>97</v>
      </c>
      <c r="H105" s="3447">
        <f t="shared" ref="H105" si="26">G105-1</f>
        <v>96</v>
      </c>
      <c r="I105" s="3447"/>
      <c r="J105" s="3447"/>
      <c r="K105" s="3447"/>
      <c r="L105" s="3447"/>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1735</v>
      </c>
      <c r="C106" s="3448" t="s">
        <v>3414</v>
      </c>
      <c r="D106" s="3448" t="s">
        <v>3415</v>
      </c>
      <c r="E106" s="3449" t="s">
        <v>3416</v>
      </c>
      <c r="F106" s="1966"/>
      <c r="G106" s="1966"/>
      <c r="H106" s="1966"/>
      <c r="I106" s="1966"/>
      <c r="J106" s="1966"/>
      <c r="K106" s="534"/>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7">C107-$K35</f>
        <v>98</v>
      </c>
      <c r="E107" s="493">
        <f t="shared" si="27"/>
        <v>96</v>
      </c>
      <c r="F107" s="493">
        <f t="shared" si="27"/>
        <v>94</v>
      </c>
      <c r="G107" s="493">
        <f t="shared" si="27"/>
        <v>92</v>
      </c>
      <c r="H107" s="493">
        <f t="shared" si="27"/>
        <v>90</v>
      </c>
      <c r="I107" s="493">
        <f t="shared" si="27"/>
        <v>88</v>
      </c>
      <c r="J107" s="493">
        <f t="shared" si="27"/>
        <v>86</v>
      </c>
      <c r="K107" s="493">
        <f t="shared" si="27"/>
        <v>84</v>
      </c>
      <c r="L107" s="493">
        <f t="shared" si="27"/>
        <v>82</v>
      </c>
      <c r="M107" s="494">
        <f t="shared" si="27"/>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1737</v>
      </c>
      <c r="C108" s="3448" t="s">
        <v>3417</v>
      </c>
      <c r="D108" s="3448" t="s">
        <v>3418</v>
      </c>
      <c r="E108" s="3448" t="s">
        <v>3419</v>
      </c>
      <c r="F108" s="3449" t="s">
        <v>3420</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8">C109-$K36</f>
        <v>98</v>
      </c>
      <c r="E109" s="493">
        <f t="shared" si="28"/>
        <v>96</v>
      </c>
      <c r="F109" s="493">
        <f t="shared" si="28"/>
        <v>94</v>
      </c>
      <c r="G109" s="493">
        <f t="shared" si="28"/>
        <v>92</v>
      </c>
      <c r="H109" s="493">
        <f t="shared" si="28"/>
        <v>90</v>
      </c>
      <c r="I109" s="493">
        <f t="shared" si="28"/>
        <v>88</v>
      </c>
      <c r="J109" s="493">
        <f t="shared" si="28"/>
        <v>86</v>
      </c>
      <c r="K109" s="493">
        <f t="shared" si="28"/>
        <v>84</v>
      </c>
      <c r="L109" s="493">
        <f t="shared" si="28"/>
        <v>82</v>
      </c>
      <c r="M109" s="494">
        <f t="shared" si="28"/>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9">D112+$K37</f>
        <v>102</v>
      </c>
      <c r="F112" s="493">
        <f t="shared" si="29"/>
        <v>103</v>
      </c>
      <c r="G112" s="493">
        <f t="shared" si="29"/>
        <v>104</v>
      </c>
      <c r="H112" s="493">
        <f t="shared" si="29"/>
        <v>105</v>
      </c>
      <c r="I112" s="493">
        <f t="shared" si="29"/>
        <v>106</v>
      </c>
      <c r="J112" s="493">
        <f t="shared" si="29"/>
        <v>107</v>
      </c>
      <c r="K112" s="493">
        <f t="shared" si="29"/>
        <v>108</v>
      </c>
      <c r="L112" s="493">
        <f t="shared" si="29"/>
        <v>109</v>
      </c>
      <c r="M112" s="493">
        <f t="shared" si="29"/>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1821</v>
      </c>
      <c r="C113" s="3448" t="s">
        <v>3421</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30">D114-$K38</f>
        <v>100</v>
      </c>
      <c r="F114" s="493">
        <f t="shared" si="30"/>
        <v>100</v>
      </c>
      <c r="G114" s="493">
        <f t="shared" si="30"/>
        <v>100</v>
      </c>
      <c r="H114" s="493">
        <f t="shared" si="30"/>
        <v>100</v>
      </c>
      <c r="I114" s="493">
        <f t="shared" si="30"/>
        <v>100</v>
      </c>
      <c r="J114" s="493">
        <f t="shared" si="30"/>
        <v>100</v>
      </c>
      <c r="K114" s="493">
        <f t="shared" si="30"/>
        <v>100</v>
      </c>
      <c r="L114" s="493">
        <f t="shared" si="30"/>
        <v>100</v>
      </c>
      <c r="M114" s="493">
        <f t="shared" si="30"/>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1738</v>
      </c>
      <c r="C115" s="3444" t="s">
        <v>3423</v>
      </c>
      <c r="D115" s="503"/>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31">C116-$K39</f>
        <v>98</v>
      </c>
      <c r="E116" s="493">
        <f t="shared" si="31"/>
        <v>96</v>
      </c>
      <c r="F116" s="493">
        <f t="shared" si="31"/>
        <v>94</v>
      </c>
      <c r="G116" s="493">
        <f t="shared" si="31"/>
        <v>92</v>
      </c>
      <c r="H116" s="493">
        <f t="shared" si="31"/>
        <v>90</v>
      </c>
      <c r="I116" s="493">
        <f t="shared" si="31"/>
        <v>88</v>
      </c>
      <c r="J116" s="493">
        <f t="shared" si="31"/>
        <v>86</v>
      </c>
      <c r="K116" s="493">
        <f t="shared" si="31"/>
        <v>84</v>
      </c>
      <c r="L116" s="493">
        <f t="shared" si="31"/>
        <v>82</v>
      </c>
      <c r="M116" s="494">
        <f t="shared" si="31"/>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1739</v>
      </c>
      <c r="C117" s="3448" t="s">
        <v>3424</v>
      </c>
      <c r="D117" s="3448" t="s">
        <v>3425</v>
      </c>
      <c r="E117" s="3448" t="s">
        <v>3426</v>
      </c>
      <c r="F117" s="3448" t="s">
        <v>3427</v>
      </c>
      <c r="G117" s="3448" t="s">
        <v>3428</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1822</v>
      </c>
      <c r="C119" s="3449" t="s">
        <v>3429</v>
      </c>
      <c r="D119" s="3449" t="s">
        <v>3430</v>
      </c>
      <c r="E119" s="532"/>
      <c r="F119" s="532"/>
      <c r="G119" s="532"/>
      <c r="H119" s="532"/>
      <c r="I119" s="532"/>
      <c r="J119" s="532"/>
      <c r="K119" s="532"/>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97</v>
      </c>
      <c r="E120" s="493">
        <f t="shared" ref="E120:M120" si="32">D120-$K41</f>
        <v>94</v>
      </c>
      <c r="F120" s="493">
        <f t="shared" si="32"/>
        <v>91</v>
      </c>
      <c r="G120" s="493">
        <f t="shared" si="32"/>
        <v>88</v>
      </c>
      <c r="H120" s="493">
        <f t="shared" si="32"/>
        <v>85</v>
      </c>
      <c r="I120" s="493">
        <f t="shared" si="32"/>
        <v>82</v>
      </c>
      <c r="J120" s="493">
        <f t="shared" si="32"/>
        <v>79</v>
      </c>
      <c r="K120" s="493">
        <f t="shared" si="32"/>
        <v>76</v>
      </c>
      <c r="L120" s="493">
        <f t="shared" si="32"/>
        <v>73</v>
      </c>
      <c r="M120" s="493">
        <f t="shared" si="32"/>
        <v>70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1805</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1741</v>
      </c>
      <c r="C123" s="3448" t="s">
        <v>3417</v>
      </c>
      <c r="D123" s="3448" t="s">
        <v>3418</v>
      </c>
      <c r="E123" s="3448" t="s">
        <v>3419</v>
      </c>
      <c r="F123" s="3449" t="s">
        <v>3420</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3">C124-$K43</f>
        <v>98</v>
      </c>
      <c r="E124" s="493">
        <f t="shared" si="33"/>
        <v>96</v>
      </c>
      <c r="F124" s="493">
        <f t="shared" si="33"/>
        <v>94</v>
      </c>
      <c r="G124" s="493">
        <f t="shared" si="33"/>
        <v>92</v>
      </c>
      <c r="H124" s="493">
        <f t="shared" si="33"/>
        <v>90</v>
      </c>
      <c r="I124" s="493">
        <f t="shared" si="33"/>
        <v>88</v>
      </c>
      <c r="J124" s="493">
        <f t="shared" si="33"/>
        <v>86</v>
      </c>
      <c r="K124" s="493">
        <f t="shared" si="33"/>
        <v>84</v>
      </c>
      <c r="L124" s="493">
        <f t="shared" si="33"/>
        <v>82</v>
      </c>
      <c r="M124" s="494">
        <f t="shared" si="33"/>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1657</v>
      </c>
      <c r="B1" s="1955" t="s">
        <v>1823</v>
      </c>
      <c r="C1" s="1222" t="s">
        <v>1659</v>
      </c>
      <c r="D1" s="1223"/>
      <c r="E1" s="3428"/>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1461</v>
      </c>
      <c r="B3" s="558">
        <f>IF(C2="——",C43,ROUND(B2*10000/D3,0))</f>
        <v>0</v>
      </c>
      <c r="C3" s="354" t="s">
        <v>1765</v>
      </c>
      <c r="D3" s="353">
        <f>IF(D1="",'数据-汇总表'!E3,SUMIF('数据-汇总表'!$C19:$C33,D1,'数据-汇总表'!$E19:$E33))</f>
        <v>3455.7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911"/>
      <c r="M4" s="912"/>
      <c r="N4" s="912"/>
      <c r="O4" s="912"/>
      <c r="P4" s="3716" t="s">
        <v>1772</v>
      </c>
      <c r="Q4" s="3717"/>
      <c r="R4" s="3699" t="s">
        <v>1768</v>
      </c>
      <c r="S4" s="3700"/>
      <c r="T4" s="3699" t="s">
        <v>1769</v>
      </c>
      <c r="U4" s="3700"/>
      <c r="V4" s="3724" t="s">
        <v>1770</v>
      </c>
      <c r="W4" s="3724"/>
      <c r="X4" s="1353"/>
      <c r="Y4" s="3699" t="s">
        <v>1772</v>
      </c>
      <c r="Z4" s="3700"/>
      <c r="AA4" s="3694" t="s">
        <v>1768</v>
      </c>
      <c r="AB4" s="3695" t="s">
        <v>1769</v>
      </c>
      <c r="AC4" s="3694" t="s">
        <v>1770</v>
      </c>
    </row>
    <row r="5" spans="1:29" ht="15">
      <c r="A5" s="358"/>
      <c r="B5" s="359"/>
      <c r="C5" s="3705" t="s">
        <v>1670</v>
      </c>
      <c r="D5" s="3706"/>
      <c r="E5" s="3703" t="s">
        <v>1671</v>
      </c>
      <c r="F5" s="3704"/>
      <c r="G5" s="3705" t="s">
        <v>1672</v>
      </c>
      <c r="H5" s="3706"/>
      <c r="I5" s="3705" t="s">
        <v>1673</v>
      </c>
      <c r="J5" s="3706"/>
      <c r="K5" s="559"/>
      <c r="L5" s="911"/>
      <c r="M5" s="912"/>
      <c r="N5" s="912"/>
      <c r="O5" s="912"/>
      <c r="P5" s="3718"/>
      <c r="Q5" s="3719"/>
      <c r="R5" s="3701"/>
      <c r="S5" s="3702"/>
      <c r="T5" s="3701"/>
      <c r="U5" s="3702"/>
      <c r="V5" s="3724"/>
      <c r="W5" s="3724"/>
      <c r="X5" s="1353"/>
      <c r="Y5" s="3701"/>
      <c r="Z5" s="3702"/>
      <c r="AA5" s="3695"/>
      <c r="AB5" s="3695"/>
      <c r="AC5" s="3695"/>
    </row>
    <row r="6" spans="1:29" ht="15.75" thickBot="1">
      <c r="A6" s="360"/>
      <c r="B6" s="361"/>
      <c r="C6" s="3707" t="s">
        <v>1674</v>
      </c>
      <c r="D6" s="3708"/>
      <c r="E6" s="3709" t="s">
        <v>1674</v>
      </c>
      <c r="F6" s="3710"/>
      <c r="G6" s="3707" t="s">
        <v>1674</v>
      </c>
      <c r="H6" s="3708"/>
      <c r="I6" s="3707" t="s">
        <v>1674</v>
      </c>
      <c r="J6" s="3708"/>
      <c r="K6" s="559" t="s">
        <v>1675</v>
      </c>
      <c r="L6" s="911"/>
      <c r="M6" s="912"/>
      <c r="N6" s="912"/>
      <c r="O6" s="912"/>
      <c r="P6" s="3720"/>
      <c r="Q6" s="3721"/>
      <c r="R6" s="3701"/>
      <c r="S6" s="3702"/>
      <c r="T6" s="3722"/>
      <c r="U6" s="3723"/>
      <c r="V6" s="3724"/>
      <c r="W6" s="3724"/>
      <c r="X6" s="1353"/>
      <c r="Y6" s="3722"/>
      <c r="Z6" s="3723"/>
      <c r="AA6" s="3696"/>
      <c r="AB6" s="3696"/>
      <c r="AC6" s="3696"/>
    </row>
    <row r="7" spans="1:29" s="108" customFormat="1" ht="15.75" thickBot="1">
      <c r="A7" s="362" t="s">
        <v>1676</v>
      </c>
      <c r="B7" s="363"/>
      <c r="C7" s="364">
        <f>'数据-取费表'!B2</f>
        <v>45037</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1677</v>
      </c>
      <c r="Q7" s="3725"/>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702"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1680</v>
      </c>
      <c r="Q8" s="3698"/>
      <c r="R8" s="699" t="s">
        <v>14</v>
      </c>
      <c r="S8" s="700">
        <f t="shared" si="0"/>
        <v>100</v>
      </c>
      <c r="T8" s="699" t="s">
        <v>14</v>
      </c>
      <c r="U8" s="700">
        <f t="shared" si="1"/>
        <v>100</v>
      </c>
      <c r="V8" s="699" t="s">
        <v>14</v>
      </c>
      <c r="W8" s="700">
        <f t="shared" si="2"/>
        <v>100</v>
      </c>
      <c r="X8" s="701"/>
      <c r="Y8" s="3697" t="s">
        <v>1680</v>
      </c>
      <c r="Z8" s="3698"/>
      <c r="AA8" s="702">
        <f t="shared" ref="AA8:AA40" si="3">D8/F8</f>
        <v>1</v>
      </c>
      <c r="AB8" s="702">
        <f t="shared" ref="AB8:AB40" si="4">D8/H8</f>
        <v>1</v>
      </c>
      <c r="AC8" s="702">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29" t="s">
        <v>1683</v>
      </c>
      <c r="Q9" s="1341" t="str">
        <f t="shared" ref="Q9:Q15" si="6">B9</f>
        <v>用途</v>
      </c>
      <c r="R9" s="699" t="s">
        <v>14</v>
      </c>
      <c r="S9" s="700">
        <f t="shared" si="0"/>
        <v>100</v>
      </c>
      <c r="T9" s="699" t="s">
        <v>14</v>
      </c>
      <c r="U9" s="700">
        <f t="shared" si="1"/>
        <v>100</v>
      </c>
      <c r="V9" s="699" t="s">
        <v>14</v>
      </c>
      <c r="W9" s="700">
        <f t="shared" si="2"/>
        <v>100</v>
      </c>
      <c r="X9" s="701"/>
      <c r="Y9" s="3649" t="s">
        <v>1684</v>
      </c>
      <c r="Z9" s="52" t="str">
        <f t="shared" ref="Z9:Z15" si="7">Q9</f>
        <v>用途</v>
      </c>
      <c r="AA9" s="702">
        <f t="shared" si="3"/>
        <v>1</v>
      </c>
      <c r="AB9" s="702">
        <f t="shared" si="4"/>
        <v>1</v>
      </c>
      <c r="AC9" s="702">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6"/>
      <c r="M10" s="917"/>
      <c r="N10" s="917"/>
      <c r="O10" s="918"/>
      <c r="P10" s="3729"/>
      <c r="Q10" s="1341" t="str">
        <f t="shared" si="6"/>
        <v>土地使用年限（年）</v>
      </c>
      <c r="R10" s="699" t="s">
        <v>14</v>
      </c>
      <c r="S10" s="700">
        <f t="shared" si="0"/>
        <v>100</v>
      </c>
      <c r="T10" s="699" t="s">
        <v>14</v>
      </c>
      <c r="U10" s="700">
        <f t="shared" si="1"/>
        <v>100</v>
      </c>
      <c r="V10" s="699" t="s">
        <v>14</v>
      </c>
      <c r="W10" s="700">
        <f t="shared" si="2"/>
        <v>100</v>
      </c>
      <c r="X10" s="701"/>
      <c r="Y10" s="3649"/>
      <c r="Z10" s="52" t="str">
        <f t="shared" si="7"/>
        <v>土地使用年限（年）</v>
      </c>
      <c r="AA10" s="702">
        <f t="shared" si="3"/>
        <v>1</v>
      </c>
      <c r="AB10" s="702">
        <f t="shared" si="4"/>
        <v>1</v>
      </c>
      <c r="AC10" s="702">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29"/>
      <c r="Q11" s="1341" t="str">
        <f t="shared" si="6"/>
        <v>容积率</v>
      </c>
      <c r="R11" s="699" t="s">
        <v>14</v>
      </c>
      <c r="S11" s="700">
        <f t="shared" si="0"/>
        <v>100</v>
      </c>
      <c r="T11" s="699" t="s">
        <v>14</v>
      </c>
      <c r="U11" s="700">
        <f t="shared" si="1"/>
        <v>100</v>
      </c>
      <c r="V11" s="699" t="s">
        <v>14</v>
      </c>
      <c r="W11" s="700">
        <f t="shared" si="2"/>
        <v>100</v>
      </c>
      <c r="X11" s="701"/>
      <c r="Y11" s="364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29"/>
      <c r="Q12" s="1341">
        <f t="shared" si="6"/>
        <v>111</v>
      </c>
      <c r="R12" s="699" t="s">
        <v>14</v>
      </c>
      <c r="S12" s="700">
        <f t="shared" si="0"/>
        <v>100</v>
      </c>
      <c r="T12" s="699" t="s">
        <v>14</v>
      </c>
      <c r="U12" s="700">
        <f t="shared" si="1"/>
        <v>100</v>
      </c>
      <c r="V12" s="699" t="s">
        <v>14</v>
      </c>
      <c r="W12" s="700">
        <f t="shared" si="2"/>
        <v>100</v>
      </c>
      <c r="X12" s="701"/>
      <c r="Y12" s="364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29"/>
      <c r="Q13" s="1341">
        <f t="shared" si="6"/>
        <v>111</v>
      </c>
      <c r="R13" s="699" t="s">
        <v>14</v>
      </c>
      <c r="S13" s="700">
        <f t="shared" si="0"/>
        <v>100</v>
      </c>
      <c r="T13" s="699" t="s">
        <v>14</v>
      </c>
      <c r="U13" s="700">
        <f t="shared" si="1"/>
        <v>100</v>
      </c>
      <c r="V13" s="699" t="s">
        <v>14</v>
      </c>
      <c r="W13" s="700">
        <f t="shared" si="2"/>
        <v>100</v>
      </c>
      <c r="X13" s="701"/>
      <c r="Y13" s="364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29"/>
      <c r="Q14" s="1341">
        <f t="shared" si="6"/>
        <v>111</v>
      </c>
      <c r="R14" s="699" t="s">
        <v>14</v>
      </c>
      <c r="S14" s="700">
        <f t="shared" si="0"/>
        <v>100</v>
      </c>
      <c r="T14" s="699" t="s">
        <v>14</v>
      </c>
      <c r="U14" s="700">
        <f t="shared" si="1"/>
        <v>100</v>
      </c>
      <c r="V14" s="699" t="s">
        <v>14</v>
      </c>
      <c r="W14" s="700">
        <f t="shared" si="2"/>
        <v>100</v>
      </c>
      <c r="X14" s="701"/>
      <c r="Y14" s="3649"/>
      <c r="Z14" s="52">
        <f t="shared" si="7"/>
        <v>111</v>
      </c>
      <c r="AA14" s="702">
        <f t="shared" si="3"/>
        <v>1</v>
      </c>
      <c r="AB14" s="702">
        <f t="shared" si="4"/>
        <v>1</v>
      </c>
      <c r="AC14" s="702">
        <f t="shared" si="5"/>
        <v>1</v>
      </c>
    </row>
    <row r="15" spans="1:29" ht="57">
      <c r="A15" s="391" t="s">
        <v>1687</v>
      </c>
      <c r="B15" s="61" t="s">
        <v>1824</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31" t="s">
        <v>1688</v>
      </c>
      <c r="Q15" s="1350" t="str">
        <f t="shared" si="6"/>
        <v>产业集聚程度</v>
      </c>
      <c r="R15" s="703" t="s">
        <v>14</v>
      </c>
      <c r="S15" s="704">
        <f t="shared" si="0"/>
        <v>100</v>
      </c>
      <c r="T15" s="703" t="s">
        <v>14</v>
      </c>
      <c r="U15" s="704">
        <f t="shared" si="1"/>
        <v>100</v>
      </c>
      <c r="V15" s="703" t="s">
        <v>14</v>
      </c>
      <c r="W15" s="704">
        <f t="shared" si="2"/>
        <v>100</v>
      </c>
      <c r="X15" s="1353"/>
      <c r="Y15" s="3731" t="s">
        <v>1688</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32"/>
      <c r="Q16" s="1350"/>
      <c r="R16" s="703"/>
      <c r="S16" s="704"/>
      <c r="T16" s="703"/>
      <c r="U16" s="704"/>
      <c r="V16" s="703"/>
      <c r="W16" s="704"/>
      <c r="X16" s="1353"/>
      <c r="Y16" s="3732"/>
      <c r="Z16" s="1354"/>
      <c r="AA16" s="1351">
        <v>1</v>
      </c>
      <c r="AB16" s="1351">
        <v>1</v>
      </c>
      <c r="AC16" s="1351">
        <v>1</v>
      </c>
    </row>
    <row r="17" spans="1:29" ht="85.5">
      <c r="A17" s="379"/>
      <c r="B17" s="402" t="s">
        <v>1257</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32"/>
      <c r="Q17" s="1350" t="str">
        <f>B17</f>
        <v>交通便捷度</v>
      </c>
      <c r="R17" s="703" t="s">
        <v>14</v>
      </c>
      <c r="S17" s="704">
        <f>F17</f>
        <v>100</v>
      </c>
      <c r="T17" s="703" t="s">
        <v>14</v>
      </c>
      <c r="U17" s="704">
        <f>H17</f>
        <v>100</v>
      </c>
      <c r="V17" s="703" t="s">
        <v>14</v>
      </c>
      <c r="W17" s="704">
        <f>J17</f>
        <v>100</v>
      </c>
      <c r="X17" s="1353"/>
      <c r="Y17" s="373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32"/>
      <c r="Q18" s="1350"/>
      <c r="R18" s="703"/>
      <c r="S18" s="704"/>
      <c r="T18" s="703"/>
      <c r="U18" s="704"/>
      <c r="V18" s="703"/>
      <c r="W18" s="704"/>
      <c r="X18" s="1353"/>
      <c r="Y18" s="3732"/>
      <c r="Z18" s="1354"/>
      <c r="AA18" s="1351">
        <v>1</v>
      </c>
      <c r="AB18" s="1351">
        <v>1</v>
      </c>
      <c r="AC18" s="1351">
        <v>1</v>
      </c>
    </row>
    <row r="19" spans="1:29" ht="42.75">
      <c r="A19" s="379"/>
      <c r="B19" s="402" t="s">
        <v>1809</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32"/>
      <c r="Q19" s="1350" t="str">
        <f>B19</f>
        <v>公共配套设施</v>
      </c>
      <c r="R19" s="703" t="s">
        <v>14</v>
      </c>
      <c r="S19" s="704">
        <f>F19</f>
        <v>100</v>
      </c>
      <c r="T19" s="703" t="s">
        <v>14</v>
      </c>
      <c r="U19" s="704">
        <f>H19</f>
        <v>100</v>
      </c>
      <c r="V19" s="703" t="s">
        <v>14</v>
      </c>
      <c r="W19" s="704">
        <f>J19</f>
        <v>100</v>
      </c>
      <c r="X19" s="1353"/>
      <c r="Y19" s="373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32"/>
      <c r="Q20" s="1350"/>
      <c r="R20" s="703"/>
      <c r="S20" s="704"/>
      <c r="T20" s="703"/>
      <c r="U20" s="704"/>
      <c r="V20" s="703"/>
      <c r="W20" s="704"/>
      <c r="X20" s="1353"/>
      <c r="Y20" s="3732"/>
      <c r="Z20" s="1354"/>
      <c r="AA20" s="1351">
        <v>1</v>
      </c>
      <c r="AB20" s="1351">
        <v>1</v>
      </c>
      <c r="AC20" s="1351">
        <v>1</v>
      </c>
    </row>
    <row r="21" spans="1:29" ht="28.5">
      <c r="A21" s="379"/>
      <c r="B21" s="1129" t="s">
        <v>1810</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32"/>
      <c r="Q21" s="1350" t="str">
        <f>B21</f>
        <v>基础设施水平</v>
      </c>
      <c r="R21" s="703" t="s">
        <v>14</v>
      </c>
      <c r="S21" s="704">
        <f>F21</f>
        <v>100</v>
      </c>
      <c r="T21" s="703" t="s">
        <v>14</v>
      </c>
      <c r="U21" s="704">
        <f>H21</f>
        <v>100</v>
      </c>
      <c r="V21" s="703" t="s">
        <v>14</v>
      </c>
      <c r="W21" s="704">
        <f>J21</f>
        <v>100</v>
      </c>
      <c r="X21" s="1353"/>
      <c r="Y21" s="373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32"/>
      <c r="Q22" s="1350"/>
      <c r="R22" s="703"/>
      <c r="S22" s="704"/>
      <c r="T22" s="703"/>
      <c r="U22" s="704"/>
      <c r="V22" s="703"/>
      <c r="W22" s="704"/>
      <c r="X22" s="1353"/>
      <c r="Y22" s="3732"/>
      <c r="Z22" s="1354"/>
      <c r="AA22" s="1351">
        <v>1</v>
      </c>
      <c r="AB22" s="1351">
        <v>1</v>
      </c>
      <c r="AC22" s="1351">
        <v>1</v>
      </c>
    </row>
    <row r="23" spans="1:29" ht="71.25">
      <c r="A23" s="379"/>
      <c r="B23" s="402" t="s">
        <v>1811</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32"/>
      <c r="Q23" s="1350" t="str">
        <f>B23</f>
        <v>环境质量</v>
      </c>
      <c r="R23" s="703" t="s">
        <v>14</v>
      </c>
      <c r="S23" s="704">
        <f>F23</f>
        <v>100</v>
      </c>
      <c r="T23" s="703" t="s">
        <v>14</v>
      </c>
      <c r="U23" s="704">
        <f>H23</f>
        <v>100</v>
      </c>
      <c r="V23" s="703" t="s">
        <v>14</v>
      </c>
      <c r="W23" s="704">
        <f>J23</f>
        <v>100</v>
      </c>
      <c r="X23" s="1353"/>
      <c r="Y23" s="373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32"/>
      <c r="Q24" s="1350"/>
      <c r="R24" s="703"/>
      <c r="S24" s="704"/>
      <c r="T24" s="703"/>
      <c r="U24" s="704"/>
      <c r="V24" s="703"/>
      <c r="W24" s="704"/>
      <c r="X24" s="1353"/>
      <c r="Y24" s="373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32"/>
      <c r="Q25" s="1350">
        <f>B25</f>
        <v>111</v>
      </c>
      <c r="R25" s="703" t="s">
        <v>14</v>
      </c>
      <c r="S25" s="704">
        <f>F25</f>
        <v>100</v>
      </c>
      <c r="T25" s="703" t="s">
        <v>14</v>
      </c>
      <c r="U25" s="704">
        <f>H25</f>
        <v>100</v>
      </c>
      <c r="V25" s="703" t="s">
        <v>14</v>
      </c>
      <c r="W25" s="704">
        <f>J25</f>
        <v>100</v>
      </c>
      <c r="X25" s="1353"/>
      <c r="Y25" s="373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32"/>
      <c r="Q26" s="1350">
        <f t="shared" ref="Q26:Q40" si="11">B26</f>
        <v>111</v>
      </c>
      <c r="R26" s="703" t="s">
        <v>14</v>
      </c>
      <c r="S26" s="704">
        <f>F26</f>
        <v>100</v>
      </c>
      <c r="T26" s="703" t="s">
        <v>14</v>
      </c>
      <c r="U26" s="704">
        <f>H26</f>
        <v>100</v>
      </c>
      <c r="V26" s="703" t="s">
        <v>14</v>
      </c>
      <c r="W26" s="704">
        <f>J26</f>
        <v>100</v>
      </c>
      <c r="X26" s="1353"/>
      <c r="Y26" s="373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32"/>
      <c r="Q27" s="1341">
        <f t="shared" si="11"/>
        <v>111</v>
      </c>
      <c r="R27" s="699" t="s">
        <v>14</v>
      </c>
      <c r="S27" s="700">
        <f>F27</f>
        <v>100</v>
      </c>
      <c r="T27" s="699" t="s">
        <v>14</v>
      </c>
      <c r="U27" s="700">
        <f>H27</f>
        <v>100</v>
      </c>
      <c r="V27" s="699" t="s">
        <v>14</v>
      </c>
      <c r="W27" s="700">
        <f>J27</f>
        <v>100</v>
      </c>
      <c r="X27" s="701"/>
      <c r="Y27" s="373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32"/>
      <c r="Q28" s="1350">
        <f t="shared" si="11"/>
        <v>111</v>
      </c>
      <c r="R28" s="703" t="s">
        <v>14</v>
      </c>
      <c r="S28" s="704">
        <f t="shared" ref="S28:S40" si="12">F28</f>
        <v>100</v>
      </c>
      <c r="T28" s="703" t="s">
        <v>14</v>
      </c>
      <c r="U28" s="704">
        <f t="shared" ref="U28:U40" si="13">H28</f>
        <v>100</v>
      </c>
      <c r="V28" s="703" t="s">
        <v>14</v>
      </c>
      <c r="W28" s="704">
        <f t="shared" ref="W28:W40" si="14">J28</f>
        <v>100</v>
      </c>
      <c r="X28" s="1353"/>
      <c r="Y28" s="3732"/>
      <c r="Z28" s="1354">
        <f t="shared" ref="Z28:Z40" si="15">Q28</f>
        <v>111</v>
      </c>
      <c r="AA28" s="1351">
        <f t="shared" si="3"/>
        <v>1</v>
      </c>
      <c r="AB28" s="1351">
        <f t="shared" si="4"/>
        <v>1</v>
      </c>
      <c r="AC28" s="1351">
        <f t="shared" si="5"/>
        <v>1</v>
      </c>
    </row>
    <row r="29" spans="1:29" ht="28.5">
      <c r="A29" s="417" t="s">
        <v>1691</v>
      </c>
      <c r="B29" s="63" t="s">
        <v>1814</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56" t="s">
        <v>1693</v>
      </c>
      <c r="Q29" s="1350" t="str">
        <f t="shared" si="11"/>
        <v>建筑类型</v>
      </c>
      <c r="R29" s="703" t="s">
        <v>14</v>
      </c>
      <c r="S29" s="704">
        <f t="shared" si="12"/>
        <v>100</v>
      </c>
      <c r="T29" s="703" t="s">
        <v>14</v>
      </c>
      <c r="U29" s="704">
        <f t="shared" si="13"/>
        <v>100</v>
      </c>
      <c r="V29" s="703" t="s">
        <v>14</v>
      </c>
      <c r="W29" s="704">
        <f t="shared" si="14"/>
        <v>100</v>
      </c>
      <c r="X29" s="1353"/>
      <c r="Y29" s="3736" t="s">
        <v>1693</v>
      </c>
      <c r="Z29" s="1354" t="str">
        <f t="shared" si="15"/>
        <v>建筑类型</v>
      </c>
      <c r="AA29" s="1351">
        <f t="shared" si="3"/>
        <v>1</v>
      </c>
      <c r="AB29" s="1351">
        <f t="shared" si="4"/>
        <v>1</v>
      </c>
      <c r="AC29" s="1351">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36"/>
      <c r="Q30" s="705" t="str">
        <f t="shared" si="11"/>
        <v>项目建筑规模</v>
      </c>
      <c r="R30" s="706" t="s">
        <v>14</v>
      </c>
      <c r="S30" s="707" t="e">
        <f t="shared" si="12"/>
        <v>#N/A</v>
      </c>
      <c r="T30" s="706" t="s">
        <v>14</v>
      </c>
      <c r="U30" s="707" t="e">
        <f t="shared" si="13"/>
        <v>#N/A</v>
      </c>
      <c r="V30" s="706" t="s">
        <v>14</v>
      </c>
      <c r="W30" s="707" t="e">
        <f t="shared" si="14"/>
        <v>#N/A</v>
      </c>
      <c r="X30" s="708"/>
      <c r="Y30" s="3736"/>
      <c r="Z30" s="709" t="str">
        <f t="shared" si="15"/>
        <v>项目建筑规模</v>
      </c>
      <c r="AA30" s="1351" t="e">
        <f t="shared" si="3"/>
        <v>#N/A</v>
      </c>
      <c r="AB30" s="1351" t="e">
        <f t="shared" si="4"/>
        <v>#N/A</v>
      </c>
      <c r="AC30" s="1351"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36"/>
      <c r="Q31" s="1350" t="str">
        <f t="shared" si="11"/>
        <v>建筑结构</v>
      </c>
      <c r="R31" s="703" t="s">
        <v>14</v>
      </c>
      <c r="S31" s="704">
        <f t="shared" si="12"/>
        <v>100</v>
      </c>
      <c r="T31" s="703" t="s">
        <v>14</v>
      </c>
      <c r="U31" s="704">
        <f t="shared" si="13"/>
        <v>100</v>
      </c>
      <c r="V31" s="703" t="s">
        <v>14</v>
      </c>
      <c r="W31" s="704">
        <f t="shared" si="14"/>
        <v>100</v>
      </c>
      <c r="X31" s="1353"/>
      <c r="Y31" s="3736"/>
      <c r="Z31" s="1354" t="str">
        <f t="shared" si="15"/>
        <v>建筑结构</v>
      </c>
      <c r="AA31" s="1351">
        <f t="shared" si="3"/>
        <v>1</v>
      </c>
      <c r="AB31" s="1351">
        <f t="shared" si="4"/>
        <v>1</v>
      </c>
      <c r="AC31" s="1351">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36"/>
      <c r="Q32" s="1350" t="str">
        <f t="shared" si="11"/>
        <v>公共部分装修</v>
      </c>
      <c r="R32" s="703" t="s">
        <v>14</v>
      </c>
      <c r="S32" s="704">
        <f t="shared" si="12"/>
        <v>100</v>
      </c>
      <c r="T32" s="703" t="s">
        <v>14</v>
      </c>
      <c r="U32" s="704">
        <f t="shared" si="13"/>
        <v>100</v>
      </c>
      <c r="V32" s="703" t="s">
        <v>14</v>
      </c>
      <c r="W32" s="704">
        <f t="shared" si="14"/>
        <v>100</v>
      </c>
      <c r="X32" s="1353"/>
      <c r="Y32" s="3736"/>
      <c r="Z32" s="1354" t="str">
        <f t="shared" si="15"/>
        <v>公共部分装修</v>
      </c>
      <c r="AA32" s="1351">
        <f t="shared" si="3"/>
        <v>1</v>
      </c>
      <c r="AB32" s="1351">
        <f t="shared" si="4"/>
        <v>1</v>
      </c>
      <c r="AC32" s="1351">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36"/>
      <c r="Q33" s="1350" t="str">
        <f t="shared" si="11"/>
        <v>成新度</v>
      </c>
      <c r="R33" s="703" t="s">
        <v>14</v>
      </c>
      <c r="S33" s="704" t="e">
        <f t="shared" si="12"/>
        <v>#N/A</v>
      </c>
      <c r="T33" s="703" t="s">
        <v>14</v>
      </c>
      <c r="U33" s="704" t="e">
        <f t="shared" si="13"/>
        <v>#N/A</v>
      </c>
      <c r="V33" s="703" t="s">
        <v>14</v>
      </c>
      <c r="W33" s="704" t="e">
        <f t="shared" si="14"/>
        <v>#N/A</v>
      </c>
      <c r="X33" s="1353"/>
      <c r="Y33" s="3736"/>
      <c r="Z33" s="1354" t="str">
        <f t="shared" si="15"/>
        <v>成新度</v>
      </c>
      <c r="AA33" s="1351" t="e">
        <f t="shared" si="3"/>
        <v>#N/A</v>
      </c>
      <c r="AB33" s="1351" t="e">
        <f t="shared" si="4"/>
        <v>#N/A</v>
      </c>
      <c r="AC33" s="1351"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36"/>
      <c r="Q34" s="1341" t="str">
        <f t="shared" si="11"/>
        <v>物业管理</v>
      </c>
      <c r="R34" s="699" t="s">
        <v>14</v>
      </c>
      <c r="S34" s="700">
        <f t="shared" si="12"/>
        <v>100</v>
      </c>
      <c r="T34" s="699" t="s">
        <v>14</v>
      </c>
      <c r="U34" s="700">
        <f t="shared" si="13"/>
        <v>100</v>
      </c>
      <c r="V34" s="699" t="s">
        <v>14</v>
      </c>
      <c r="W34" s="700">
        <f t="shared" si="14"/>
        <v>100</v>
      </c>
      <c r="X34" s="701"/>
      <c r="Y34" s="3736"/>
      <c r="Z34" s="52" t="str">
        <f t="shared" si="15"/>
        <v>物业管理</v>
      </c>
      <c r="AA34" s="702">
        <f t="shared" si="3"/>
        <v>1</v>
      </c>
      <c r="AB34" s="702">
        <f t="shared" si="4"/>
        <v>1</v>
      </c>
      <c r="AC34" s="702">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36" t="s">
        <v>1693</v>
      </c>
      <c r="Q35" s="1350" t="str">
        <f t="shared" si="11"/>
        <v>市政基础设施</v>
      </c>
      <c r="R35" s="703" t="s">
        <v>14</v>
      </c>
      <c r="S35" s="704">
        <f t="shared" si="12"/>
        <v>100</v>
      </c>
      <c r="T35" s="703" t="s">
        <v>14</v>
      </c>
      <c r="U35" s="704">
        <f t="shared" si="13"/>
        <v>100</v>
      </c>
      <c r="V35" s="703" t="s">
        <v>14</v>
      </c>
      <c r="W35" s="704">
        <f t="shared" si="14"/>
        <v>100</v>
      </c>
      <c r="X35" s="1353"/>
      <c r="Y35" s="3736" t="s">
        <v>1693</v>
      </c>
      <c r="Z35" s="1354" t="str">
        <f t="shared" si="15"/>
        <v>市政基础设施</v>
      </c>
      <c r="AA35" s="1351">
        <f t="shared" si="3"/>
        <v>1</v>
      </c>
      <c r="AB35" s="1351">
        <f t="shared" si="4"/>
        <v>1</v>
      </c>
      <c r="AC35" s="1351">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36"/>
      <c r="Q36" s="1350" t="str">
        <f t="shared" si="11"/>
        <v>内部装修</v>
      </c>
      <c r="R36" s="703" t="s">
        <v>14</v>
      </c>
      <c r="S36" s="704">
        <f t="shared" si="12"/>
        <v>100</v>
      </c>
      <c r="T36" s="703" t="s">
        <v>14</v>
      </c>
      <c r="U36" s="704">
        <f t="shared" si="13"/>
        <v>100</v>
      </c>
      <c r="V36" s="703" t="s">
        <v>14</v>
      </c>
      <c r="W36" s="704">
        <f t="shared" si="14"/>
        <v>100</v>
      </c>
      <c r="X36" s="1353"/>
      <c r="Y36" s="3736"/>
      <c r="Z36" s="1354" t="str">
        <f t="shared" si="15"/>
        <v>内部装修</v>
      </c>
      <c r="AA36" s="1351">
        <f t="shared" si="3"/>
        <v>1</v>
      </c>
      <c r="AB36" s="1351">
        <f t="shared" si="4"/>
        <v>1</v>
      </c>
      <c r="AC36" s="1351">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36"/>
      <c r="Q37" s="1350" t="str">
        <f t="shared" si="11"/>
        <v>内部装修状况</v>
      </c>
      <c r="R37" s="703" t="s">
        <v>14</v>
      </c>
      <c r="S37" s="704">
        <f t="shared" si="12"/>
        <v>100</v>
      </c>
      <c r="T37" s="703" t="s">
        <v>14</v>
      </c>
      <c r="U37" s="704">
        <f t="shared" si="13"/>
        <v>100</v>
      </c>
      <c r="V37" s="703" t="s">
        <v>14</v>
      </c>
      <c r="W37" s="704">
        <f t="shared" si="14"/>
        <v>100</v>
      </c>
      <c r="X37" s="1353"/>
      <c r="Y37" s="373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36"/>
      <c r="Q38" s="705">
        <f t="shared" si="11"/>
        <v>111</v>
      </c>
      <c r="R38" s="706" t="s">
        <v>14</v>
      </c>
      <c r="S38" s="707">
        <f t="shared" si="12"/>
        <v>100</v>
      </c>
      <c r="T38" s="706" t="s">
        <v>14</v>
      </c>
      <c r="U38" s="707">
        <f t="shared" si="13"/>
        <v>100</v>
      </c>
      <c r="V38" s="706" t="s">
        <v>14</v>
      </c>
      <c r="W38" s="707">
        <f t="shared" si="14"/>
        <v>100</v>
      </c>
      <c r="X38" s="708"/>
      <c r="Y38" s="373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36"/>
      <c r="Q39" s="1350">
        <f t="shared" si="11"/>
        <v>111</v>
      </c>
      <c r="R39" s="703" t="s">
        <v>14</v>
      </c>
      <c r="S39" s="704">
        <f t="shared" si="12"/>
        <v>100</v>
      </c>
      <c r="T39" s="703" t="s">
        <v>14</v>
      </c>
      <c r="U39" s="704">
        <f t="shared" si="13"/>
        <v>100</v>
      </c>
      <c r="V39" s="703" t="s">
        <v>14</v>
      </c>
      <c r="W39" s="704">
        <f t="shared" si="14"/>
        <v>100</v>
      </c>
      <c r="X39" s="1353"/>
      <c r="Y39" s="373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37"/>
      <c r="Q40" s="1350">
        <f t="shared" si="11"/>
        <v>111</v>
      </c>
      <c r="R40" s="703" t="s">
        <v>14</v>
      </c>
      <c r="S40" s="704">
        <f t="shared" si="12"/>
        <v>100</v>
      </c>
      <c r="T40" s="703" t="s">
        <v>14</v>
      </c>
      <c r="U40" s="704">
        <f t="shared" si="13"/>
        <v>100</v>
      </c>
      <c r="V40" s="703" t="s">
        <v>14</v>
      </c>
      <c r="W40" s="704">
        <f t="shared" si="14"/>
        <v>100</v>
      </c>
      <c r="X40" s="1353"/>
      <c r="Y40" s="3737"/>
      <c r="Z40" s="1354">
        <f t="shared" si="15"/>
        <v>111</v>
      </c>
      <c r="AA40" s="1351">
        <f t="shared" si="3"/>
        <v>1</v>
      </c>
      <c r="AB40" s="1351">
        <f t="shared" si="4"/>
        <v>1</v>
      </c>
      <c r="AC40" s="1351">
        <f t="shared" si="5"/>
        <v>1</v>
      </c>
    </row>
    <row r="41" spans="1:29" ht="15">
      <c r="A41" s="430" t="s">
        <v>1705</v>
      </c>
      <c r="B41" s="431"/>
      <c r="C41" s="1152" t="s">
        <v>0</v>
      </c>
      <c r="D41" s="1153"/>
      <c r="E41" s="1154"/>
      <c r="F41" s="1155"/>
      <c r="G41" s="1156"/>
      <c r="H41" s="1157"/>
      <c r="I41" s="1154"/>
      <c r="J41" s="1157"/>
      <c r="K41" s="712"/>
      <c r="L41" s="924"/>
      <c r="M41" s="925"/>
      <c r="N41" s="912"/>
      <c r="O41" s="925"/>
      <c r="P41" s="3729" t="str">
        <f>A41</f>
        <v>成交单价（元/平方米）</v>
      </c>
      <c r="Q41" s="3729"/>
      <c r="R41" s="3730">
        <f>E41</f>
        <v>0</v>
      </c>
      <c r="S41" s="3730"/>
      <c r="T41" s="3730">
        <f>G41</f>
        <v>0</v>
      </c>
      <c r="U41" s="3730"/>
      <c r="V41" s="3730">
        <f>I41</f>
        <v>0</v>
      </c>
      <c r="W41" s="3730"/>
      <c r="X41" s="688"/>
      <c r="Y41" s="710"/>
      <c r="Z41" s="688"/>
      <c r="AA41" s="688"/>
      <c r="AB41" s="688"/>
      <c r="AC41" s="688"/>
    </row>
    <row r="42" spans="1:29" ht="15.75" thickBot="1">
      <c r="A42" s="437" t="s">
        <v>1790</v>
      </c>
      <c r="B42" s="438"/>
      <c r="C42" s="1158" t="e">
        <f>R43</f>
        <v>#DIV/0!</v>
      </c>
      <c r="D42" s="2315" t="s">
        <v>2133</v>
      </c>
      <c r="E42" s="1159" t="e">
        <f>R42</f>
        <v>#DIV/0!</v>
      </c>
      <c r="F42" s="2316"/>
      <c r="G42" s="1158" t="e">
        <f>T42</f>
        <v>#DIV/0!</v>
      </c>
      <c r="H42" s="2316"/>
      <c r="I42" s="1159" t="e">
        <f>V42</f>
        <v>#DIV/0!</v>
      </c>
      <c r="J42" s="2316"/>
      <c r="K42" s="2318">
        <f>F42+H42+J42</f>
        <v>0</v>
      </c>
      <c r="L42" s="924"/>
      <c r="M42" s="925"/>
      <c r="N42" s="912"/>
      <c r="O42" s="925"/>
      <c r="P42" s="3729" t="str">
        <f>A42</f>
        <v>比较价值（元/平方米）</v>
      </c>
      <c r="Q42" s="3729"/>
      <c r="R42" s="3730" t="e">
        <f>IF(F1="售价",ROUND(PRODUCT(R41,AA7:AA40),0),ROUND(PRODUCT(R41,AA7:AA40),1))</f>
        <v>#DIV/0!</v>
      </c>
      <c r="S42" s="3730"/>
      <c r="T42" s="3730" t="e">
        <f>IF(F1="售价",ROUND(PRODUCT(T41,AB7:AB40),0),ROUND(PRODUCT(T41,AB7:AB40),1))</f>
        <v>#DIV/0!</v>
      </c>
      <c r="U42" s="3730"/>
      <c r="V42" s="3730" t="e">
        <f>IF(F1="售价",ROUND(PRODUCT(V41,AC7:AC40),0),ROUND(PRODUCT(V41,AC7:AC40),1))</f>
        <v>#DIV/0!</v>
      </c>
      <c r="W42" s="3730"/>
      <c r="X42" s="688"/>
      <c r="Y42" s="688"/>
      <c r="Z42" s="688"/>
      <c r="AA42" s="688"/>
      <c r="AB42" s="688"/>
      <c r="AC42" s="688"/>
    </row>
    <row r="43" spans="1:29" ht="15.75" thickBot="1">
      <c r="A43" s="441" t="s">
        <v>1791</v>
      </c>
      <c r="B43" s="442"/>
      <c r="C43" s="1161" t="e">
        <f>R43</f>
        <v>#DIV/0!</v>
      </c>
      <c r="D43" s="1161"/>
      <c r="E43" s="1161"/>
      <c r="F43" s="1161"/>
      <c r="G43" s="1161"/>
      <c r="H43" s="1161"/>
      <c r="I43" s="1161"/>
      <c r="J43" s="1161"/>
      <c r="K43" s="713"/>
      <c r="L43" s="924"/>
      <c r="M43" s="925"/>
      <c r="N43" s="925"/>
      <c r="O43" s="925"/>
      <c r="P43" s="3726" t="str">
        <f>A43</f>
        <v>估价对象XX用房的比较价值（楼面单价，元/平方米）</v>
      </c>
      <c r="Q43" s="3727"/>
      <c r="R43" s="3728" t="e">
        <f>IF(F1="售价",ROUND(IF(D42="简单平均",AVERAGE(R42:V42),R42*F42+T42*H42+V42*J42),0),ROUND(IF(D42="简单平均",AVERAGE(R42:V42),R42*F42+T42*H42+V42*J42),1))</f>
        <v>#DIV/0!</v>
      </c>
      <c r="S43" s="3728"/>
      <c r="T43" s="3728"/>
      <c r="U43" s="3728"/>
      <c r="V43" s="3728"/>
      <c r="W43" s="3728"/>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7"/>
      <c r="M46" s="925"/>
      <c r="N46" s="925"/>
      <c r="O46" s="925"/>
    </row>
    <row r="47" spans="1:29" ht="13.5" customHeight="1">
      <c r="A47" s="2718"/>
      <c r="B47" s="2718"/>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7"/>
      <c r="M47" s="925"/>
      <c r="N47" s="925"/>
      <c r="O47" s="925"/>
    </row>
    <row r="48" spans="1:29" s="451" customFormat="1" ht="13.5" customHeight="1">
      <c r="A48" s="2721"/>
      <c r="B48" s="2721"/>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8"/>
      <c r="M48" s="926"/>
      <c r="N48" s="926"/>
      <c r="O48" s="926"/>
    </row>
    <row r="49" spans="1:17" s="451"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1795</v>
      </c>
      <c r="B51" s="688"/>
      <c r="C51" s="693"/>
      <c r="D51" s="693"/>
      <c r="E51" s="693"/>
      <c r="F51" s="694"/>
      <c r="G51" s="694"/>
      <c r="H51" s="693"/>
      <c r="I51" s="693"/>
      <c r="J51" s="693"/>
      <c r="K51" s="939"/>
      <c r="L51" s="940"/>
      <c r="M51" s="938"/>
      <c r="N51" s="938"/>
      <c r="O51" s="938"/>
      <c r="P51" s="452"/>
      <c r="Q51" s="453"/>
    </row>
    <row r="52" spans="1:17" s="457" customFormat="1" ht="15">
      <c r="A52" s="454" t="s">
        <v>1676</v>
      </c>
      <c r="B52" s="455"/>
      <c r="C52" s="1182" t="str">
        <f>YEAR(C7)&amp;"-"&amp;MONTH(C7)</f>
        <v>2023-4</v>
      </c>
      <c r="D52" s="1183">
        <f>EDATE(C52,-1)</f>
        <v>44986</v>
      </c>
      <c r="E52" s="1183">
        <f t="shared" ref="E52:O52" si="16">EDATE(D52,-1)</f>
        <v>44958</v>
      </c>
      <c r="F52" s="1183">
        <f t="shared" si="16"/>
        <v>44927</v>
      </c>
      <c r="G52" s="1183">
        <f t="shared" si="16"/>
        <v>44896</v>
      </c>
      <c r="H52" s="1183">
        <f t="shared" si="16"/>
        <v>44866</v>
      </c>
      <c r="I52" s="1183">
        <f t="shared" si="16"/>
        <v>44835</v>
      </c>
      <c r="J52" s="1183">
        <f t="shared" si="16"/>
        <v>44805</v>
      </c>
      <c r="K52" s="1183">
        <f t="shared" si="16"/>
        <v>44774</v>
      </c>
      <c r="L52" s="1183">
        <f t="shared" si="16"/>
        <v>44743</v>
      </c>
      <c r="M52" s="1183">
        <f t="shared" si="16"/>
        <v>44713</v>
      </c>
      <c r="N52" s="1183">
        <f t="shared" si="16"/>
        <v>44682</v>
      </c>
      <c r="O52" s="1183">
        <f t="shared" si="16"/>
        <v>44652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3"/>
      <c r="O54" s="2764"/>
      <c r="P54" s="453"/>
      <c r="Q54" s="453"/>
    </row>
    <row r="55" spans="1:17" s="108" customFormat="1" ht="15">
      <c r="A55" s="470" t="s">
        <v>1678</v>
      </c>
      <c r="B55" s="459"/>
      <c r="C55" s="471" t="s">
        <v>1773</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1716</v>
      </c>
      <c r="B57" s="477" t="s">
        <v>1682</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1685</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1810</v>
      </c>
      <c r="C76" s="608" t="s">
        <v>1796</v>
      </c>
      <c r="D76" s="608" t="s">
        <v>1797</v>
      </c>
      <c r="E76" s="608" t="s">
        <v>1798</v>
      </c>
      <c r="F76" s="608" t="s">
        <v>1799</v>
      </c>
      <c r="G76" s="608" t="s">
        <v>1800</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1691</v>
      </c>
      <c r="B88" s="477" t="s">
        <v>1733</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1735</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1737</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1738</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1739</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1741</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1827</v>
      </c>
      <c r="C106" s="527" t="s">
        <v>1718</v>
      </c>
      <c r="D106" s="527" t="s">
        <v>1719</v>
      </c>
      <c r="E106" s="527" t="s">
        <v>1720</v>
      </c>
      <c r="F106" s="527" t="s">
        <v>1721</v>
      </c>
      <c r="G106" s="527" t="s">
        <v>1722</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3333</v>
      </c>
      <c r="C1" s="1222" t="s">
        <v>1659</v>
      </c>
      <c r="D1" s="1223"/>
      <c r="E1" s="3428"/>
      <c r="F1" s="1877"/>
      <c r="G1" s="1225" t="s">
        <v>1764</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699" t="s">
        <v>1768</v>
      </c>
      <c r="S4" s="3700"/>
      <c r="T4" s="3699" t="s">
        <v>1769</v>
      </c>
      <c r="U4" s="3700"/>
      <c r="V4" s="3724" t="s">
        <v>1770</v>
      </c>
      <c r="W4" s="3724"/>
      <c r="X4" s="1353"/>
      <c r="Y4" s="3699" t="s">
        <v>1772</v>
      </c>
      <c r="Z4" s="3700"/>
      <c r="AA4" s="3694" t="s">
        <v>1768</v>
      </c>
      <c r="AB4" s="3695" t="s">
        <v>1769</v>
      </c>
      <c r="AC4" s="3694" t="s">
        <v>1770</v>
      </c>
    </row>
    <row r="5" spans="1:29" ht="15">
      <c r="A5" s="358"/>
      <c r="B5" s="359"/>
      <c r="C5" s="3705" t="s">
        <v>1670</v>
      </c>
      <c r="D5" s="3706"/>
      <c r="E5" s="3703" t="s">
        <v>1671</v>
      </c>
      <c r="F5" s="3704"/>
      <c r="G5" s="3705" t="s">
        <v>1672</v>
      </c>
      <c r="H5" s="3706"/>
      <c r="I5" s="3705" t="s">
        <v>1673</v>
      </c>
      <c r="J5" s="3706"/>
      <c r="K5" s="559"/>
      <c r="L5" s="2708"/>
      <c r="M5" s="2709"/>
      <c r="N5" s="2709"/>
      <c r="O5" s="2709"/>
      <c r="P5" s="3718"/>
      <c r="Q5" s="3719"/>
      <c r="R5" s="3701"/>
      <c r="S5" s="3702"/>
      <c r="T5" s="3701"/>
      <c r="U5" s="3702"/>
      <c r="V5" s="3724"/>
      <c r="W5" s="3724"/>
      <c r="X5" s="1353"/>
      <c r="Y5" s="3701"/>
      <c r="Z5" s="3702"/>
      <c r="AA5" s="3695"/>
      <c r="AB5" s="3695"/>
      <c r="AC5" s="3695"/>
    </row>
    <row r="6" spans="1:29" ht="15.75" thickBot="1">
      <c r="A6" s="360"/>
      <c r="B6" s="361"/>
      <c r="C6" s="3707" t="s">
        <v>1674</v>
      </c>
      <c r="D6" s="3708"/>
      <c r="E6" s="3709" t="s">
        <v>1674</v>
      </c>
      <c r="F6" s="3710"/>
      <c r="G6" s="3707" t="s">
        <v>1674</v>
      </c>
      <c r="H6" s="3708"/>
      <c r="I6" s="3707" t="s">
        <v>1674</v>
      </c>
      <c r="J6" s="3708"/>
      <c r="K6" s="559" t="s">
        <v>1675</v>
      </c>
      <c r="L6" s="2708"/>
      <c r="M6" s="2709"/>
      <c r="N6" s="2709"/>
      <c r="O6" s="2709"/>
      <c r="P6" s="3720"/>
      <c r="Q6" s="3721"/>
      <c r="R6" s="3701"/>
      <c r="S6" s="3702"/>
      <c r="T6" s="3722"/>
      <c r="U6" s="3723"/>
      <c r="V6" s="3724"/>
      <c r="W6" s="3724"/>
      <c r="X6" s="1353"/>
      <c r="Y6" s="3722"/>
      <c r="Z6" s="3723"/>
      <c r="AA6" s="3696"/>
      <c r="AB6" s="3696"/>
      <c r="AC6" s="3696"/>
    </row>
    <row r="7" spans="1:29" s="108" customFormat="1" ht="15.75" thickBot="1">
      <c r="A7" s="362" t="s">
        <v>1676</v>
      </c>
      <c r="B7" s="363"/>
      <c r="C7" s="364">
        <f>'数据-取费表'!B2</f>
        <v>45037</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97" t="s">
        <v>1677</v>
      </c>
      <c r="Q7" s="3725"/>
      <c r="R7" s="699" t="s">
        <v>14</v>
      </c>
      <c r="S7" s="700">
        <f t="shared" ref="S7:S14" si="0">F7</f>
        <v>0</v>
      </c>
      <c r="T7" s="699" t="s">
        <v>14</v>
      </c>
      <c r="U7" s="700">
        <f t="shared" ref="U7:U14" si="1">H7</f>
        <v>0</v>
      </c>
      <c r="V7" s="699" t="s">
        <v>14</v>
      </c>
      <c r="W7" s="700">
        <f t="shared" ref="W7:W14" si="2">J7</f>
        <v>0</v>
      </c>
      <c r="X7" s="701"/>
      <c r="Y7" s="3697" t="s">
        <v>1677</v>
      </c>
      <c r="Z7" s="3698"/>
      <c r="AA7" s="702" t="e">
        <f>D7/F7</f>
        <v>#DIV/0!</v>
      </c>
      <c r="AB7" s="702" t="e">
        <f>D7/H7</f>
        <v>#DIV/0!</v>
      </c>
      <c r="AC7" s="702"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97" t="s">
        <v>1680</v>
      </c>
      <c r="Q8" s="3698"/>
      <c r="R8" s="699" t="s">
        <v>14</v>
      </c>
      <c r="S8" s="700">
        <f t="shared" si="0"/>
        <v>100</v>
      </c>
      <c r="T8" s="699" t="s">
        <v>14</v>
      </c>
      <c r="U8" s="700">
        <f t="shared" si="1"/>
        <v>100</v>
      </c>
      <c r="V8" s="699" t="s">
        <v>14</v>
      </c>
      <c r="W8" s="700">
        <f t="shared" si="2"/>
        <v>100</v>
      </c>
      <c r="X8" s="701"/>
      <c r="Y8" s="3697" t="s">
        <v>1680</v>
      </c>
      <c r="Z8" s="3698"/>
      <c r="AA8" s="702">
        <f t="shared" ref="AA8:AA36" si="3">D8/F8</f>
        <v>1</v>
      </c>
      <c r="AB8" s="702">
        <f t="shared" ref="AB8:AB36" si="4">D8/H8</f>
        <v>1</v>
      </c>
      <c r="AC8" s="702">
        <f t="shared" ref="AC8:AC36" si="5">D8/J8</f>
        <v>1</v>
      </c>
    </row>
    <row r="9" spans="1:29" s="108" customFormat="1">
      <c r="A9" s="60" t="s">
        <v>1681</v>
      </c>
      <c r="B9" s="588" t="s">
        <v>1682</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9" t="s">
        <v>1683</v>
      </c>
      <c r="Q9" s="1341" t="str">
        <f t="shared" ref="Q9:Q14" si="6">B9</f>
        <v>用途</v>
      </c>
      <c r="R9" s="699" t="s">
        <v>14</v>
      </c>
      <c r="S9" s="700">
        <f t="shared" si="0"/>
        <v>100</v>
      </c>
      <c r="T9" s="699" t="s">
        <v>14</v>
      </c>
      <c r="U9" s="700">
        <f t="shared" si="1"/>
        <v>100</v>
      </c>
      <c r="V9" s="699" t="s">
        <v>14</v>
      </c>
      <c r="W9" s="700">
        <f t="shared" si="2"/>
        <v>100</v>
      </c>
      <c r="X9" s="701"/>
      <c r="Y9" s="3649" t="s">
        <v>1684</v>
      </c>
      <c r="Z9" s="52" t="str">
        <f t="shared" ref="Z9:Z14" si="7">Q9</f>
        <v>用途</v>
      </c>
      <c r="AA9" s="702">
        <f t="shared" si="3"/>
        <v>1</v>
      </c>
      <c r="AB9" s="702">
        <f t="shared" si="4"/>
        <v>1</v>
      </c>
      <c r="AC9" s="702">
        <f t="shared" si="5"/>
        <v>1</v>
      </c>
    </row>
    <row r="10" spans="1:29" s="378" customFormat="1" ht="27">
      <c r="A10" s="589"/>
      <c r="B10" s="590"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2"/>
      <c r="M10" s="2713"/>
      <c r="N10" s="2713"/>
      <c r="O10" s="2713"/>
      <c r="P10" s="3729"/>
      <c r="Q10" s="1341" t="str">
        <f t="shared" si="6"/>
        <v>土地使用年限（年）</v>
      </c>
      <c r="R10" s="699" t="s">
        <v>14</v>
      </c>
      <c r="S10" s="700">
        <f t="shared" si="0"/>
        <v>100</v>
      </c>
      <c r="T10" s="699" t="s">
        <v>14</v>
      </c>
      <c r="U10" s="700">
        <f t="shared" si="1"/>
        <v>100</v>
      </c>
      <c r="V10" s="699" t="s">
        <v>14</v>
      </c>
      <c r="W10" s="700">
        <f t="shared" si="2"/>
        <v>100</v>
      </c>
      <c r="X10" s="701"/>
      <c r="Y10" s="364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9"/>
      <c r="Q11" s="1341">
        <f t="shared" si="6"/>
        <v>111</v>
      </c>
      <c r="R11" s="699" t="s">
        <v>14</v>
      </c>
      <c r="S11" s="700">
        <f t="shared" si="0"/>
        <v>100</v>
      </c>
      <c r="T11" s="699" t="s">
        <v>14</v>
      </c>
      <c r="U11" s="700">
        <f t="shared" si="1"/>
        <v>100</v>
      </c>
      <c r="V11" s="699" t="s">
        <v>14</v>
      </c>
      <c r="W11" s="700">
        <f t="shared" si="2"/>
        <v>100</v>
      </c>
      <c r="X11" s="701"/>
      <c r="Y11" s="364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9"/>
      <c r="Q12" s="1341">
        <f t="shared" si="6"/>
        <v>111</v>
      </c>
      <c r="R12" s="699" t="s">
        <v>14</v>
      </c>
      <c r="S12" s="700">
        <f t="shared" si="0"/>
        <v>100</v>
      </c>
      <c r="T12" s="699" t="s">
        <v>14</v>
      </c>
      <c r="U12" s="700">
        <f t="shared" si="1"/>
        <v>100</v>
      </c>
      <c r="V12" s="699" t="s">
        <v>14</v>
      </c>
      <c r="W12" s="700">
        <f t="shared" si="2"/>
        <v>100</v>
      </c>
      <c r="X12" s="701"/>
      <c r="Y12" s="364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9"/>
      <c r="Q13" s="1341">
        <f t="shared" si="6"/>
        <v>111</v>
      </c>
      <c r="R13" s="699" t="s">
        <v>14</v>
      </c>
      <c r="S13" s="700">
        <f t="shared" si="0"/>
        <v>100</v>
      </c>
      <c r="T13" s="699" t="s">
        <v>14</v>
      </c>
      <c r="U13" s="700">
        <f t="shared" si="1"/>
        <v>100</v>
      </c>
      <c r="V13" s="699" t="s">
        <v>14</v>
      </c>
      <c r="W13" s="700">
        <f t="shared" si="2"/>
        <v>100</v>
      </c>
      <c r="X13" s="701"/>
      <c r="Y13" s="3649"/>
      <c r="Z13" s="52">
        <f t="shared" si="7"/>
        <v>111</v>
      </c>
      <c r="AA13" s="702">
        <f t="shared" si="3"/>
        <v>1</v>
      </c>
      <c r="AB13" s="702">
        <f t="shared" si="4"/>
        <v>1</v>
      </c>
      <c r="AC13" s="702">
        <f t="shared" si="5"/>
        <v>1</v>
      </c>
    </row>
    <row r="14" spans="1:29" ht="99.75">
      <c r="A14" s="355" t="s">
        <v>1687</v>
      </c>
      <c r="B14" s="577" t="s">
        <v>1830</v>
      </c>
      <c r="C14" s="1969" t="str">
        <f>IF(B1="工业",估价对象房地状况!G4,估价对象房地状况!C6)</f>
        <v>周边有75、110、420路及地铁2号、6号线，周边道路密集，停车便捷程度，综合评价交通便捷度好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31" t="s">
        <v>1688</v>
      </c>
      <c r="Q14" s="1350" t="str">
        <f t="shared" si="6"/>
        <v>交通便捷度</v>
      </c>
      <c r="R14" s="703" t="s">
        <v>14</v>
      </c>
      <c r="S14" s="704">
        <f t="shared" si="0"/>
        <v>100</v>
      </c>
      <c r="T14" s="703" t="s">
        <v>14</v>
      </c>
      <c r="U14" s="704">
        <f t="shared" si="1"/>
        <v>100</v>
      </c>
      <c r="V14" s="703" t="s">
        <v>14</v>
      </c>
      <c r="W14" s="704">
        <f t="shared" si="2"/>
        <v>100</v>
      </c>
      <c r="X14" s="1353"/>
      <c r="Y14" s="3731" t="s">
        <v>1688</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5"/>
      <c r="M15" s="2709"/>
      <c r="N15" s="2709"/>
      <c r="O15" s="2709"/>
      <c r="P15" s="3732"/>
      <c r="Q15" s="1350"/>
      <c r="R15" s="703"/>
      <c r="S15" s="704"/>
      <c r="T15" s="703"/>
      <c r="U15" s="704"/>
      <c r="V15" s="703"/>
      <c r="W15" s="704"/>
      <c r="X15" s="1353"/>
      <c r="Y15" s="3732"/>
      <c r="Z15" s="1354"/>
      <c r="AA15" s="1351">
        <v>1</v>
      </c>
      <c r="AB15" s="1351">
        <v>1</v>
      </c>
      <c r="AC15" s="1351">
        <v>1</v>
      </c>
    </row>
    <row r="16" spans="1:29" ht="85.5">
      <c r="A16" s="358"/>
      <c r="B16" s="579" t="s">
        <v>1809</v>
      </c>
      <c r="C16" s="1898" t="str">
        <f>IF(B1="工业",估价对象房地状况!G5,估价对象房地状况!C7)</f>
        <v>估价对象所在区域银行、购物场所、学校等公共配套设施齐备，综合评价公共配套设施水平好。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32"/>
      <c r="Q16" s="1350" t="str">
        <f>B16</f>
        <v>公共配套设施</v>
      </c>
      <c r="R16" s="703" t="s">
        <v>14</v>
      </c>
      <c r="S16" s="704">
        <f>F16</f>
        <v>100</v>
      </c>
      <c r="T16" s="703" t="s">
        <v>14</v>
      </c>
      <c r="U16" s="704">
        <f>H16</f>
        <v>100</v>
      </c>
      <c r="V16" s="703" t="s">
        <v>14</v>
      </c>
      <c r="W16" s="704">
        <f>J16</f>
        <v>100</v>
      </c>
      <c r="X16" s="1353"/>
      <c r="Y16" s="373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5"/>
      <c r="M17" s="2709"/>
      <c r="N17" s="2709"/>
      <c r="O17" s="2709"/>
      <c r="P17" s="3732"/>
      <c r="Q17" s="1350"/>
      <c r="R17" s="703"/>
      <c r="S17" s="704"/>
      <c r="T17" s="703"/>
      <c r="U17" s="704"/>
      <c r="V17" s="703"/>
      <c r="W17" s="704"/>
      <c r="X17" s="1353"/>
      <c r="Y17" s="3732"/>
      <c r="Z17" s="1354"/>
      <c r="AA17" s="1351">
        <v>1</v>
      </c>
      <c r="AB17" s="1351">
        <v>1</v>
      </c>
      <c r="AC17" s="1351">
        <v>1</v>
      </c>
    </row>
    <row r="18" spans="1:29" ht="42.75">
      <c r="A18" s="358"/>
      <c r="B18" s="581" t="s">
        <v>1810</v>
      </c>
      <c r="C18" s="1898" t="str">
        <f>IF(B1="工业",估价对象房地状况!G6,估价对象房地状况!C8)</f>
        <v>估价对象所在区域基础设施水平“七通一平</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32"/>
      <c r="Q18" s="1350" t="str">
        <f>B18</f>
        <v>基础设施水平</v>
      </c>
      <c r="R18" s="703" t="s">
        <v>14</v>
      </c>
      <c r="S18" s="704">
        <f>F18</f>
        <v>100</v>
      </c>
      <c r="T18" s="703" t="s">
        <v>14</v>
      </c>
      <c r="U18" s="704">
        <f>H18</f>
        <v>100</v>
      </c>
      <c r="V18" s="703" t="s">
        <v>14</v>
      </c>
      <c r="W18" s="704">
        <f>J18</f>
        <v>100</v>
      </c>
      <c r="X18" s="1353"/>
      <c r="Y18" s="373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5"/>
      <c r="M19" s="2709"/>
      <c r="N19" s="2709"/>
      <c r="O19" s="2709"/>
      <c r="P19" s="3732"/>
      <c r="Q19" s="1350"/>
      <c r="R19" s="703"/>
      <c r="S19" s="704"/>
      <c r="T19" s="703"/>
      <c r="U19" s="704"/>
      <c r="V19" s="703"/>
      <c r="W19" s="704"/>
      <c r="X19" s="1353"/>
      <c r="Y19" s="3732"/>
      <c r="Z19" s="1354"/>
      <c r="AA19" s="1351">
        <v>1</v>
      </c>
      <c r="AB19" s="1351">
        <v>1</v>
      </c>
      <c r="AC19" s="1351">
        <v>1</v>
      </c>
    </row>
    <row r="20" spans="1:29" ht="99.75">
      <c r="A20" s="358"/>
      <c r="B20" s="579" t="s">
        <v>1831</v>
      </c>
      <c r="C20" s="1898" t="str">
        <f>IF(B1="工业",估价对象房地状况!G7,估价对象房地状况!C9)</f>
        <v>区域内有东城职业大学、日坛公园、富国海底世界等自然及人文环境，综合评价自然及人文环境状况较好。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32"/>
      <c r="Q20" s="1350" t="str">
        <f>B20</f>
        <v>自然及人文环境</v>
      </c>
      <c r="R20" s="703" t="s">
        <v>14</v>
      </c>
      <c r="S20" s="704">
        <f>F20</f>
        <v>100</v>
      </c>
      <c r="T20" s="703" t="s">
        <v>14</v>
      </c>
      <c r="U20" s="704">
        <f>H20</f>
        <v>100</v>
      </c>
      <c r="V20" s="703" t="s">
        <v>14</v>
      </c>
      <c r="W20" s="704">
        <f>J20</f>
        <v>100</v>
      </c>
      <c r="X20" s="1353"/>
      <c r="Y20" s="373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5"/>
      <c r="M21" s="2709"/>
      <c r="N21" s="2709"/>
      <c r="O21" s="2709"/>
      <c r="P21" s="3732"/>
      <c r="Q21" s="1350"/>
      <c r="R21" s="703"/>
      <c r="S21" s="704"/>
      <c r="T21" s="703"/>
      <c r="U21" s="704"/>
      <c r="V21" s="703"/>
      <c r="W21" s="704"/>
      <c r="X21" s="1353"/>
      <c r="Y21" s="3732"/>
      <c r="Z21" s="1354"/>
      <c r="AA21" s="1351">
        <v>1</v>
      </c>
      <c r="AB21" s="1351">
        <v>1</v>
      </c>
      <c r="AC21" s="1351">
        <v>1</v>
      </c>
    </row>
    <row r="22" spans="1:29" ht="15">
      <c r="A22" s="358"/>
      <c r="B22" s="579" t="s">
        <v>1832</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32"/>
      <c r="Q22" s="1350" t="str">
        <f>B22</f>
        <v>楼层</v>
      </c>
      <c r="R22" s="703" t="s">
        <v>14</v>
      </c>
      <c r="S22" s="704">
        <f>F22</f>
        <v>100</v>
      </c>
      <c r="T22" s="703" t="s">
        <v>14</v>
      </c>
      <c r="U22" s="704">
        <f>H22</f>
        <v>100</v>
      </c>
      <c r="V22" s="703" t="s">
        <v>14</v>
      </c>
      <c r="W22" s="704">
        <f>J22</f>
        <v>100</v>
      </c>
      <c r="X22" s="1353"/>
      <c r="Y22" s="373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32"/>
      <c r="Q23" s="1350">
        <f>B23</f>
        <v>111</v>
      </c>
      <c r="R23" s="703" t="s">
        <v>14</v>
      </c>
      <c r="S23" s="704">
        <f>F23</f>
        <v>100</v>
      </c>
      <c r="T23" s="703" t="s">
        <v>14</v>
      </c>
      <c r="U23" s="704">
        <f>H23</f>
        <v>100</v>
      </c>
      <c r="V23" s="703" t="s">
        <v>14</v>
      </c>
      <c r="W23" s="704">
        <f>J23</f>
        <v>100</v>
      </c>
      <c r="X23" s="1353"/>
      <c r="Y23" s="373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32"/>
      <c r="Q24" s="1350">
        <f t="shared" ref="Q24:Q36" si="11">B24</f>
        <v>111</v>
      </c>
      <c r="R24" s="703" t="s">
        <v>14</v>
      </c>
      <c r="S24" s="704">
        <f>F24</f>
        <v>100</v>
      </c>
      <c r="T24" s="703" t="s">
        <v>14</v>
      </c>
      <c r="U24" s="704">
        <f>H24</f>
        <v>100</v>
      </c>
      <c r="V24" s="703" t="s">
        <v>14</v>
      </c>
      <c r="W24" s="704">
        <f>J24</f>
        <v>100</v>
      </c>
      <c r="X24" s="1353"/>
      <c r="Y24" s="373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32"/>
      <c r="Q25" s="1341">
        <f t="shared" si="11"/>
        <v>111</v>
      </c>
      <c r="R25" s="699" t="s">
        <v>14</v>
      </c>
      <c r="S25" s="700">
        <f>F25</f>
        <v>100</v>
      </c>
      <c r="T25" s="699" t="s">
        <v>14</v>
      </c>
      <c r="U25" s="700">
        <f>H25</f>
        <v>100</v>
      </c>
      <c r="V25" s="699" t="s">
        <v>14</v>
      </c>
      <c r="W25" s="700">
        <f>J25</f>
        <v>100</v>
      </c>
      <c r="X25" s="701"/>
      <c r="Y25" s="3732"/>
      <c r="Z25" s="52">
        <f>Q25</f>
        <v>111</v>
      </c>
      <c r="AA25" s="1351">
        <f>D25/F25</f>
        <v>1</v>
      </c>
      <c r="AB25" s="1351">
        <f>D25/H25</f>
        <v>1</v>
      </c>
      <c r="AC25" s="1351">
        <f>D25/J25</f>
        <v>1</v>
      </c>
    </row>
    <row r="26" spans="1:29" ht="28.5">
      <c r="A26" s="600" t="s">
        <v>1691</v>
      </c>
      <c r="B26" s="62" t="s">
        <v>1833</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56" t="s">
        <v>1693</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6" t="s">
        <v>1693</v>
      </c>
      <c r="Z26" s="1354" t="str">
        <f t="shared" ref="Z26:Z36" si="15">Q26</f>
        <v>配套类型</v>
      </c>
      <c r="AA26" s="1351" t="e">
        <f t="shared" si="3"/>
        <v>#DIV/0!</v>
      </c>
      <c r="AB26" s="1351" t="e">
        <f t="shared" si="4"/>
        <v>#DIV/0!</v>
      </c>
      <c r="AC26" s="1351" t="e">
        <f t="shared" si="5"/>
        <v>#DIV/0!</v>
      </c>
    </row>
    <row r="27" spans="1:29" s="422" customFormat="1" ht="15">
      <c r="A27" s="601"/>
      <c r="B27" s="602" t="s">
        <v>1834</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36"/>
      <c r="Q27" s="705" t="str">
        <f t="shared" si="11"/>
        <v>项目停车位配比</v>
      </c>
      <c r="R27" s="706" t="s">
        <v>14</v>
      </c>
      <c r="S27" s="707">
        <f t="shared" si="12"/>
        <v>100</v>
      </c>
      <c r="T27" s="706" t="s">
        <v>14</v>
      </c>
      <c r="U27" s="707">
        <f t="shared" si="13"/>
        <v>100</v>
      </c>
      <c r="V27" s="706" t="s">
        <v>14</v>
      </c>
      <c r="W27" s="707">
        <f t="shared" si="14"/>
        <v>100</v>
      </c>
      <c r="X27" s="708"/>
      <c r="Y27" s="3736"/>
      <c r="Z27" s="709" t="str">
        <f t="shared" si="15"/>
        <v>项目停车位配比</v>
      </c>
      <c r="AA27" s="1351">
        <f t="shared" si="3"/>
        <v>1</v>
      </c>
      <c r="AB27" s="1351">
        <f t="shared" si="4"/>
        <v>1</v>
      </c>
      <c r="AC27" s="1351">
        <f t="shared" si="5"/>
        <v>1</v>
      </c>
    </row>
    <row r="28" spans="1:29" ht="15">
      <c r="A28" s="604"/>
      <c r="B28" s="602" t="s">
        <v>1835</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36"/>
      <c r="Q28" s="1350" t="str">
        <f t="shared" si="11"/>
        <v>公共部分装修</v>
      </c>
      <c r="R28" s="703" t="s">
        <v>14</v>
      </c>
      <c r="S28" s="704">
        <f t="shared" si="12"/>
        <v>100</v>
      </c>
      <c r="T28" s="703" t="s">
        <v>14</v>
      </c>
      <c r="U28" s="704">
        <f t="shared" si="13"/>
        <v>100</v>
      </c>
      <c r="V28" s="703" t="s">
        <v>14</v>
      </c>
      <c r="W28" s="704">
        <f t="shared" si="14"/>
        <v>100</v>
      </c>
      <c r="X28" s="1353"/>
      <c r="Y28" s="3736"/>
      <c r="Z28" s="1354" t="str">
        <f t="shared" si="15"/>
        <v>公共部分装修</v>
      </c>
      <c r="AA28" s="1351">
        <f t="shared" si="3"/>
        <v>1</v>
      </c>
      <c r="AB28" s="1351">
        <f t="shared" si="4"/>
        <v>1</v>
      </c>
      <c r="AC28" s="1351">
        <f t="shared" si="5"/>
        <v>1</v>
      </c>
    </row>
    <row r="29" spans="1:29" ht="15">
      <c r="A29" s="604"/>
      <c r="B29" s="602"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36"/>
      <c r="Q29" s="1350" t="str">
        <f t="shared" si="11"/>
        <v>成新率</v>
      </c>
      <c r="R29" s="703" t="s">
        <v>14</v>
      </c>
      <c r="S29" s="704" t="e">
        <f t="shared" si="12"/>
        <v>#N/A</v>
      </c>
      <c r="T29" s="703" t="s">
        <v>14</v>
      </c>
      <c r="U29" s="704" t="e">
        <f t="shared" si="13"/>
        <v>#N/A</v>
      </c>
      <c r="V29" s="703" t="s">
        <v>14</v>
      </c>
      <c r="W29" s="704" t="e">
        <f t="shared" si="14"/>
        <v>#N/A</v>
      </c>
      <c r="X29" s="1353"/>
      <c r="Y29" s="3736"/>
      <c r="Z29" s="1354" t="str">
        <f t="shared" si="15"/>
        <v>成新率</v>
      </c>
      <c r="AA29" s="1351" t="e">
        <f t="shared" si="3"/>
        <v>#N/A</v>
      </c>
      <c r="AB29" s="1351" t="e">
        <f t="shared" si="4"/>
        <v>#N/A</v>
      </c>
      <c r="AC29" s="1351" t="e">
        <f t="shared" si="5"/>
        <v>#N/A</v>
      </c>
    </row>
    <row r="30" spans="1:29" ht="15">
      <c r="A30" s="604"/>
      <c r="B30" s="602" t="s">
        <v>1837</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36"/>
      <c r="Q30" s="1350" t="str">
        <f t="shared" si="11"/>
        <v>物业等级</v>
      </c>
      <c r="R30" s="703" t="s">
        <v>14</v>
      </c>
      <c r="S30" s="704">
        <f t="shared" si="12"/>
        <v>100</v>
      </c>
      <c r="T30" s="703" t="s">
        <v>14</v>
      </c>
      <c r="U30" s="704">
        <f t="shared" si="13"/>
        <v>100</v>
      </c>
      <c r="V30" s="703" t="s">
        <v>14</v>
      </c>
      <c r="W30" s="704">
        <f t="shared" si="14"/>
        <v>100</v>
      </c>
      <c r="X30" s="1353"/>
      <c r="Y30" s="3736"/>
      <c r="Z30" s="1354" t="str">
        <f t="shared" si="15"/>
        <v>物业等级</v>
      </c>
      <c r="AA30" s="1351">
        <f t="shared" si="3"/>
        <v>1</v>
      </c>
      <c r="AB30" s="1351">
        <f t="shared" si="4"/>
        <v>1</v>
      </c>
      <c r="AC30" s="1351">
        <f t="shared" si="5"/>
        <v>1</v>
      </c>
    </row>
    <row r="31" spans="1:29" s="108" customFormat="1" ht="15">
      <c r="A31" s="606"/>
      <c r="B31" s="602"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36"/>
      <c r="Q31" s="1341" t="str">
        <f t="shared" si="11"/>
        <v>停车位面积</v>
      </c>
      <c r="R31" s="699" t="s">
        <v>14</v>
      </c>
      <c r="S31" s="700" t="e">
        <f t="shared" si="12"/>
        <v>#N/A</v>
      </c>
      <c r="T31" s="699" t="s">
        <v>14</v>
      </c>
      <c r="U31" s="700" t="e">
        <f t="shared" si="13"/>
        <v>#N/A</v>
      </c>
      <c r="V31" s="699" t="s">
        <v>14</v>
      </c>
      <c r="W31" s="700" t="e">
        <f t="shared" si="14"/>
        <v>#N/A</v>
      </c>
      <c r="X31" s="701"/>
      <c r="Y31" s="3736"/>
      <c r="Z31" s="52" t="str">
        <f t="shared" si="15"/>
        <v>停车位面积</v>
      </c>
      <c r="AA31" s="702" t="e">
        <f t="shared" si="3"/>
        <v>#N/A</v>
      </c>
      <c r="AB31" s="702" t="e">
        <f t="shared" si="4"/>
        <v>#N/A</v>
      </c>
      <c r="AC31" s="702" t="e">
        <f t="shared" si="5"/>
        <v>#N/A</v>
      </c>
    </row>
    <row r="32" spans="1:29" ht="15">
      <c r="A32" s="604"/>
      <c r="B32" s="602" t="s">
        <v>1839</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36" t="s">
        <v>1693</v>
      </c>
      <c r="Q32" s="1350" t="str">
        <f t="shared" si="11"/>
        <v>车位类型</v>
      </c>
      <c r="R32" s="703" t="s">
        <v>14</v>
      </c>
      <c r="S32" s="704">
        <f t="shared" si="12"/>
        <v>100</v>
      </c>
      <c r="T32" s="703" t="s">
        <v>14</v>
      </c>
      <c r="U32" s="704">
        <f t="shared" si="13"/>
        <v>100</v>
      </c>
      <c r="V32" s="703" t="s">
        <v>14</v>
      </c>
      <c r="W32" s="704">
        <f t="shared" si="14"/>
        <v>100</v>
      </c>
      <c r="X32" s="1353"/>
      <c r="Y32" s="3736" t="s">
        <v>1693</v>
      </c>
      <c r="Z32" s="1354" t="str">
        <f t="shared" si="15"/>
        <v>车位类型</v>
      </c>
      <c r="AA32" s="1351">
        <f t="shared" si="3"/>
        <v>1</v>
      </c>
      <c r="AB32" s="1351">
        <f t="shared" si="4"/>
        <v>1</v>
      </c>
      <c r="AC32" s="1351">
        <f t="shared" si="5"/>
        <v>1</v>
      </c>
    </row>
    <row r="33" spans="1:29" ht="15">
      <c r="A33" s="604"/>
      <c r="B33" s="602" t="s">
        <v>1840</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36"/>
      <c r="Q33" s="1350" t="str">
        <f t="shared" si="11"/>
        <v>是否直接入户</v>
      </c>
      <c r="R33" s="703" t="s">
        <v>14</v>
      </c>
      <c r="S33" s="704">
        <f t="shared" si="12"/>
        <v>100</v>
      </c>
      <c r="T33" s="703" t="s">
        <v>14</v>
      </c>
      <c r="U33" s="704">
        <f t="shared" si="13"/>
        <v>100</v>
      </c>
      <c r="V33" s="703" t="s">
        <v>14</v>
      </c>
      <c r="W33" s="704">
        <f t="shared" si="14"/>
        <v>100</v>
      </c>
      <c r="X33" s="1353"/>
      <c r="Y33" s="373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36"/>
      <c r="Q34" s="1350">
        <f t="shared" si="11"/>
        <v>111</v>
      </c>
      <c r="R34" s="703" t="s">
        <v>14</v>
      </c>
      <c r="S34" s="704">
        <f t="shared" si="12"/>
        <v>100</v>
      </c>
      <c r="T34" s="703" t="s">
        <v>14</v>
      </c>
      <c r="U34" s="704">
        <f t="shared" si="13"/>
        <v>100</v>
      </c>
      <c r="V34" s="703" t="s">
        <v>14</v>
      </c>
      <c r="W34" s="704">
        <f t="shared" si="14"/>
        <v>100</v>
      </c>
      <c r="X34" s="1353"/>
      <c r="Y34" s="373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36"/>
      <c r="Q35" s="705">
        <f t="shared" si="11"/>
        <v>111</v>
      </c>
      <c r="R35" s="706" t="s">
        <v>14</v>
      </c>
      <c r="S35" s="707">
        <f t="shared" si="12"/>
        <v>100</v>
      </c>
      <c r="T35" s="706" t="s">
        <v>14</v>
      </c>
      <c r="U35" s="707">
        <f t="shared" si="13"/>
        <v>100</v>
      </c>
      <c r="V35" s="706" t="s">
        <v>14</v>
      </c>
      <c r="W35" s="707">
        <f t="shared" si="14"/>
        <v>100</v>
      </c>
      <c r="X35" s="708"/>
      <c r="Y35" s="373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36"/>
      <c r="Q36" s="1350">
        <f t="shared" si="11"/>
        <v>111</v>
      </c>
      <c r="R36" s="703" t="s">
        <v>14</v>
      </c>
      <c r="S36" s="704">
        <f t="shared" si="12"/>
        <v>100</v>
      </c>
      <c r="T36" s="703" t="s">
        <v>14</v>
      </c>
      <c r="U36" s="704">
        <f t="shared" si="13"/>
        <v>100</v>
      </c>
      <c r="V36" s="703" t="s">
        <v>14</v>
      </c>
      <c r="W36" s="704">
        <f t="shared" si="14"/>
        <v>100</v>
      </c>
      <c r="X36" s="1353"/>
      <c r="Y36" s="3736"/>
      <c r="Z36" s="1354">
        <f t="shared" si="15"/>
        <v>111</v>
      </c>
      <c r="AA36" s="1351">
        <f t="shared" si="3"/>
        <v>1</v>
      </c>
      <c r="AB36" s="1351">
        <f t="shared" si="4"/>
        <v>1</v>
      </c>
      <c r="AC36" s="1351">
        <f t="shared" si="5"/>
        <v>1</v>
      </c>
    </row>
    <row r="37" spans="1:29" ht="15">
      <c r="A37" s="430" t="s">
        <v>1841</v>
      </c>
      <c r="B37" s="1971" t="s">
        <v>3354</v>
      </c>
      <c r="C37" s="1152" t="s">
        <v>0</v>
      </c>
      <c r="D37" s="1153"/>
      <c r="E37" s="1154"/>
      <c r="F37" s="1155"/>
      <c r="G37" s="1156"/>
      <c r="H37" s="1157"/>
      <c r="I37" s="1154"/>
      <c r="J37" s="1157"/>
      <c r="K37" s="568"/>
      <c r="L37" s="2717"/>
      <c r="M37" s="2718"/>
      <c r="N37" s="2709"/>
      <c r="O37" s="2718"/>
      <c r="P37" s="3729" t="str">
        <f>A37</f>
        <v>成交单价</v>
      </c>
      <c r="Q37" s="3729"/>
      <c r="R37" s="3730">
        <f>E37</f>
        <v>0</v>
      </c>
      <c r="S37" s="3730"/>
      <c r="T37" s="3730">
        <f>G37</f>
        <v>0</v>
      </c>
      <c r="U37" s="3730"/>
      <c r="V37" s="3730">
        <f>I37</f>
        <v>0</v>
      </c>
      <c r="W37" s="3730"/>
      <c r="X37" s="688"/>
      <c r="Y37" s="710"/>
      <c r="Z37" s="688"/>
      <c r="AA37" s="688"/>
      <c r="AB37" s="688"/>
      <c r="AC37" s="688"/>
    </row>
    <row r="38" spans="1:29" ht="15.75" thickBot="1">
      <c r="A38" s="437" t="s">
        <v>1842</v>
      </c>
      <c r="B38" s="438" t="str">
        <f>B37</f>
        <v>元/平方米</v>
      </c>
      <c r="C38" s="1158" t="e">
        <f>R39</f>
        <v>#DIV/0!</v>
      </c>
      <c r="D38" s="2315" t="s">
        <v>2133</v>
      </c>
      <c r="E38" s="1159" t="e">
        <f>R38</f>
        <v>#DIV/0!</v>
      </c>
      <c r="F38" s="2316"/>
      <c r="G38" s="1158" t="e">
        <f>T38</f>
        <v>#DIV/0!</v>
      </c>
      <c r="H38" s="2316"/>
      <c r="I38" s="1159" t="e">
        <f>V38</f>
        <v>#DIV/0!</v>
      </c>
      <c r="J38" s="2316"/>
      <c r="K38" s="2318">
        <f>F38+H38+J38</f>
        <v>0</v>
      </c>
      <c r="L38" s="2717"/>
      <c r="M38" s="2718"/>
      <c r="N38" s="2718"/>
      <c r="O38" s="2718"/>
      <c r="P38" s="3729" t="str">
        <f>A38</f>
        <v>比较价值（元/平方米）</v>
      </c>
      <c r="Q38" s="3729"/>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88"/>
      <c r="Y38" s="688"/>
      <c r="Z38" s="688"/>
      <c r="AA38" s="688"/>
      <c r="AB38" s="688"/>
      <c r="AC38" s="688"/>
    </row>
    <row r="39" spans="1:29" ht="15.75" thickBot="1">
      <c r="A39" s="441" t="s">
        <v>1843</v>
      </c>
      <c r="B39" s="442"/>
      <c r="C39" s="1161" t="e">
        <f>R39</f>
        <v>#DIV/0!</v>
      </c>
      <c r="D39" s="1161"/>
      <c r="E39" s="1161"/>
      <c r="F39" s="1161"/>
      <c r="G39" s="1161"/>
      <c r="H39" s="1161"/>
      <c r="I39" s="1161"/>
      <c r="J39" s="1161"/>
      <c r="K39" s="569"/>
      <c r="L39" s="2717"/>
      <c r="M39" s="2718"/>
      <c r="N39" s="2718"/>
      <c r="O39" s="2718"/>
      <c r="P39" s="3726" t="str">
        <f>A39</f>
        <v>估价对象XX用房的比较价值（楼面单价，元/平方米）</v>
      </c>
      <c r="Q39" s="3727"/>
      <c r="R39" s="3757" t="e">
        <f>IF(F1="售价",ROUND(IF(D38="简单平均",AVERAGE(R38:W38),R38*F38+T38*H38+V38*J38),0),ROUND(IF(D38="简单平均",AVERAGE(R38:V38),R38*F38+T38*H38+V38*J38),1))</f>
        <v>#DIV/0!</v>
      </c>
      <c r="S39" s="3757"/>
      <c r="T39" s="3757"/>
      <c r="U39" s="3757"/>
      <c r="V39" s="3757"/>
      <c r="W39" s="3757"/>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1847</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7" customFormat="1" ht="15">
      <c r="A48" s="454" t="s">
        <v>1848</v>
      </c>
      <c r="B48" s="455"/>
      <c r="C48" s="1182" t="str">
        <f>YEAR(C7)&amp;"-"&amp;MONTH(C7)</f>
        <v>2023-4</v>
      </c>
      <c r="D48" s="1183">
        <f>EDATE(C48,-1)</f>
        <v>44986</v>
      </c>
      <c r="E48" s="1183">
        <f t="shared" ref="E48:O48" si="16">EDATE(D48,-1)</f>
        <v>44958</v>
      </c>
      <c r="F48" s="1183">
        <f t="shared" si="16"/>
        <v>44927</v>
      </c>
      <c r="G48" s="1183">
        <f t="shared" si="16"/>
        <v>44896</v>
      </c>
      <c r="H48" s="1183">
        <f t="shared" si="16"/>
        <v>44866</v>
      </c>
      <c r="I48" s="1183">
        <f t="shared" si="16"/>
        <v>44835</v>
      </c>
      <c r="J48" s="1183">
        <f t="shared" si="16"/>
        <v>44805</v>
      </c>
      <c r="K48" s="1183">
        <f t="shared" si="16"/>
        <v>44774</v>
      </c>
      <c r="L48" s="1183">
        <f t="shared" si="16"/>
        <v>44743</v>
      </c>
      <c r="M48" s="1183">
        <f t="shared" si="16"/>
        <v>44713</v>
      </c>
      <c r="N48" s="1183">
        <f t="shared" si="16"/>
        <v>44682</v>
      </c>
      <c r="O48" s="1183">
        <f t="shared" si="16"/>
        <v>44652</v>
      </c>
      <c r="P48" s="2752"/>
      <c r="Q48" s="2734"/>
      <c r="R48" s="2734"/>
      <c r="S48" s="2734"/>
      <c r="T48" s="2734"/>
      <c r="U48" s="2734"/>
      <c r="V48" s="2734"/>
      <c r="W48" s="2734"/>
      <c r="X48" s="2734"/>
      <c r="Y48" s="2734"/>
      <c r="Z48" s="2734"/>
      <c r="AA48" s="2734"/>
      <c r="AB48" s="2734"/>
      <c r="AC48" s="2734"/>
    </row>
    <row r="49" spans="1:29" s="108" customFormat="1" ht="15">
      <c r="A49" s="458"/>
      <c r="B49" s="459"/>
      <c r="C49" s="1175">
        <v>100</v>
      </c>
      <c r="D49" s="461"/>
      <c r="E49" s="461"/>
      <c r="F49" s="461"/>
      <c r="G49" s="461"/>
      <c r="H49" s="461"/>
      <c r="I49" s="461"/>
      <c r="J49" s="461"/>
      <c r="K49" s="461"/>
      <c r="L49" s="461"/>
      <c r="M49" s="462"/>
      <c r="N49" s="461"/>
      <c r="O49" s="462"/>
      <c r="P49" s="2753"/>
      <c r="Q49" s="2655"/>
      <c r="R49" s="2655"/>
      <c r="S49" s="2655"/>
      <c r="T49" s="2655"/>
      <c r="U49" s="2655"/>
      <c r="V49" s="2655"/>
      <c r="W49" s="2655"/>
      <c r="X49" s="2655"/>
      <c r="Y49" s="2655"/>
      <c r="Z49" s="2655"/>
      <c r="AA49" s="2655"/>
      <c r="AB49" s="2655"/>
      <c r="AC49" s="2655"/>
    </row>
    <row r="50" spans="1:29" s="108" customFormat="1" ht="15.75" thickBot="1">
      <c r="A50" s="464" t="s">
        <v>1713</v>
      </c>
      <c r="B50" s="465"/>
      <c r="C50" s="466"/>
      <c r="D50" s="467"/>
      <c r="E50" s="467"/>
      <c r="F50" s="467"/>
      <c r="G50" s="467"/>
      <c r="H50" s="467"/>
      <c r="I50" s="467"/>
      <c r="J50" s="467"/>
      <c r="K50" s="467"/>
      <c r="L50" s="467"/>
      <c r="M50" s="468"/>
      <c r="N50" s="467"/>
      <c r="O50" s="468"/>
      <c r="P50" s="2753"/>
      <c r="Q50" s="2732"/>
      <c r="R50" s="2655"/>
      <c r="S50" s="2655"/>
      <c r="T50" s="2655"/>
      <c r="U50" s="2655"/>
      <c r="V50" s="2655"/>
      <c r="W50" s="2655"/>
      <c r="X50" s="2655"/>
      <c r="Y50" s="2655"/>
      <c r="Z50" s="2655"/>
      <c r="AA50" s="2655"/>
      <c r="AB50" s="2655"/>
      <c r="AC50" s="2655"/>
    </row>
    <row r="51" spans="1:29" s="108" customFormat="1" ht="15">
      <c r="A51" s="470" t="s">
        <v>1678</v>
      </c>
      <c r="B51" s="459"/>
      <c r="C51" s="471" t="s">
        <v>1773</v>
      </c>
      <c r="D51" s="472"/>
      <c r="E51" s="472"/>
      <c r="F51" s="472"/>
      <c r="G51" s="472"/>
      <c r="H51" s="472"/>
      <c r="I51" s="472"/>
      <c r="J51" s="472"/>
      <c r="K51" s="472"/>
      <c r="L51" s="473"/>
      <c r="M51" s="474"/>
      <c r="N51" s="2745"/>
      <c r="O51" s="2745"/>
      <c r="P51" s="2754"/>
      <c r="Q51" s="2732"/>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5"/>
      <c r="S52" s="2655"/>
      <c r="T52" s="2655"/>
      <c r="U52" s="2655"/>
      <c r="V52" s="2655"/>
      <c r="W52" s="2655"/>
      <c r="X52" s="2655"/>
      <c r="Y52" s="2655"/>
      <c r="Z52" s="2655"/>
      <c r="AA52" s="2655"/>
      <c r="AB52" s="2655"/>
      <c r="AC52" s="2655"/>
    </row>
    <row r="53" spans="1:29">
      <c r="A53" s="476" t="s">
        <v>1716</v>
      </c>
      <c r="B53" s="477" t="s">
        <v>1682</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1685</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1724</v>
      </c>
      <c r="C65" s="527" t="s">
        <v>1718</v>
      </c>
      <c r="D65" s="527" t="s">
        <v>1719</v>
      </c>
      <c r="E65" s="527" t="s">
        <v>1720</v>
      </c>
      <c r="F65" s="527" t="s">
        <v>1721</v>
      </c>
      <c r="G65" s="527" t="s">
        <v>1722</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1810</v>
      </c>
      <c r="C67" s="608" t="s">
        <v>1796</v>
      </c>
      <c r="D67" s="608" t="s">
        <v>1797</v>
      </c>
      <c r="E67" s="608" t="s">
        <v>1798</v>
      </c>
      <c r="F67" s="608" t="s">
        <v>1799</v>
      </c>
      <c r="G67" s="608" t="s">
        <v>1800</v>
      </c>
      <c r="H67" s="488"/>
      <c r="I67" s="488"/>
      <c r="J67" s="488"/>
      <c r="K67" s="488"/>
      <c r="L67" s="488"/>
      <c r="M67" s="1127"/>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1730</v>
      </c>
      <c r="C69" s="527" t="s">
        <v>1718</v>
      </c>
      <c r="D69" s="527" t="s">
        <v>1719</v>
      </c>
      <c r="E69" s="527" t="s">
        <v>1720</v>
      </c>
      <c r="F69" s="527" t="s">
        <v>1721</v>
      </c>
      <c r="G69" s="527" t="s">
        <v>1722</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1849</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7"/>
      <c r="O74" s="2747"/>
      <c r="P74" s="2755"/>
      <c r="Q74" s="2732"/>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7"/>
      <c r="O76" s="2747"/>
      <c r="P76" s="2755"/>
      <c r="Q76" s="2732"/>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1691</v>
      </c>
      <c r="B79" s="477" t="s">
        <v>1850</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1851</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1737</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1853</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1855</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1856</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受贵公司委托，我公司对北京市朝阳区朝阳门外大街18号房地产抵押价值进行了预评估。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估价对象为北京市朝阳区朝阳门外大街18号房地产，为银鼎投资（北京）有限公司所有。根据《国有土地使用证》[]，估价对象（分摊）出让国有建设用地使用权面积为396.01平方米，建筑面积为3455.7平方米。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房地产,属银鼎投资（北京）有限公司开发建设的办公项目，该项目尚在开发建设中。根据《国有土地使用证》[]，估价对象（分摊）出让国有建设用地使用权面积为396.01平方米，规划建筑面积为3455.7平方米。</v>
      </c>
    </row>
    <row r="11" spans="1:1" ht="76.5">
      <c r="A11" s="1481" t="s">
        <v>903</v>
      </c>
    </row>
    <row r="12" spans="1:1" ht="18.75">
      <c r="A12" s="1479" t="s">
        <v>904</v>
      </c>
    </row>
    <row r="13" spans="1:1" ht="38.25" customHeight="1">
      <c r="A13" s="1482" t="str">
        <f>IF(项目基本情况!B8="抵押",IF(项目基本情况!B5=项目基本情况!B6,定义!C51,定义!B51),定义!D51)</f>
        <v>银鼎投资（北京）有限公司拟使用北京市朝阳区朝阳门外大街18号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2023年4月21日（评估专业人员实地查勘之日）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1828</v>
      </c>
      <c r="B1" s="1221" t="s">
        <v>3334</v>
      </c>
      <c r="C1" s="1222" t="s">
        <v>1659</v>
      </c>
      <c r="D1" s="1223"/>
      <c r="E1" s="3428"/>
      <c r="F1" s="1877"/>
      <c r="G1" s="1233" t="s">
        <v>1764</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1459</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1460</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1461</v>
      </c>
      <c r="B3" s="558" t="e">
        <f>IF(C2="——",C37,ROUND(B2*10000/D3,0))</f>
        <v>#DIV/0!</v>
      </c>
      <c r="C3" s="354" t="s">
        <v>1765</v>
      </c>
      <c r="D3" s="353">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699" t="s">
        <v>1768</v>
      </c>
      <c r="S4" s="3700"/>
      <c r="T4" s="3699" t="s">
        <v>1769</v>
      </c>
      <c r="U4" s="3700"/>
      <c r="V4" s="3724" t="s">
        <v>1770</v>
      </c>
      <c r="W4" s="3724"/>
      <c r="X4" s="1353"/>
      <c r="Y4" s="3699" t="s">
        <v>1772</v>
      </c>
      <c r="Z4" s="3700"/>
      <c r="AA4" s="3694" t="s">
        <v>1768</v>
      </c>
      <c r="AB4" s="3695" t="s">
        <v>1769</v>
      </c>
      <c r="AC4" s="3694" t="s">
        <v>1770</v>
      </c>
    </row>
    <row r="5" spans="1:29" ht="15">
      <c r="A5" s="358"/>
      <c r="B5" s="359"/>
      <c r="C5" s="3705" t="s">
        <v>1670</v>
      </c>
      <c r="D5" s="3706"/>
      <c r="E5" s="3703" t="s">
        <v>1671</v>
      </c>
      <c r="F5" s="3704"/>
      <c r="G5" s="3705" t="s">
        <v>1672</v>
      </c>
      <c r="H5" s="3706"/>
      <c r="I5" s="3705" t="s">
        <v>1673</v>
      </c>
      <c r="J5" s="3706"/>
      <c r="K5" s="559"/>
      <c r="L5" s="2708"/>
      <c r="M5" s="2709"/>
      <c r="N5" s="2709"/>
      <c r="O5" s="2709"/>
      <c r="P5" s="3718"/>
      <c r="Q5" s="3719"/>
      <c r="R5" s="3701"/>
      <c r="S5" s="3702"/>
      <c r="T5" s="3701"/>
      <c r="U5" s="3702"/>
      <c r="V5" s="3724"/>
      <c r="W5" s="3724"/>
      <c r="X5" s="1353"/>
      <c r="Y5" s="3701"/>
      <c r="Z5" s="3702"/>
      <c r="AA5" s="3695"/>
      <c r="AB5" s="3695"/>
      <c r="AC5" s="3695"/>
    </row>
    <row r="6" spans="1:29" ht="15.75" thickBot="1">
      <c r="A6" s="360"/>
      <c r="B6" s="361"/>
      <c r="C6" s="3707" t="s">
        <v>1674</v>
      </c>
      <c r="D6" s="3708"/>
      <c r="E6" s="3709" t="s">
        <v>1674</v>
      </c>
      <c r="F6" s="3710"/>
      <c r="G6" s="3707" t="s">
        <v>1674</v>
      </c>
      <c r="H6" s="3708"/>
      <c r="I6" s="3707" t="s">
        <v>1674</v>
      </c>
      <c r="J6" s="3708"/>
      <c r="K6" s="559" t="s">
        <v>1675</v>
      </c>
      <c r="L6" s="2708"/>
      <c r="M6" s="2709"/>
      <c r="N6" s="2709"/>
      <c r="O6" s="2709"/>
      <c r="P6" s="3720"/>
      <c r="Q6" s="3721"/>
      <c r="R6" s="3701"/>
      <c r="S6" s="3702"/>
      <c r="T6" s="3722"/>
      <c r="U6" s="3723"/>
      <c r="V6" s="3724"/>
      <c r="W6" s="3724"/>
      <c r="X6" s="1353"/>
      <c r="Y6" s="3722"/>
      <c r="Z6" s="3723"/>
      <c r="AA6" s="3696"/>
      <c r="AB6" s="3696"/>
      <c r="AC6" s="3696"/>
    </row>
    <row r="7" spans="1:29" s="108" customFormat="1" ht="15.75" thickBot="1">
      <c r="A7" s="362" t="s">
        <v>1676</v>
      </c>
      <c r="B7" s="363"/>
      <c r="C7" s="364">
        <f>'数据-取费表'!B2</f>
        <v>45037</v>
      </c>
      <c r="D7" s="365">
        <v>100</v>
      </c>
      <c r="E7" s="366"/>
      <c r="F7" s="367">
        <f>SUMIF(46:46,YEAR(E7)&amp;"-"&amp;MONTH(E7),47:47)</f>
        <v>0</v>
      </c>
      <c r="G7" s="1972"/>
      <c r="H7" s="365">
        <f>SUMIF(46:46,YEAR(G7)&amp;"-"&amp;MONTH(G7),47:47)</f>
        <v>0</v>
      </c>
      <c r="I7" s="366"/>
      <c r="J7" s="365">
        <f>SUMIF(46:46,YEAR(I7)&amp;"-"&amp;MONTH(I7),47:47)</f>
        <v>0</v>
      </c>
      <c r="K7" s="560"/>
      <c r="L7" s="2710"/>
      <c r="M7" s="2711"/>
      <c r="N7" s="2711"/>
      <c r="O7" s="2711"/>
      <c r="P7" s="3697" t="s">
        <v>1677</v>
      </c>
      <c r="Q7" s="3725"/>
      <c r="R7" s="699" t="s">
        <v>14</v>
      </c>
      <c r="S7" s="700">
        <f t="shared" ref="S7:S14" si="0">F7</f>
        <v>0</v>
      </c>
      <c r="T7" s="699" t="s">
        <v>14</v>
      </c>
      <c r="U7" s="700">
        <f t="shared" ref="U7:U14" si="1">H7</f>
        <v>0</v>
      </c>
      <c r="V7" s="699" t="s">
        <v>14</v>
      </c>
      <c r="W7" s="700">
        <f t="shared" ref="W7:W14" si="2">J7</f>
        <v>0</v>
      </c>
      <c r="X7" s="701"/>
      <c r="Y7" s="3697" t="s">
        <v>1677</v>
      </c>
      <c r="Z7" s="3698"/>
      <c r="AA7" s="702" t="e">
        <f>D7/F7</f>
        <v>#DIV/0!</v>
      </c>
      <c r="AB7" s="702" t="e">
        <f>D7/H7</f>
        <v>#DIV/0!</v>
      </c>
      <c r="AC7" s="702"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97" t="s">
        <v>1680</v>
      </c>
      <c r="Q8" s="3698"/>
      <c r="R8" s="699" t="s">
        <v>14</v>
      </c>
      <c r="S8" s="700">
        <f t="shared" si="0"/>
        <v>100</v>
      </c>
      <c r="T8" s="699" t="s">
        <v>14</v>
      </c>
      <c r="U8" s="700">
        <f t="shared" si="1"/>
        <v>100</v>
      </c>
      <c r="V8" s="699" t="s">
        <v>14</v>
      </c>
      <c r="W8" s="700">
        <f t="shared" si="2"/>
        <v>100</v>
      </c>
      <c r="X8" s="701"/>
      <c r="Y8" s="3697" t="s">
        <v>1680</v>
      </c>
      <c r="Z8" s="3698"/>
      <c r="AA8" s="702">
        <f t="shared" ref="AA8:AA34" si="3">D8/F8</f>
        <v>1</v>
      </c>
      <c r="AB8" s="702">
        <f t="shared" ref="AB8:AB34" si="4">D8/H8</f>
        <v>1</v>
      </c>
      <c r="AC8" s="702">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9" t="s">
        <v>1683</v>
      </c>
      <c r="Q9" s="1341" t="str">
        <f t="shared" ref="Q9:Q14" si="6">B9</f>
        <v>用途</v>
      </c>
      <c r="R9" s="699" t="s">
        <v>14</v>
      </c>
      <c r="S9" s="700">
        <f t="shared" si="0"/>
        <v>100</v>
      </c>
      <c r="T9" s="699" t="s">
        <v>14</v>
      </c>
      <c r="U9" s="700">
        <f t="shared" si="1"/>
        <v>100</v>
      </c>
      <c r="V9" s="699" t="s">
        <v>14</v>
      </c>
      <c r="W9" s="700">
        <f t="shared" si="2"/>
        <v>100</v>
      </c>
      <c r="X9" s="701"/>
      <c r="Y9" s="3649" t="s">
        <v>1684</v>
      </c>
      <c r="Z9" s="52" t="str">
        <f t="shared" ref="Z9:Z14" si="7">Q9</f>
        <v>用途</v>
      </c>
      <c r="AA9" s="702">
        <f t="shared" si="3"/>
        <v>1</v>
      </c>
      <c r="AB9" s="702">
        <f t="shared" si="4"/>
        <v>1</v>
      </c>
      <c r="AC9" s="702">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2"/>
      <c r="M10" s="2713"/>
      <c r="N10" s="2713"/>
      <c r="O10" s="2766"/>
      <c r="P10" s="3729"/>
      <c r="Q10" s="1341" t="str">
        <f t="shared" si="6"/>
        <v>土地使用年限（年）</v>
      </c>
      <c r="R10" s="699" t="s">
        <v>14</v>
      </c>
      <c r="S10" s="700">
        <f t="shared" si="0"/>
        <v>100</v>
      </c>
      <c r="T10" s="699" t="s">
        <v>14</v>
      </c>
      <c r="U10" s="700">
        <f t="shared" si="1"/>
        <v>100</v>
      </c>
      <c r="V10" s="699" t="s">
        <v>14</v>
      </c>
      <c r="W10" s="700">
        <f t="shared" si="2"/>
        <v>100</v>
      </c>
      <c r="X10" s="701"/>
      <c r="Y10" s="364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9"/>
      <c r="Q11" s="1341">
        <f t="shared" si="6"/>
        <v>111</v>
      </c>
      <c r="R11" s="699" t="s">
        <v>14</v>
      </c>
      <c r="S11" s="700">
        <f t="shared" si="0"/>
        <v>100</v>
      </c>
      <c r="T11" s="699" t="s">
        <v>14</v>
      </c>
      <c r="U11" s="700">
        <f t="shared" si="1"/>
        <v>100</v>
      </c>
      <c r="V11" s="699" t="s">
        <v>14</v>
      </c>
      <c r="W11" s="700">
        <f t="shared" si="2"/>
        <v>100</v>
      </c>
      <c r="X11" s="701"/>
      <c r="Y11" s="364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9"/>
      <c r="Q12" s="1341">
        <f t="shared" si="6"/>
        <v>111</v>
      </c>
      <c r="R12" s="699" t="s">
        <v>14</v>
      </c>
      <c r="S12" s="700">
        <f t="shared" si="0"/>
        <v>100</v>
      </c>
      <c r="T12" s="699" t="s">
        <v>14</v>
      </c>
      <c r="U12" s="700">
        <f t="shared" si="1"/>
        <v>100</v>
      </c>
      <c r="V12" s="699" t="s">
        <v>14</v>
      </c>
      <c r="W12" s="700">
        <f t="shared" si="2"/>
        <v>100</v>
      </c>
      <c r="X12" s="701"/>
      <c r="Y12" s="364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5"/>
      <c r="M13" s="2709"/>
      <c r="N13" s="2709"/>
      <c r="O13" s="2767"/>
      <c r="P13" s="3729"/>
      <c r="Q13" s="1341">
        <f t="shared" si="6"/>
        <v>111</v>
      </c>
      <c r="R13" s="699" t="s">
        <v>14</v>
      </c>
      <c r="S13" s="700">
        <f t="shared" si="0"/>
        <v>100</v>
      </c>
      <c r="T13" s="699" t="s">
        <v>14</v>
      </c>
      <c r="U13" s="700">
        <f t="shared" si="1"/>
        <v>100</v>
      </c>
      <c r="V13" s="699" t="s">
        <v>14</v>
      </c>
      <c r="W13" s="700">
        <f t="shared" si="2"/>
        <v>100</v>
      </c>
      <c r="X13" s="701"/>
      <c r="Y13" s="3649"/>
      <c r="Z13" s="52">
        <f t="shared" si="7"/>
        <v>111</v>
      </c>
      <c r="AA13" s="702">
        <f t="shared" si="3"/>
        <v>1</v>
      </c>
      <c r="AB13" s="702">
        <f t="shared" si="4"/>
        <v>1</v>
      </c>
      <c r="AC13" s="702">
        <f t="shared" si="5"/>
        <v>1</v>
      </c>
    </row>
    <row r="14" spans="1:29" ht="99.75">
      <c r="A14" s="391" t="s">
        <v>1687</v>
      </c>
      <c r="B14" s="61" t="s">
        <v>1830</v>
      </c>
      <c r="C14" s="1969" t="str">
        <f>IF(B1="工业",估价对象房地状况!G4,估价对象房地状况!C6)</f>
        <v>周边有75、110、420路及地铁2号、6号线，周边道路密集，停车便捷程度，综合评价交通便捷度好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31" t="s">
        <v>1688</v>
      </c>
      <c r="Q14" s="1350" t="str">
        <f t="shared" si="6"/>
        <v>交通便捷度</v>
      </c>
      <c r="R14" s="703" t="s">
        <v>14</v>
      </c>
      <c r="S14" s="704">
        <f t="shared" si="0"/>
        <v>100</v>
      </c>
      <c r="T14" s="703" t="s">
        <v>14</v>
      </c>
      <c r="U14" s="704">
        <f t="shared" si="1"/>
        <v>100</v>
      </c>
      <c r="V14" s="703" t="s">
        <v>14</v>
      </c>
      <c r="W14" s="704">
        <f t="shared" si="2"/>
        <v>100</v>
      </c>
      <c r="X14" s="1353"/>
      <c r="Y14" s="3731" t="s">
        <v>1688</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7"/>
      <c r="P15" s="3732"/>
      <c r="Q15" s="1350"/>
      <c r="R15" s="703"/>
      <c r="S15" s="704"/>
      <c r="T15" s="703"/>
      <c r="U15" s="704"/>
      <c r="V15" s="703"/>
      <c r="W15" s="704"/>
      <c r="X15" s="1353"/>
      <c r="Y15" s="3732"/>
      <c r="Z15" s="1354"/>
      <c r="AA15" s="1351">
        <v>1</v>
      </c>
      <c r="AB15" s="1351">
        <v>1</v>
      </c>
      <c r="AC15" s="1351">
        <v>1</v>
      </c>
    </row>
    <row r="16" spans="1:29" ht="85.5">
      <c r="A16" s="379"/>
      <c r="B16" s="402" t="s">
        <v>1809</v>
      </c>
      <c r="C16" s="1898" t="str">
        <f>IF(B1="工业",估价对象房地状况!G5,估价对象房地状况!C7)</f>
        <v>估价对象所在区域银行、购物场所、学校等公共配套设施齐备，综合评价公共配套设施水平好。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32"/>
      <c r="Q16" s="1350" t="str">
        <f>B16</f>
        <v>公共配套设施</v>
      </c>
      <c r="R16" s="703" t="s">
        <v>14</v>
      </c>
      <c r="S16" s="704">
        <f>F16</f>
        <v>100</v>
      </c>
      <c r="T16" s="703" t="s">
        <v>14</v>
      </c>
      <c r="U16" s="704">
        <f>H16</f>
        <v>100</v>
      </c>
      <c r="V16" s="703" t="s">
        <v>14</v>
      </c>
      <c r="W16" s="704">
        <f>J16</f>
        <v>100</v>
      </c>
      <c r="X16" s="1353"/>
      <c r="Y16" s="373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7"/>
      <c r="P17" s="3732"/>
      <c r="Q17" s="1350"/>
      <c r="R17" s="703"/>
      <c r="S17" s="704"/>
      <c r="T17" s="703"/>
      <c r="U17" s="704"/>
      <c r="V17" s="703"/>
      <c r="W17" s="704"/>
      <c r="X17" s="1353"/>
      <c r="Y17" s="3732"/>
      <c r="Z17" s="1354"/>
      <c r="AA17" s="1351">
        <v>1</v>
      </c>
      <c r="AB17" s="1351">
        <v>1</v>
      </c>
      <c r="AC17" s="1351">
        <v>1</v>
      </c>
    </row>
    <row r="18" spans="1:29" ht="42.75">
      <c r="A18" s="379"/>
      <c r="B18" s="1129" t="s">
        <v>1810</v>
      </c>
      <c r="C18" s="1898" t="str">
        <f>IF(B1="工业",估价对象房地状况!G6,估价对象房地状况!C8)</f>
        <v>估价对象所在区域基础设施水平“七通一平</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32"/>
      <c r="Q18" s="1350" t="str">
        <f>B18</f>
        <v>基础设施水平</v>
      </c>
      <c r="R18" s="703" t="s">
        <v>14</v>
      </c>
      <c r="S18" s="704">
        <f>F18</f>
        <v>100</v>
      </c>
      <c r="T18" s="703" t="s">
        <v>14</v>
      </c>
      <c r="U18" s="704">
        <f>H18</f>
        <v>100</v>
      </c>
      <c r="V18" s="703" t="s">
        <v>14</v>
      </c>
      <c r="W18" s="704">
        <f>J18</f>
        <v>100</v>
      </c>
      <c r="X18" s="1353"/>
      <c r="Y18" s="373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5"/>
      <c r="M19" s="2709"/>
      <c r="N19" s="2709"/>
      <c r="O19" s="2767"/>
      <c r="P19" s="3732"/>
      <c r="Q19" s="1350"/>
      <c r="R19" s="703"/>
      <c r="S19" s="704"/>
      <c r="T19" s="703"/>
      <c r="U19" s="704"/>
      <c r="V19" s="703"/>
      <c r="W19" s="704"/>
      <c r="X19" s="1353"/>
      <c r="Y19" s="3732"/>
      <c r="Z19" s="1354"/>
      <c r="AA19" s="1351">
        <v>1</v>
      </c>
      <c r="AB19" s="1351">
        <v>1</v>
      </c>
      <c r="AC19" s="1351">
        <v>1</v>
      </c>
    </row>
    <row r="20" spans="1:29" ht="99.75">
      <c r="A20" s="379"/>
      <c r="B20" s="402" t="s">
        <v>1831</v>
      </c>
      <c r="C20" s="1898" t="str">
        <f>IF(B1="工业",估价对象房地状况!G7,估价对象房地状况!C9)</f>
        <v>区域内有东城职业大学、日坛公园、富国海底世界等自然及人文环境，综合评价自然及人文环境状况较好。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32"/>
      <c r="Q20" s="1350" t="str">
        <f>B20</f>
        <v>自然及人文环境</v>
      </c>
      <c r="R20" s="703" t="s">
        <v>14</v>
      </c>
      <c r="S20" s="704">
        <f>F20</f>
        <v>100</v>
      </c>
      <c r="T20" s="703" t="s">
        <v>14</v>
      </c>
      <c r="U20" s="704">
        <f>H20</f>
        <v>100</v>
      </c>
      <c r="V20" s="703" t="s">
        <v>14</v>
      </c>
      <c r="W20" s="704">
        <f>J20</f>
        <v>100</v>
      </c>
      <c r="X20" s="1353"/>
      <c r="Y20" s="373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7"/>
      <c r="P21" s="3732"/>
      <c r="Q21" s="1350"/>
      <c r="R21" s="703"/>
      <c r="S21" s="704"/>
      <c r="T21" s="703"/>
      <c r="U21" s="704"/>
      <c r="V21" s="703"/>
      <c r="W21" s="704"/>
      <c r="X21" s="1353"/>
      <c r="Y21" s="3732"/>
      <c r="Z21" s="1354"/>
      <c r="AA21" s="1351">
        <v>1</v>
      </c>
      <c r="AB21" s="1351">
        <v>1</v>
      </c>
      <c r="AC21" s="1351">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32"/>
      <c r="Q22" s="1350" t="str">
        <f>B22</f>
        <v>楼层</v>
      </c>
      <c r="R22" s="703" t="s">
        <v>14</v>
      </c>
      <c r="S22" s="704">
        <f>F22</f>
        <v>100</v>
      </c>
      <c r="T22" s="703" t="s">
        <v>14</v>
      </c>
      <c r="U22" s="704">
        <f>H22</f>
        <v>100</v>
      </c>
      <c r="V22" s="703" t="s">
        <v>14</v>
      </c>
      <c r="W22" s="704">
        <f>J22</f>
        <v>100</v>
      </c>
      <c r="X22" s="1353"/>
      <c r="Y22" s="373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32"/>
      <c r="Q23" s="1350">
        <f>B23</f>
        <v>111</v>
      </c>
      <c r="R23" s="703" t="s">
        <v>14</v>
      </c>
      <c r="S23" s="704">
        <f>F23</f>
        <v>100</v>
      </c>
      <c r="T23" s="703" t="s">
        <v>14</v>
      </c>
      <c r="U23" s="704">
        <f>H23</f>
        <v>100</v>
      </c>
      <c r="V23" s="703" t="s">
        <v>14</v>
      </c>
      <c r="W23" s="704">
        <f>J23</f>
        <v>100</v>
      </c>
      <c r="X23" s="1353"/>
      <c r="Y23" s="373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32"/>
      <c r="Q24" s="1350">
        <f t="shared" ref="Q24:Q34" si="11">B24</f>
        <v>111</v>
      </c>
      <c r="R24" s="703" t="s">
        <v>14</v>
      </c>
      <c r="S24" s="704">
        <f>F24</f>
        <v>100</v>
      </c>
      <c r="T24" s="703" t="s">
        <v>14</v>
      </c>
      <c r="U24" s="704">
        <f>H24</f>
        <v>100</v>
      </c>
      <c r="V24" s="703" t="s">
        <v>14</v>
      </c>
      <c r="W24" s="704">
        <f>J24</f>
        <v>100</v>
      </c>
      <c r="X24" s="1353"/>
      <c r="Y24" s="373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0"/>
      <c r="M25" s="2711"/>
      <c r="N25" s="2711"/>
      <c r="O25" s="2765"/>
      <c r="P25" s="3732"/>
      <c r="Q25" s="1341">
        <f t="shared" si="11"/>
        <v>111</v>
      </c>
      <c r="R25" s="699" t="s">
        <v>14</v>
      </c>
      <c r="S25" s="700">
        <f>F25</f>
        <v>100</v>
      </c>
      <c r="T25" s="699" t="s">
        <v>14</v>
      </c>
      <c r="U25" s="700">
        <f>H25</f>
        <v>100</v>
      </c>
      <c r="V25" s="699" t="s">
        <v>14</v>
      </c>
      <c r="W25" s="700">
        <f>J25</f>
        <v>100</v>
      </c>
      <c r="X25" s="701"/>
      <c r="Y25" s="3732"/>
      <c r="Z25" s="52">
        <f>Q25</f>
        <v>111</v>
      </c>
      <c r="AA25" s="1351">
        <f>D25/F25</f>
        <v>1</v>
      </c>
      <c r="AB25" s="1351">
        <f>D25/H25</f>
        <v>1</v>
      </c>
      <c r="AC25" s="1351">
        <f>D25/J25</f>
        <v>1</v>
      </c>
    </row>
    <row r="26" spans="1:29" ht="28.5">
      <c r="A26" s="417" t="s">
        <v>1691</v>
      </c>
      <c r="B26" s="63" t="s">
        <v>1835</v>
      </c>
      <c r="C26" s="1965"/>
      <c r="D26" s="418">
        <v>100</v>
      </c>
      <c r="E26" s="1965"/>
      <c r="F26" s="615">
        <f>SUMIF(77:77,E26,78:78)-SUMIF(77:77,C26,78:78)+100</f>
        <v>100</v>
      </c>
      <c r="G26" s="1965"/>
      <c r="H26" s="418">
        <f>SUMIF(77:77,G26,78:78)-SUMIF(77:77,C26,78:78)+100</f>
        <v>100</v>
      </c>
      <c r="I26" s="1965"/>
      <c r="J26" s="418">
        <f>SUMIF(77:77,I26,78:78)-SUMIF(77:77,C26,78:78)+100</f>
        <v>100</v>
      </c>
      <c r="K26" s="561"/>
      <c r="L26" s="2715"/>
      <c r="M26" s="2709"/>
      <c r="N26" s="2709"/>
      <c r="O26" s="2767"/>
      <c r="P26" s="3756" t="s">
        <v>1693</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6" t="s">
        <v>1693</v>
      </c>
      <c r="Z26" s="1354" t="str">
        <f t="shared" ref="Z26:Z34" si="15">Q26</f>
        <v>公共部分装修</v>
      </c>
      <c r="AA26" s="1351">
        <f t="shared" si="3"/>
        <v>1</v>
      </c>
      <c r="AB26" s="1351">
        <f t="shared" si="4"/>
        <v>1</v>
      </c>
      <c r="AC26" s="1351">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36"/>
      <c r="Q27" s="705" t="str">
        <f t="shared" si="11"/>
        <v>成新率</v>
      </c>
      <c r="R27" s="706" t="s">
        <v>14</v>
      </c>
      <c r="S27" s="707" t="e">
        <f t="shared" si="12"/>
        <v>#N/A</v>
      </c>
      <c r="T27" s="706" t="s">
        <v>14</v>
      </c>
      <c r="U27" s="707" t="e">
        <f t="shared" si="13"/>
        <v>#N/A</v>
      </c>
      <c r="V27" s="706" t="s">
        <v>14</v>
      </c>
      <c r="W27" s="707" t="e">
        <f t="shared" si="14"/>
        <v>#N/A</v>
      </c>
      <c r="X27" s="708"/>
      <c r="Y27" s="3736"/>
      <c r="Z27" s="709" t="str">
        <f t="shared" si="15"/>
        <v>成新率</v>
      </c>
      <c r="AA27" s="1351" t="e">
        <f t="shared" si="3"/>
        <v>#N/A</v>
      </c>
      <c r="AB27" s="1351" t="e">
        <f t="shared" si="4"/>
        <v>#N/A</v>
      </c>
      <c r="AC27" s="1351"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36"/>
      <c r="Q28" s="1350" t="str">
        <f t="shared" si="11"/>
        <v>物业等级</v>
      </c>
      <c r="R28" s="703" t="s">
        <v>14</v>
      </c>
      <c r="S28" s="704">
        <f t="shared" si="12"/>
        <v>100</v>
      </c>
      <c r="T28" s="703" t="s">
        <v>14</v>
      </c>
      <c r="U28" s="704">
        <f t="shared" si="13"/>
        <v>100</v>
      </c>
      <c r="V28" s="703" t="s">
        <v>14</v>
      </c>
      <c r="W28" s="704">
        <f t="shared" si="14"/>
        <v>100</v>
      </c>
      <c r="X28" s="1353"/>
      <c r="Y28" s="3736"/>
      <c r="Z28" s="1354" t="str">
        <f t="shared" si="15"/>
        <v>物业等级</v>
      </c>
      <c r="AA28" s="1351">
        <f t="shared" si="3"/>
        <v>1</v>
      </c>
      <c r="AB28" s="1351">
        <f t="shared" si="4"/>
        <v>1</v>
      </c>
      <c r="AC28" s="1351">
        <f t="shared" si="5"/>
        <v>1</v>
      </c>
    </row>
    <row r="29" spans="1:29" ht="15">
      <c r="A29" s="423"/>
      <c r="B29" s="375" t="s">
        <v>1857</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36"/>
      <c r="Q29" s="1350" t="str">
        <f t="shared" si="11"/>
        <v>有无电梯</v>
      </c>
      <c r="R29" s="703" t="s">
        <v>14</v>
      </c>
      <c r="S29" s="704">
        <f t="shared" si="12"/>
        <v>100</v>
      </c>
      <c r="T29" s="703" t="s">
        <v>14</v>
      </c>
      <c r="U29" s="704">
        <f t="shared" si="13"/>
        <v>100</v>
      </c>
      <c r="V29" s="703" t="s">
        <v>14</v>
      </c>
      <c r="W29" s="704">
        <f t="shared" si="14"/>
        <v>100</v>
      </c>
      <c r="X29" s="1353"/>
      <c r="Y29" s="3736"/>
      <c r="Z29" s="1354" t="str">
        <f t="shared" si="15"/>
        <v>有无电梯</v>
      </c>
      <c r="AA29" s="1351">
        <f t="shared" si="3"/>
        <v>1</v>
      </c>
      <c r="AB29" s="1351">
        <f t="shared" si="4"/>
        <v>1</v>
      </c>
      <c r="AC29" s="1351">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36"/>
      <c r="Q30" s="1350" t="str">
        <f t="shared" si="11"/>
        <v>建筑面积</v>
      </c>
      <c r="R30" s="703" t="s">
        <v>14</v>
      </c>
      <c r="S30" s="704" t="e">
        <f t="shared" si="12"/>
        <v>#N/A</v>
      </c>
      <c r="T30" s="703" t="s">
        <v>14</v>
      </c>
      <c r="U30" s="704" t="e">
        <f t="shared" si="13"/>
        <v>#N/A</v>
      </c>
      <c r="V30" s="703" t="s">
        <v>14</v>
      </c>
      <c r="W30" s="704" t="e">
        <f t="shared" si="14"/>
        <v>#N/A</v>
      </c>
      <c r="X30" s="1353"/>
      <c r="Y30" s="3736"/>
      <c r="Z30" s="1354" t="str">
        <f t="shared" si="15"/>
        <v>建筑面积</v>
      </c>
      <c r="AA30" s="1351" t="e">
        <f t="shared" si="3"/>
        <v>#N/A</v>
      </c>
      <c r="AB30" s="1351" t="e">
        <f t="shared" si="4"/>
        <v>#N/A</v>
      </c>
      <c r="AC30" s="1351" t="e">
        <f t="shared" si="5"/>
        <v>#N/A</v>
      </c>
    </row>
    <row r="31" spans="1:29" s="108" customFormat="1" ht="15">
      <c r="A31" s="424"/>
      <c r="B31" s="375" t="s">
        <v>1859</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36"/>
      <c r="Q31" s="1341" t="str">
        <f t="shared" si="11"/>
        <v>是否封闭</v>
      </c>
      <c r="R31" s="699" t="s">
        <v>14</v>
      </c>
      <c r="S31" s="700">
        <f t="shared" si="12"/>
        <v>100</v>
      </c>
      <c r="T31" s="699" t="s">
        <v>14</v>
      </c>
      <c r="U31" s="700">
        <f t="shared" si="13"/>
        <v>100</v>
      </c>
      <c r="V31" s="699" t="s">
        <v>14</v>
      </c>
      <c r="W31" s="700">
        <f t="shared" si="14"/>
        <v>100</v>
      </c>
      <c r="X31" s="701"/>
      <c r="Y31" s="373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36" t="s">
        <v>1693</v>
      </c>
      <c r="Q32" s="1350">
        <f t="shared" si="11"/>
        <v>111</v>
      </c>
      <c r="R32" s="703" t="s">
        <v>14</v>
      </c>
      <c r="S32" s="704">
        <f t="shared" si="12"/>
        <v>100</v>
      </c>
      <c r="T32" s="703" t="s">
        <v>14</v>
      </c>
      <c r="U32" s="704">
        <f t="shared" si="13"/>
        <v>100</v>
      </c>
      <c r="V32" s="703" t="s">
        <v>14</v>
      </c>
      <c r="W32" s="704">
        <f t="shared" si="14"/>
        <v>100</v>
      </c>
      <c r="X32" s="1353"/>
      <c r="Y32" s="3736" t="s">
        <v>1693</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36"/>
      <c r="Q33" s="1350">
        <f t="shared" si="11"/>
        <v>111</v>
      </c>
      <c r="R33" s="703" t="s">
        <v>14</v>
      </c>
      <c r="S33" s="704">
        <f t="shared" si="12"/>
        <v>100</v>
      </c>
      <c r="T33" s="703" t="s">
        <v>14</v>
      </c>
      <c r="U33" s="704">
        <f t="shared" si="13"/>
        <v>100</v>
      </c>
      <c r="V33" s="703" t="s">
        <v>14</v>
      </c>
      <c r="W33" s="704">
        <f t="shared" si="14"/>
        <v>100</v>
      </c>
      <c r="X33" s="1353"/>
      <c r="Y33" s="373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5"/>
      <c r="M34" s="2709"/>
      <c r="N34" s="2709"/>
      <c r="O34" s="2767"/>
      <c r="P34" s="3736"/>
      <c r="Q34" s="1350">
        <f t="shared" si="11"/>
        <v>111</v>
      </c>
      <c r="R34" s="703" t="s">
        <v>14</v>
      </c>
      <c r="S34" s="704">
        <f t="shared" si="12"/>
        <v>100</v>
      </c>
      <c r="T34" s="703" t="s">
        <v>14</v>
      </c>
      <c r="U34" s="704">
        <f t="shared" si="13"/>
        <v>100</v>
      </c>
      <c r="V34" s="703" t="s">
        <v>14</v>
      </c>
      <c r="W34" s="704">
        <f t="shared" si="14"/>
        <v>100</v>
      </c>
      <c r="X34" s="1353"/>
      <c r="Y34" s="3736"/>
      <c r="Z34" s="1354">
        <f t="shared" si="15"/>
        <v>111</v>
      </c>
      <c r="AA34" s="1351">
        <f t="shared" si="3"/>
        <v>1</v>
      </c>
      <c r="AB34" s="1351">
        <f t="shared" si="4"/>
        <v>1</v>
      </c>
      <c r="AC34" s="1351">
        <f t="shared" si="5"/>
        <v>1</v>
      </c>
    </row>
    <row r="35" spans="1:30" ht="15">
      <c r="A35" s="430" t="s">
        <v>1705</v>
      </c>
      <c r="B35" s="431"/>
      <c r="C35" s="1152" t="s">
        <v>0</v>
      </c>
      <c r="D35" s="1153"/>
      <c r="E35" s="1154"/>
      <c r="F35" s="1155"/>
      <c r="G35" s="1156"/>
      <c r="H35" s="1157"/>
      <c r="I35" s="1154"/>
      <c r="J35" s="1157"/>
      <c r="K35" s="712"/>
      <c r="L35" s="2717"/>
      <c r="M35" s="2718"/>
      <c r="N35" s="2709"/>
      <c r="O35" s="2718"/>
      <c r="P35" s="3729" t="str">
        <f>A35</f>
        <v>成交单价（元/平方米）</v>
      </c>
      <c r="Q35" s="3729"/>
      <c r="R35" s="3730">
        <f>E35</f>
        <v>0</v>
      </c>
      <c r="S35" s="3730"/>
      <c r="T35" s="3730">
        <f>G35</f>
        <v>0</v>
      </c>
      <c r="U35" s="3730"/>
      <c r="V35" s="3730">
        <f>I35</f>
        <v>0</v>
      </c>
      <c r="W35" s="3730"/>
      <c r="X35" s="688"/>
      <c r="Y35" s="710"/>
      <c r="Z35" s="688"/>
      <c r="AA35" s="688"/>
      <c r="AB35" s="688"/>
      <c r="AC35" s="688"/>
    </row>
    <row r="36" spans="1:30" ht="15.75" thickBot="1">
      <c r="A36" s="437" t="s">
        <v>1790</v>
      </c>
      <c r="B36" s="438"/>
      <c r="C36" s="1158" t="e">
        <f>R37</f>
        <v>#DIV/0!</v>
      </c>
      <c r="D36" s="2315" t="s">
        <v>2133</v>
      </c>
      <c r="E36" s="1159" t="e">
        <f>R36</f>
        <v>#DIV/0!</v>
      </c>
      <c r="F36" s="2316"/>
      <c r="G36" s="1158" t="e">
        <f>T36</f>
        <v>#DIV/0!</v>
      </c>
      <c r="H36" s="2316"/>
      <c r="I36" s="1159" t="e">
        <f>V36</f>
        <v>#DIV/0!</v>
      </c>
      <c r="J36" s="2316"/>
      <c r="K36" s="2318">
        <f>F36+H36+J36</f>
        <v>0</v>
      </c>
      <c r="L36" s="2717"/>
      <c r="M36" s="2718"/>
      <c r="N36" s="2709"/>
      <c r="O36" s="2718"/>
      <c r="P36" s="3729" t="str">
        <f>A36</f>
        <v>比较价值（元/平方米）</v>
      </c>
      <c r="Q36" s="3729"/>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88"/>
      <c r="Y36" s="688"/>
      <c r="Z36" s="688"/>
      <c r="AA36" s="688"/>
      <c r="AB36" s="688"/>
      <c r="AC36" s="688"/>
    </row>
    <row r="37" spans="1:30" ht="15.75" thickBot="1">
      <c r="A37" s="441" t="s">
        <v>1791</v>
      </c>
      <c r="B37" s="442"/>
      <c r="C37" s="1161" t="e">
        <f>R37</f>
        <v>#DIV/0!</v>
      </c>
      <c r="D37" s="1161"/>
      <c r="E37" s="1161"/>
      <c r="F37" s="1161"/>
      <c r="G37" s="1161"/>
      <c r="H37" s="1161"/>
      <c r="I37" s="1161"/>
      <c r="J37" s="1161"/>
      <c r="K37" s="713"/>
      <c r="L37" s="2717"/>
      <c r="M37" s="2718"/>
      <c r="N37" s="2718"/>
      <c r="O37" s="2718"/>
      <c r="P37" s="3726" t="str">
        <f>A37</f>
        <v>估价对象XX用房的比较价值（楼面单价，元/平方米）</v>
      </c>
      <c r="Q37" s="3727"/>
      <c r="R37" s="3757" t="e">
        <f>IF(F1="售价",ROUND(IF(D36="简单平均",AVERAGE(R36:W36),R36*F36+T36*H36+V36*J36),0),ROUND(IF(D36="简单平均",AVERAGE(R36:V36),R36*F36+T36*H36+V36*J36),1))</f>
        <v>#DIV/0!</v>
      </c>
      <c r="S37" s="3757"/>
      <c r="T37" s="3757"/>
      <c r="U37" s="3757"/>
      <c r="V37" s="3757"/>
      <c r="W37" s="3757"/>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1795</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1676</v>
      </c>
      <c r="B46" s="455"/>
      <c r="C46" s="1182" t="str">
        <f>YEAR(C7)&amp;"-"&amp;MONTH(C7)</f>
        <v>2023-4</v>
      </c>
      <c r="D46" s="1183">
        <f>EDATE(C46,-1)</f>
        <v>44986</v>
      </c>
      <c r="E46" s="1183">
        <f t="shared" ref="E46:O46" si="16">EDATE(D46,-1)</f>
        <v>44958</v>
      </c>
      <c r="F46" s="1183">
        <f t="shared" si="16"/>
        <v>44927</v>
      </c>
      <c r="G46" s="1183">
        <f t="shared" si="16"/>
        <v>44896</v>
      </c>
      <c r="H46" s="1183">
        <f t="shared" si="16"/>
        <v>44866</v>
      </c>
      <c r="I46" s="1183">
        <f t="shared" si="16"/>
        <v>44835</v>
      </c>
      <c r="J46" s="1183">
        <f t="shared" si="16"/>
        <v>44805</v>
      </c>
      <c r="K46" s="1183">
        <f t="shared" si="16"/>
        <v>44774</v>
      </c>
      <c r="L46" s="1183">
        <f t="shared" si="16"/>
        <v>44743</v>
      </c>
      <c r="M46" s="1183">
        <f t="shared" si="16"/>
        <v>44713</v>
      </c>
      <c r="N46" s="1183">
        <f t="shared" si="16"/>
        <v>44682</v>
      </c>
      <c r="O46" s="1183">
        <f t="shared" si="16"/>
        <v>44652</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81">
        <v>100</v>
      </c>
      <c r="D47" s="461"/>
      <c r="E47" s="461"/>
      <c r="F47" s="461"/>
      <c r="G47" s="461"/>
      <c r="H47" s="461"/>
      <c r="I47" s="461"/>
      <c r="J47" s="461"/>
      <c r="K47" s="461"/>
      <c r="L47" s="461"/>
      <c r="M47" s="462"/>
      <c r="N47" s="461"/>
      <c r="O47" s="463"/>
      <c r="P47" s="2732"/>
      <c r="Q47" s="2655"/>
      <c r="R47" s="2655"/>
      <c r="S47" s="2655"/>
      <c r="T47" s="2655"/>
      <c r="U47" s="2655"/>
      <c r="V47" s="2655"/>
      <c r="W47" s="2655"/>
      <c r="X47" s="2655"/>
      <c r="Y47" s="2655"/>
      <c r="Z47" s="2655"/>
      <c r="AA47" s="2655"/>
      <c r="AB47" s="2655"/>
      <c r="AC47" s="2655"/>
      <c r="AD47" s="2655"/>
    </row>
    <row r="48" spans="1:30" s="108" customFormat="1" ht="15.75" thickBot="1">
      <c r="A48" s="464" t="s">
        <v>1713</v>
      </c>
      <c r="B48" s="465"/>
      <c r="C48" s="466"/>
      <c r="D48" s="467"/>
      <c r="E48" s="467"/>
      <c r="F48" s="467"/>
      <c r="G48" s="467"/>
      <c r="H48" s="467"/>
      <c r="I48" s="467"/>
      <c r="J48" s="467"/>
      <c r="K48" s="467"/>
      <c r="L48" s="467"/>
      <c r="M48" s="468"/>
      <c r="N48" s="467"/>
      <c r="O48" s="469"/>
      <c r="P48" s="2732"/>
      <c r="Q48" s="2732"/>
      <c r="R48" s="2655"/>
      <c r="S48" s="2655"/>
      <c r="T48" s="2655"/>
      <c r="U48" s="2655"/>
      <c r="V48" s="2655"/>
      <c r="W48" s="2655"/>
      <c r="X48" s="2655"/>
      <c r="Y48" s="2655"/>
      <c r="Z48" s="2655"/>
      <c r="AA48" s="2655"/>
      <c r="AB48" s="2655"/>
      <c r="AC48" s="2655"/>
      <c r="AD48" s="2655"/>
    </row>
    <row r="49" spans="1:30" s="108" customFormat="1" ht="15">
      <c r="A49" s="470" t="s">
        <v>1678</v>
      </c>
      <c r="B49" s="459"/>
      <c r="C49" s="471" t="s">
        <v>1773</v>
      </c>
      <c r="D49" s="472"/>
      <c r="E49" s="472"/>
      <c r="F49" s="472"/>
      <c r="G49" s="472"/>
      <c r="H49" s="472"/>
      <c r="I49" s="472"/>
      <c r="J49" s="472"/>
      <c r="K49" s="472"/>
      <c r="L49" s="473"/>
      <c r="M49" s="474"/>
      <c r="N49" s="2745"/>
      <c r="O49" s="2745"/>
      <c r="P49" s="2770"/>
      <c r="Q49" s="2732"/>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5"/>
      <c r="S50" s="2655"/>
      <c r="T50" s="2655"/>
      <c r="U50" s="2655"/>
      <c r="V50" s="2655"/>
      <c r="W50" s="2655"/>
      <c r="X50" s="2655"/>
      <c r="Y50" s="2655"/>
      <c r="Z50" s="2655"/>
      <c r="AA50" s="2655"/>
      <c r="AB50" s="2655"/>
      <c r="AC50" s="2655"/>
      <c r="AD50" s="2655"/>
    </row>
    <row r="51" spans="1:30">
      <c r="A51" s="476" t="s">
        <v>1716</v>
      </c>
      <c r="B51" s="477" t="s">
        <v>1682</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1685</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1860</v>
      </c>
      <c r="C63" s="527" t="s">
        <v>1718</v>
      </c>
      <c r="D63" s="527" t="s">
        <v>1719</v>
      </c>
      <c r="E63" s="527" t="s">
        <v>1720</v>
      </c>
      <c r="F63" s="527" t="s">
        <v>1721</v>
      </c>
      <c r="G63" s="527" t="s">
        <v>1722</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1810</v>
      </c>
      <c r="C65" s="608" t="s">
        <v>1796</v>
      </c>
      <c r="D65" s="608" t="s">
        <v>1797</v>
      </c>
      <c r="E65" s="608" t="s">
        <v>1798</v>
      </c>
      <c r="F65" s="608" t="s">
        <v>1799</v>
      </c>
      <c r="G65" s="608" t="s">
        <v>1800</v>
      </c>
      <c r="H65" s="488"/>
      <c r="I65" s="488"/>
      <c r="J65" s="488"/>
      <c r="K65" s="488"/>
      <c r="L65" s="488"/>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1730</v>
      </c>
      <c r="C67" s="527" t="s">
        <v>1718</v>
      </c>
      <c r="D67" s="527" t="s">
        <v>1719</v>
      </c>
      <c r="E67" s="527" t="s">
        <v>1720</v>
      </c>
      <c r="F67" s="527" t="s">
        <v>1721</v>
      </c>
      <c r="G67" s="527" t="s">
        <v>1722</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1849</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7"/>
      <c r="O72" s="2747"/>
      <c r="P72" s="2771"/>
      <c r="Q72" s="2732"/>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7"/>
      <c r="O74" s="2747"/>
      <c r="P74" s="2771"/>
      <c r="Q74" s="2732"/>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1691</v>
      </c>
      <c r="B77" s="477" t="s">
        <v>1737</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1853</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1861</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1863</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1459</v>
      </c>
      <c r="B2" s="619"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1"/>
    </row>
    <row r="3" spans="1:30" s="352" customFormat="1" ht="28.5" customHeight="1" thickBot="1">
      <c r="A3" s="203" t="s">
        <v>1461</v>
      </c>
      <c r="B3" s="558" t="e">
        <f>ROUND(IF(D3="",B2*10000/'数据-汇总表'!E3,B2*10000/D3),0)</f>
        <v>#DIV/0!</v>
      </c>
      <c r="C3" s="203" t="s">
        <v>1866</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699" t="s">
        <v>1768</v>
      </c>
      <c r="S4" s="3700"/>
      <c r="T4" s="3699" t="s">
        <v>1769</v>
      </c>
      <c r="U4" s="3700"/>
      <c r="V4" s="3724" t="s">
        <v>1770</v>
      </c>
      <c r="W4" s="3724"/>
      <c r="X4" s="1353"/>
      <c r="Y4" s="3699" t="s">
        <v>1772</v>
      </c>
      <c r="Z4" s="3700"/>
      <c r="AA4" s="3694" t="s">
        <v>1768</v>
      </c>
      <c r="AB4" s="3695" t="s">
        <v>1769</v>
      </c>
      <c r="AC4" s="3694" t="s">
        <v>1770</v>
      </c>
    </row>
    <row r="5" spans="1:30" ht="15">
      <c r="A5" s="358"/>
      <c r="B5" s="359"/>
      <c r="C5" s="3705" t="s">
        <v>1670</v>
      </c>
      <c r="D5" s="3706"/>
      <c r="E5" s="3703" t="s">
        <v>1671</v>
      </c>
      <c r="F5" s="3704"/>
      <c r="G5" s="3705" t="s">
        <v>1672</v>
      </c>
      <c r="H5" s="3706"/>
      <c r="I5" s="3705" t="s">
        <v>1673</v>
      </c>
      <c r="J5" s="3706"/>
      <c r="K5" s="559"/>
      <c r="L5" s="2708"/>
      <c r="M5" s="2709"/>
      <c r="N5" s="2709"/>
      <c r="O5" s="2709"/>
      <c r="P5" s="3718"/>
      <c r="Q5" s="3719"/>
      <c r="R5" s="3701"/>
      <c r="S5" s="3702"/>
      <c r="T5" s="3701"/>
      <c r="U5" s="3702"/>
      <c r="V5" s="3724"/>
      <c r="W5" s="3724"/>
      <c r="X5" s="1353"/>
      <c r="Y5" s="3701"/>
      <c r="Z5" s="3702"/>
      <c r="AA5" s="3695"/>
      <c r="AB5" s="3695"/>
      <c r="AC5" s="3695"/>
    </row>
    <row r="6" spans="1:30" ht="15.75" thickBot="1">
      <c r="A6" s="360"/>
      <c r="B6" s="361"/>
      <c r="C6" s="3707" t="s">
        <v>1674</v>
      </c>
      <c r="D6" s="3708"/>
      <c r="E6" s="3709" t="s">
        <v>1674</v>
      </c>
      <c r="F6" s="3710"/>
      <c r="G6" s="3707" t="s">
        <v>1674</v>
      </c>
      <c r="H6" s="3708"/>
      <c r="I6" s="3707" t="s">
        <v>1674</v>
      </c>
      <c r="J6" s="3708"/>
      <c r="K6" s="559" t="s">
        <v>1675</v>
      </c>
      <c r="L6" s="2708"/>
      <c r="M6" s="2709"/>
      <c r="N6" s="2709"/>
      <c r="O6" s="2709"/>
      <c r="P6" s="3720"/>
      <c r="Q6" s="3721"/>
      <c r="R6" s="3701"/>
      <c r="S6" s="3702"/>
      <c r="T6" s="3722"/>
      <c r="U6" s="3723"/>
      <c r="V6" s="3724"/>
      <c r="W6" s="3724"/>
      <c r="X6" s="1353"/>
      <c r="Y6" s="3722"/>
      <c r="Z6" s="3723"/>
      <c r="AA6" s="3696"/>
      <c r="AB6" s="3696"/>
      <c r="AC6" s="3696"/>
    </row>
    <row r="7" spans="1:30" s="108" customFormat="1" ht="15.75" thickBot="1">
      <c r="A7" s="362" t="s">
        <v>1676</v>
      </c>
      <c r="B7" s="363"/>
      <c r="C7" s="364">
        <f>'数据-取费表'!B2</f>
        <v>45037</v>
      </c>
      <c r="D7" s="365">
        <v>100</v>
      </c>
      <c r="E7" s="366"/>
      <c r="F7" s="367">
        <f>SUMIF(69:69,YEAR(E7)&amp;"-"&amp;INT((MONTH(E7)+2)/3),70:70)</f>
        <v>0</v>
      </c>
      <c r="G7" s="1972"/>
      <c r="H7" s="365">
        <f>SUMIF(69:69,YEAR(G7)&amp;"-"&amp;INT((MONTH(G7)+2)/3),70:70)</f>
        <v>0</v>
      </c>
      <c r="I7" s="1972"/>
      <c r="J7" s="365">
        <f>SUMIF(69:69,YEAR(I7)&amp;"-"&amp;INT((MONTH(I7)+2)/3),70:70)</f>
        <v>0</v>
      </c>
      <c r="K7" s="560"/>
      <c r="L7" s="2710"/>
      <c r="M7" s="2711"/>
      <c r="N7" s="2711"/>
      <c r="O7" s="2711"/>
      <c r="P7" s="3697" t="s">
        <v>1677</v>
      </c>
      <c r="Q7" s="3725"/>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702"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97" t="s">
        <v>1680</v>
      </c>
      <c r="Q8" s="3698"/>
      <c r="R8" s="699" t="s">
        <v>14</v>
      </c>
      <c r="S8" s="700">
        <f t="shared" si="0"/>
        <v>0</v>
      </c>
      <c r="T8" s="699" t="s">
        <v>14</v>
      </c>
      <c r="U8" s="700">
        <f t="shared" si="1"/>
        <v>0</v>
      </c>
      <c r="V8" s="699" t="s">
        <v>14</v>
      </c>
      <c r="W8" s="700">
        <f t="shared" si="2"/>
        <v>0</v>
      </c>
      <c r="X8" s="701"/>
      <c r="Y8" s="3697" t="s">
        <v>1680</v>
      </c>
      <c r="Z8" s="3698"/>
      <c r="AA8" s="702" t="e">
        <f t="shared" ref="AA8:AA45" si="3">D8/F8</f>
        <v>#DIV/0!</v>
      </c>
      <c r="AB8" s="702" t="e">
        <f t="shared" ref="AB8:AB45" si="4">D8/H8</f>
        <v>#DIV/0!</v>
      </c>
      <c r="AC8" s="702" t="e">
        <f t="shared" ref="AC8:AC45" si="5">D8/J8</f>
        <v>#DIV/0!</v>
      </c>
    </row>
    <row r="9" spans="1:30" s="108" customFormat="1">
      <c r="A9" s="369" t="s">
        <v>1681</v>
      </c>
      <c r="B9" s="63" t="s">
        <v>1682</v>
      </c>
      <c r="C9" s="1975"/>
      <c r="D9" s="126">
        <v>100</v>
      </c>
      <c r="E9" s="1975"/>
      <c r="F9" s="126">
        <f>SUMIF(74:74,E9,75:75)-SUMIF(74:74,C9,75:75)+100</f>
        <v>100</v>
      </c>
      <c r="G9" s="1975"/>
      <c r="H9" s="126">
        <f>SUMIF(74:74,G9,75:75)-SUMIF(74:74,C9,75:75)+100</f>
        <v>100</v>
      </c>
      <c r="I9" s="1975"/>
      <c r="J9" s="126">
        <f>SUMIF(74:74,I9,75:75)-SUMIF(74:74,C9,75:75)+100</f>
        <v>100</v>
      </c>
      <c r="K9" s="560"/>
      <c r="L9" s="2710"/>
      <c r="M9" s="2711"/>
      <c r="N9" s="2711"/>
      <c r="O9" s="2765"/>
      <c r="P9" s="3729" t="s">
        <v>1683</v>
      </c>
      <c r="Q9" s="1341" t="str">
        <f t="shared" ref="Q9:Q15" si="6">B9</f>
        <v>用途</v>
      </c>
      <c r="R9" s="699" t="s">
        <v>14</v>
      </c>
      <c r="S9" s="700">
        <f t="shared" si="0"/>
        <v>100</v>
      </c>
      <c r="T9" s="699" t="s">
        <v>14</v>
      </c>
      <c r="U9" s="700">
        <f t="shared" si="1"/>
        <v>100</v>
      </c>
      <c r="V9" s="699" t="s">
        <v>14</v>
      </c>
      <c r="W9" s="700">
        <f t="shared" si="2"/>
        <v>100</v>
      </c>
      <c r="X9" s="701"/>
      <c r="Y9" s="3649" t="s">
        <v>1684</v>
      </c>
      <c r="Z9" s="52" t="str">
        <f t="shared" ref="Z9:Z15" si="7">Q9</f>
        <v>用途</v>
      </c>
      <c r="AA9" s="702">
        <f t="shared" si="3"/>
        <v>1</v>
      </c>
      <c r="AB9" s="702">
        <f t="shared" si="4"/>
        <v>1</v>
      </c>
      <c r="AC9" s="702">
        <f t="shared" si="5"/>
        <v>1</v>
      </c>
    </row>
    <row r="10" spans="1:30" s="378" customFormat="1" ht="27">
      <c r="A10" s="374"/>
      <c r="B10" s="375" t="s">
        <v>1685</v>
      </c>
      <c r="C10" s="383"/>
      <c r="D10" s="127">
        <v>100</v>
      </c>
      <c r="E10" s="416"/>
      <c r="F10" s="127">
        <f>ROUND(100/'数据-取费表'!G16,0)</f>
        <v>143</v>
      </c>
      <c r="G10" s="414"/>
      <c r="H10" s="127">
        <f>ROUND(100/'数据-取费表'!G16,0)</f>
        <v>143</v>
      </c>
      <c r="I10" s="414"/>
      <c r="J10" s="127">
        <f>ROUND(100/'数据-取费表'!G16,0)</f>
        <v>143</v>
      </c>
      <c r="K10" s="620"/>
      <c r="L10" s="2712"/>
      <c r="M10" s="2713"/>
      <c r="N10" s="2713"/>
      <c r="O10" s="2766"/>
      <c r="P10" s="3729"/>
      <c r="Q10" s="1341" t="str">
        <f t="shared" si="6"/>
        <v>土地使用年限（年）</v>
      </c>
      <c r="R10" s="699" t="s">
        <v>14</v>
      </c>
      <c r="S10" s="700">
        <f t="shared" si="0"/>
        <v>143</v>
      </c>
      <c r="T10" s="699" t="s">
        <v>14</v>
      </c>
      <c r="U10" s="700">
        <f t="shared" si="1"/>
        <v>143</v>
      </c>
      <c r="V10" s="699" t="s">
        <v>14</v>
      </c>
      <c r="W10" s="700">
        <f t="shared" si="2"/>
        <v>143</v>
      </c>
      <c r="X10" s="701"/>
      <c r="Y10" s="3649"/>
      <c r="Z10" s="52" t="str">
        <f t="shared" si="7"/>
        <v>土地使用年限（年）</v>
      </c>
      <c r="AA10" s="702">
        <f t="shared" si="3"/>
        <v>0.69930069930069927</v>
      </c>
      <c r="AB10" s="702">
        <f t="shared" si="4"/>
        <v>0.69930069930069927</v>
      </c>
      <c r="AC10" s="702">
        <f t="shared" si="5"/>
        <v>0.69930069930069927</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9"/>
      <c r="Q11" s="1341" t="str">
        <f t="shared" si="6"/>
        <v>容积率</v>
      </c>
      <c r="R11" s="699" t="s">
        <v>14</v>
      </c>
      <c r="S11" s="700" t="e">
        <f t="shared" si="0"/>
        <v>#N/A</v>
      </c>
      <c r="T11" s="699" t="s">
        <v>14</v>
      </c>
      <c r="U11" s="700" t="e">
        <f t="shared" si="1"/>
        <v>#N/A</v>
      </c>
      <c r="V11" s="699" t="s">
        <v>14</v>
      </c>
      <c r="W11" s="700" t="e">
        <f t="shared" si="2"/>
        <v>#N/A</v>
      </c>
      <c r="X11" s="701"/>
      <c r="Y11" s="3649"/>
      <c r="Z11" s="52" t="str">
        <f t="shared" si="7"/>
        <v>容积率</v>
      </c>
      <c r="AA11" s="702" t="e">
        <f t="shared" si="3"/>
        <v>#N/A</v>
      </c>
      <c r="AB11" s="702" t="e">
        <f t="shared" si="4"/>
        <v>#N/A</v>
      </c>
      <c r="AC11" s="702" t="e">
        <f t="shared" si="5"/>
        <v>#N/A</v>
      </c>
    </row>
    <row r="12" spans="1:30" s="108" customFormat="1" ht="15">
      <c r="A12" s="382"/>
      <c r="B12" s="1891" t="s">
        <v>1867</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9"/>
      <c r="Q12" s="1341" t="str">
        <f t="shared" si="6"/>
        <v>配建</v>
      </c>
      <c r="R12" s="699" t="s">
        <v>14</v>
      </c>
      <c r="S12" s="700">
        <f t="shared" si="0"/>
        <v>100</v>
      </c>
      <c r="T12" s="699" t="s">
        <v>14</v>
      </c>
      <c r="U12" s="700">
        <f t="shared" si="1"/>
        <v>100</v>
      </c>
      <c r="V12" s="699" t="s">
        <v>14</v>
      </c>
      <c r="W12" s="700">
        <f t="shared" si="2"/>
        <v>100</v>
      </c>
      <c r="X12" s="701"/>
      <c r="Y12" s="364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9"/>
      <c r="Q13" s="1341">
        <f t="shared" si="6"/>
        <v>111</v>
      </c>
      <c r="R13" s="699" t="s">
        <v>14</v>
      </c>
      <c r="S13" s="700">
        <f t="shared" si="0"/>
        <v>100</v>
      </c>
      <c r="T13" s="699" t="s">
        <v>14</v>
      </c>
      <c r="U13" s="700">
        <f t="shared" si="1"/>
        <v>100</v>
      </c>
      <c r="V13" s="699" t="s">
        <v>14</v>
      </c>
      <c r="W13" s="700">
        <f t="shared" si="2"/>
        <v>100</v>
      </c>
      <c r="X13" s="701"/>
      <c r="Y13" s="364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9"/>
      <c r="Q14" s="1341">
        <f t="shared" si="6"/>
        <v>111</v>
      </c>
      <c r="R14" s="699" t="s">
        <v>14</v>
      </c>
      <c r="S14" s="700">
        <f t="shared" si="0"/>
        <v>100</v>
      </c>
      <c r="T14" s="699" t="s">
        <v>14</v>
      </c>
      <c r="U14" s="700">
        <f t="shared" si="1"/>
        <v>100</v>
      </c>
      <c r="V14" s="699" t="s">
        <v>14</v>
      </c>
      <c r="W14" s="700">
        <f t="shared" si="2"/>
        <v>100</v>
      </c>
      <c r="X14" s="701"/>
      <c r="Y14" s="3649"/>
      <c r="Z14" s="52">
        <f t="shared" si="7"/>
        <v>111</v>
      </c>
      <c r="AA14" s="702">
        <f>D14/F14</f>
        <v>1</v>
      </c>
      <c r="AB14" s="702">
        <f>D14/H14</f>
        <v>1</v>
      </c>
      <c r="AC14" s="702">
        <f>D14/J14</f>
        <v>1</v>
      </c>
    </row>
    <row r="15" spans="1:30" ht="15">
      <c r="A15" s="391" t="s">
        <v>1687</v>
      </c>
      <c r="B15" s="61" t="s">
        <v>1255</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31" t="s">
        <v>1688</v>
      </c>
      <c r="Q15" s="1350" t="str">
        <f t="shared" si="6"/>
        <v>居住社区成熟度</v>
      </c>
      <c r="R15" s="703" t="s">
        <v>14</v>
      </c>
      <c r="S15" s="704">
        <f t="shared" si="0"/>
        <v>100</v>
      </c>
      <c r="T15" s="703" t="s">
        <v>14</v>
      </c>
      <c r="U15" s="704">
        <f t="shared" si="1"/>
        <v>100</v>
      </c>
      <c r="V15" s="703" t="s">
        <v>14</v>
      </c>
      <c r="W15" s="704">
        <f t="shared" si="2"/>
        <v>100</v>
      </c>
      <c r="X15" s="1353"/>
      <c r="Y15" s="3731" t="s">
        <v>1688</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5"/>
      <c r="M16" s="2709"/>
      <c r="N16" s="2709"/>
      <c r="O16" s="2767"/>
      <c r="P16" s="3732"/>
      <c r="Q16" s="1350"/>
      <c r="R16" s="703"/>
      <c r="S16" s="704"/>
      <c r="T16" s="703"/>
      <c r="U16" s="704"/>
      <c r="V16" s="703"/>
      <c r="W16" s="704"/>
      <c r="X16" s="1353"/>
      <c r="Y16" s="3732"/>
      <c r="Z16" s="1354"/>
      <c r="AA16" s="1351">
        <v>1</v>
      </c>
      <c r="AB16" s="1351">
        <v>1</v>
      </c>
      <c r="AC16" s="1351">
        <v>1</v>
      </c>
    </row>
    <row r="17" spans="1:29" ht="15">
      <c r="A17" s="379"/>
      <c r="B17" s="402" t="s">
        <v>1774</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32"/>
      <c r="Q17" s="1350" t="str">
        <f>B17</f>
        <v>商业繁华度</v>
      </c>
      <c r="R17" s="703" t="s">
        <v>14</v>
      </c>
      <c r="S17" s="704">
        <f>F17</f>
        <v>100</v>
      </c>
      <c r="T17" s="703" t="s">
        <v>14</v>
      </c>
      <c r="U17" s="704">
        <f>H17</f>
        <v>100</v>
      </c>
      <c r="V17" s="703" t="s">
        <v>14</v>
      </c>
      <c r="W17" s="704">
        <f>J17</f>
        <v>100</v>
      </c>
      <c r="X17" s="1353"/>
      <c r="Y17" s="373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5"/>
      <c r="M18" s="2709"/>
      <c r="N18" s="2709"/>
      <c r="O18" s="2767"/>
      <c r="P18" s="3732"/>
      <c r="Q18" s="1350"/>
      <c r="R18" s="703"/>
      <c r="S18" s="704"/>
      <c r="T18" s="703"/>
      <c r="U18" s="704"/>
      <c r="V18" s="703"/>
      <c r="W18" s="704"/>
      <c r="X18" s="1353"/>
      <c r="Y18" s="3732"/>
      <c r="Z18" s="1354"/>
      <c r="AA18" s="1351">
        <v>1</v>
      </c>
      <c r="AB18" s="1351">
        <v>1</v>
      </c>
      <c r="AC18" s="1351">
        <v>1</v>
      </c>
    </row>
    <row r="19" spans="1:29" ht="114">
      <c r="A19" s="379"/>
      <c r="B19" s="402" t="s">
        <v>1808</v>
      </c>
      <c r="C19" s="1953" t="str">
        <f>估价对象房地状况!C17</f>
        <v>估价对象位于朝阳门商圈，周边办公楼项目较多，有联合大厦、华普国际大厦等写字楼，入驻率高，办公集聚程度较好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32"/>
      <c r="Q19" s="1350" t="str">
        <f>B19</f>
        <v>办公集聚程度</v>
      </c>
      <c r="R19" s="703" t="s">
        <v>14</v>
      </c>
      <c r="S19" s="704">
        <f>F19</f>
        <v>100</v>
      </c>
      <c r="T19" s="703" t="s">
        <v>14</v>
      </c>
      <c r="U19" s="704">
        <f>H19</f>
        <v>100</v>
      </c>
      <c r="V19" s="703" t="s">
        <v>14</v>
      </c>
      <c r="W19" s="704">
        <f>J19</f>
        <v>100</v>
      </c>
      <c r="X19" s="1353"/>
      <c r="Y19" s="373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5"/>
      <c r="M20" s="2709"/>
      <c r="N20" s="2709"/>
      <c r="O20" s="2767"/>
      <c r="P20" s="3732"/>
      <c r="Q20" s="1350"/>
      <c r="R20" s="703"/>
      <c r="S20" s="704"/>
      <c r="T20" s="703"/>
      <c r="U20" s="704"/>
      <c r="V20" s="703"/>
      <c r="W20" s="704"/>
      <c r="X20" s="1353"/>
      <c r="Y20" s="3732"/>
      <c r="Z20" s="1354"/>
      <c r="AA20" s="1351">
        <v>1</v>
      </c>
      <c r="AB20" s="1351">
        <v>1</v>
      </c>
      <c r="AC20" s="1351">
        <v>1</v>
      </c>
    </row>
    <row r="21" spans="1:29" ht="99.75">
      <c r="A21" s="379"/>
      <c r="B21" s="402" t="s">
        <v>1830</v>
      </c>
      <c r="C21" s="1898" t="str">
        <f>估价对象房地状况!C18</f>
        <v>周边有75、110、420路及地铁2号、6号线，周边道路密集，停车便捷程度，综合评价交通便捷度好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32"/>
      <c r="Q21" s="1350" t="str">
        <f>B21</f>
        <v>交通便捷度</v>
      </c>
      <c r="R21" s="703" t="s">
        <v>14</v>
      </c>
      <c r="S21" s="704">
        <f>F21</f>
        <v>100</v>
      </c>
      <c r="T21" s="703" t="s">
        <v>14</v>
      </c>
      <c r="U21" s="704">
        <f>H21</f>
        <v>100</v>
      </c>
      <c r="V21" s="703" t="s">
        <v>14</v>
      </c>
      <c r="W21" s="704">
        <f>J21</f>
        <v>100</v>
      </c>
      <c r="X21" s="1353"/>
      <c r="Y21" s="373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5"/>
      <c r="M22" s="2709"/>
      <c r="N22" s="2709"/>
      <c r="O22" s="2767"/>
      <c r="P22" s="3732"/>
      <c r="Q22" s="1350"/>
      <c r="R22" s="703"/>
      <c r="S22" s="704"/>
      <c r="T22" s="703"/>
      <c r="U22" s="704"/>
      <c r="V22" s="703"/>
      <c r="W22" s="704"/>
      <c r="X22" s="1353"/>
      <c r="Y22" s="3732"/>
      <c r="Z22" s="1354"/>
      <c r="AA22" s="1351">
        <v>1</v>
      </c>
      <c r="AB22" s="1351">
        <v>1</v>
      </c>
      <c r="AC22" s="1351">
        <v>1</v>
      </c>
    </row>
    <row r="23" spans="1:29" ht="15">
      <c r="A23" s="358"/>
      <c r="B23" s="402" t="s">
        <v>1868</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32"/>
      <c r="Q23" s="1350" t="str">
        <f t="shared" ref="Q23:Q37" si="8">B23</f>
        <v>区域土地利用方向</v>
      </c>
      <c r="R23" s="703" t="s">
        <v>14</v>
      </c>
      <c r="S23" s="704">
        <f>F23</f>
        <v>100</v>
      </c>
      <c r="T23" s="703" t="s">
        <v>14</v>
      </c>
      <c r="U23" s="704">
        <f>H23</f>
        <v>100</v>
      </c>
      <c r="V23" s="703" t="s">
        <v>14</v>
      </c>
      <c r="W23" s="704">
        <f>J23</f>
        <v>100</v>
      </c>
      <c r="X23" s="1353"/>
      <c r="Y23" s="373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5"/>
      <c r="M24" s="2709"/>
      <c r="N24" s="2709"/>
      <c r="O24" s="2767"/>
      <c r="P24" s="3732"/>
      <c r="Q24" s="1350"/>
      <c r="R24" s="703"/>
      <c r="S24" s="704"/>
      <c r="T24" s="703"/>
      <c r="U24" s="704"/>
      <c r="V24" s="703"/>
      <c r="W24" s="704"/>
      <c r="X24" s="1353"/>
      <c r="Y24" s="3732"/>
      <c r="Z24" s="1354"/>
      <c r="AA24" s="1351"/>
      <c r="AB24" s="1351"/>
      <c r="AC24" s="1351"/>
    </row>
    <row r="25" spans="1:29" ht="99.75">
      <c r="A25" s="358"/>
      <c r="B25" s="1129" t="s">
        <v>1869</v>
      </c>
      <c r="C25" s="1953" t="str">
        <f>估价对象房地状况!C20</f>
        <v>区域内有东城职业大学、日坛公园、富国海底世界等自然及人文环境，综合评价自然及人文环境状况较好。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32"/>
      <c r="Q25" s="1350" t="str">
        <f t="shared" si="8"/>
        <v>自然及人文环境状况</v>
      </c>
      <c r="R25" s="703" t="s">
        <v>14</v>
      </c>
      <c r="S25" s="704">
        <f>F25</f>
        <v>100</v>
      </c>
      <c r="T25" s="703" t="s">
        <v>14</v>
      </c>
      <c r="U25" s="704">
        <f>H25</f>
        <v>100</v>
      </c>
      <c r="V25" s="703" t="s">
        <v>14</v>
      </c>
      <c r="W25" s="704">
        <f>J25</f>
        <v>100</v>
      </c>
      <c r="X25" s="1353"/>
      <c r="Y25" s="373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5"/>
      <c r="M26" s="2709"/>
      <c r="N26" s="2709"/>
      <c r="O26" s="2767"/>
      <c r="P26" s="3732"/>
      <c r="Q26" s="1350"/>
      <c r="R26" s="703"/>
      <c r="S26" s="704"/>
      <c r="T26" s="703"/>
      <c r="U26" s="704"/>
      <c r="V26" s="703"/>
      <c r="W26" s="704"/>
      <c r="X26" s="1353"/>
      <c r="Y26" s="3732"/>
      <c r="Z26" s="1354"/>
      <c r="AA26" s="1351">
        <v>1</v>
      </c>
      <c r="AB26" s="1351">
        <v>1</v>
      </c>
      <c r="AC26" s="1351">
        <v>1</v>
      </c>
    </row>
    <row r="27" spans="1:29" s="108" customFormat="1" ht="85.5">
      <c r="A27" s="597"/>
      <c r="B27" s="1129" t="s">
        <v>1775</v>
      </c>
      <c r="C27" s="1898" t="str">
        <f>估价对象房地状况!C21</f>
        <v>估价对象所在区域银行、购物场所、学校等公共配套设施齐备，综合评价公共配套设施水平好。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32"/>
      <c r="Q27" s="1341" t="str">
        <f t="shared" si="8"/>
        <v>公共配套设施</v>
      </c>
      <c r="R27" s="699" t="s">
        <v>14</v>
      </c>
      <c r="S27" s="700">
        <f>F27</f>
        <v>100</v>
      </c>
      <c r="T27" s="699" t="s">
        <v>14</v>
      </c>
      <c r="U27" s="700">
        <f>H27</f>
        <v>100</v>
      </c>
      <c r="V27" s="699" t="s">
        <v>14</v>
      </c>
      <c r="W27" s="700">
        <f>J27</f>
        <v>100</v>
      </c>
      <c r="X27" s="701"/>
      <c r="Y27" s="373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0"/>
      <c r="M28" s="2711"/>
      <c r="N28" s="2711"/>
      <c r="O28" s="2765"/>
      <c r="P28" s="3732"/>
      <c r="Q28" s="1341"/>
      <c r="R28" s="699"/>
      <c r="S28" s="700"/>
      <c r="T28" s="699"/>
      <c r="U28" s="700"/>
      <c r="V28" s="699"/>
      <c r="W28" s="700"/>
      <c r="X28" s="701"/>
      <c r="Y28" s="3732"/>
      <c r="Z28" s="52"/>
      <c r="AA28" s="1351">
        <v>1</v>
      </c>
      <c r="AB28" s="1351">
        <v>1</v>
      </c>
      <c r="AC28" s="1351">
        <v>1</v>
      </c>
    </row>
    <row r="29" spans="1:29" s="108" customFormat="1" ht="42.75">
      <c r="A29" s="597"/>
      <c r="B29" s="1129" t="s">
        <v>1776</v>
      </c>
      <c r="C29" s="1898" t="str">
        <f>估价对象房地状况!C22</f>
        <v>估价对象所在区域基础设施水平“七通一平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32"/>
      <c r="Q29" s="1341" t="str">
        <f t="shared" ref="Q29" si="9">B29</f>
        <v>基础设施水平</v>
      </c>
      <c r="R29" s="699" t="s">
        <v>14</v>
      </c>
      <c r="S29" s="700">
        <f>F29</f>
        <v>100</v>
      </c>
      <c r="T29" s="699" t="s">
        <v>14</v>
      </c>
      <c r="U29" s="700">
        <f>H29</f>
        <v>100</v>
      </c>
      <c r="V29" s="699" t="s">
        <v>14</v>
      </c>
      <c r="W29" s="700">
        <f>J29</f>
        <v>100</v>
      </c>
      <c r="X29" s="701"/>
      <c r="Y29" s="373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0"/>
      <c r="M30" s="2711"/>
      <c r="N30" s="2711"/>
      <c r="O30" s="2765"/>
      <c r="P30" s="3732"/>
      <c r="Q30" s="1341"/>
      <c r="R30" s="699"/>
      <c r="S30" s="700"/>
      <c r="T30" s="699"/>
      <c r="U30" s="700"/>
      <c r="V30" s="699"/>
      <c r="W30" s="700"/>
      <c r="X30" s="701"/>
      <c r="Y30" s="3732"/>
      <c r="Z30" s="52"/>
      <c r="AA30" s="1351">
        <v>1</v>
      </c>
      <c r="AB30" s="1351">
        <v>1</v>
      </c>
      <c r="AC30" s="1351">
        <v>1</v>
      </c>
    </row>
    <row r="31" spans="1:29" ht="15">
      <c r="A31" s="379"/>
      <c r="B31" s="407" t="s">
        <v>1777</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3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32"/>
      <c r="Z31" s="1354" t="str">
        <f t="shared" ref="Z31:Z45" si="13">Q31</f>
        <v>临街状况</v>
      </c>
      <c r="AA31" s="1351">
        <f t="shared" si="3"/>
        <v>1</v>
      </c>
      <c r="AB31" s="1351">
        <f t="shared" si="4"/>
        <v>1</v>
      </c>
      <c r="AC31" s="1351">
        <f t="shared" si="5"/>
        <v>1</v>
      </c>
    </row>
    <row r="32" spans="1:29" ht="27">
      <c r="A32" s="379"/>
      <c r="B32" s="1129"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32"/>
      <c r="Q32" s="1350" t="str">
        <f t="shared" si="8"/>
        <v>毗邻道路的类型与等级</v>
      </c>
      <c r="R32" s="703" t="s">
        <v>14</v>
      </c>
      <c r="S32" s="704">
        <f t="shared" si="10"/>
        <v>100</v>
      </c>
      <c r="T32" s="703" t="s">
        <v>14</v>
      </c>
      <c r="U32" s="704">
        <f t="shared" si="11"/>
        <v>100</v>
      </c>
      <c r="V32" s="703" t="s">
        <v>14</v>
      </c>
      <c r="W32" s="704">
        <f t="shared" si="12"/>
        <v>100</v>
      </c>
      <c r="X32" s="1353"/>
      <c r="Y32" s="373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7"/>
      <c r="P33" s="3732"/>
      <c r="Q33" s="1350"/>
      <c r="R33" s="703"/>
      <c r="S33" s="704"/>
      <c r="T33" s="703"/>
      <c r="U33" s="704"/>
      <c r="V33" s="703"/>
      <c r="W33" s="704"/>
      <c r="X33" s="1353"/>
      <c r="Y33" s="3732"/>
      <c r="Z33" s="1354"/>
      <c r="AA33" s="1351">
        <v>1</v>
      </c>
      <c r="AB33" s="1351">
        <v>1</v>
      </c>
      <c r="AC33" s="1351">
        <v>1</v>
      </c>
    </row>
    <row r="34" spans="1:29" ht="15">
      <c r="A34" s="379"/>
      <c r="B34" s="375" t="s">
        <v>1870</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32"/>
      <c r="Q34" s="1350" t="str">
        <f t="shared" si="8"/>
        <v>土地级别</v>
      </c>
      <c r="R34" s="703" t="s">
        <v>14</v>
      </c>
      <c r="S34" s="704">
        <f t="shared" si="10"/>
        <v>100</v>
      </c>
      <c r="T34" s="703" t="s">
        <v>14</v>
      </c>
      <c r="U34" s="704">
        <f t="shared" si="11"/>
        <v>100</v>
      </c>
      <c r="V34" s="703" t="s">
        <v>14</v>
      </c>
      <c r="W34" s="704">
        <f t="shared" si="12"/>
        <v>100</v>
      </c>
      <c r="X34" s="1353"/>
      <c r="Y34" s="373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32"/>
      <c r="Q35" s="1350">
        <f t="shared" si="8"/>
        <v>111</v>
      </c>
      <c r="R35" s="703" t="s">
        <v>14</v>
      </c>
      <c r="S35" s="704">
        <f t="shared" si="10"/>
        <v>100</v>
      </c>
      <c r="T35" s="703" t="s">
        <v>14</v>
      </c>
      <c r="U35" s="704">
        <f t="shared" si="11"/>
        <v>100</v>
      </c>
      <c r="V35" s="703" t="s">
        <v>14</v>
      </c>
      <c r="W35" s="704">
        <f t="shared" si="12"/>
        <v>100</v>
      </c>
      <c r="X35" s="1353"/>
      <c r="Y35" s="373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56" t="s">
        <v>1693</v>
      </c>
      <c r="Q36" s="1350">
        <f t="shared" si="8"/>
        <v>111</v>
      </c>
      <c r="R36" s="703" t="s">
        <v>14</v>
      </c>
      <c r="S36" s="704">
        <f t="shared" si="10"/>
        <v>100</v>
      </c>
      <c r="T36" s="703" t="s">
        <v>14</v>
      </c>
      <c r="U36" s="704">
        <f t="shared" si="11"/>
        <v>100</v>
      </c>
      <c r="V36" s="703" t="s">
        <v>14</v>
      </c>
      <c r="W36" s="704">
        <f t="shared" si="12"/>
        <v>100</v>
      </c>
      <c r="X36" s="1353"/>
      <c r="Y36" s="3736" t="s">
        <v>1693</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36"/>
      <c r="Q37" s="1350">
        <f t="shared" si="8"/>
        <v>111</v>
      </c>
      <c r="R37" s="706" t="s">
        <v>14</v>
      </c>
      <c r="S37" s="707">
        <f t="shared" si="10"/>
        <v>100</v>
      </c>
      <c r="T37" s="706" t="s">
        <v>14</v>
      </c>
      <c r="U37" s="707">
        <f t="shared" si="11"/>
        <v>100</v>
      </c>
      <c r="V37" s="706" t="s">
        <v>14</v>
      </c>
      <c r="W37" s="707">
        <f t="shared" si="12"/>
        <v>100</v>
      </c>
      <c r="X37" s="708"/>
      <c r="Y37" s="3736"/>
      <c r="Z37" s="709">
        <f t="shared" si="13"/>
        <v>111</v>
      </c>
      <c r="AA37" s="1351">
        <f t="shared" si="3"/>
        <v>1</v>
      </c>
      <c r="AB37" s="1351">
        <f t="shared" si="4"/>
        <v>1</v>
      </c>
      <c r="AC37" s="1351">
        <f t="shared" si="5"/>
        <v>1</v>
      </c>
    </row>
    <row r="38" spans="1:29" ht="15">
      <c r="A38" s="423" t="s">
        <v>1691</v>
      </c>
      <c r="B38" s="407" t="s">
        <v>1871</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36"/>
      <c r="Q38" s="1350" t="str">
        <f>B38</f>
        <v>宗地面积</v>
      </c>
      <c r="R38" s="703" t="s">
        <v>14</v>
      </c>
      <c r="S38" s="704" t="e">
        <f t="shared" si="10"/>
        <v>#N/A</v>
      </c>
      <c r="T38" s="703" t="s">
        <v>14</v>
      </c>
      <c r="U38" s="704" t="e">
        <f t="shared" si="11"/>
        <v>#N/A</v>
      </c>
      <c r="V38" s="703" t="s">
        <v>14</v>
      </c>
      <c r="W38" s="704" t="e">
        <f t="shared" si="12"/>
        <v>#N/A</v>
      </c>
      <c r="X38" s="1353"/>
      <c r="Y38" s="3736"/>
      <c r="Z38" s="1354" t="str">
        <f t="shared" si="13"/>
        <v>宗地面积</v>
      </c>
      <c r="AA38" s="1351" t="e">
        <f t="shared" si="3"/>
        <v>#N/A</v>
      </c>
      <c r="AB38" s="1351" t="e">
        <f t="shared" si="4"/>
        <v>#N/A</v>
      </c>
      <c r="AC38" s="1351" t="e">
        <f t="shared" si="5"/>
        <v>#N/A</v>
      </c>
    </row>
    <row r="39" spans="1:29" ht="15">
      <c r="A39" s="423"/>
      <c r="B39" s="375" t="s">
        <v>1872</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7"/>
      <c r="P39" s="3736"/>
      <c r="Q39" s="1350" t="str">
        <f t="shared" ref="Q39:Q45" si="14">B39</f>
        <v>宗地形状</v>
      </c>
      <c r="R39" s="703" t="s">
        <v>14</v>
      </c>
      <c r="S39" s="704">
        <f t="shared" si="10"/>
        <v>100</v>
      </c>
      <c r="T39" s="703" t="s">
        <v>14</v>
      </c>
      <c r="U39" s="704">
        <f t="shared" si="11"/>
        <v>100</v>
      </c>
      <c r="V39" s="703" t="s">
        <v>14</v>
      </c>
      <c r="W39" s="704">
        <f t="shared" si="12"/>
        <v>100</v>
      </c>
      <c r="X39" s="1353"/>
      <c r="Y39" s="3736"/>
      <c r="Z39" s="1354" t="str">
        <f t="shared" si="13"/>
        <v>宗地形状</v>
      </c>
      <c r="AA39" s="1351">
        <f t="shared" si="3"/>
        <v>1</v>
      </c>
      <c r="AB39" s="1351">
        <f t="shared" si="4"/>
        <v>1</v>
      </c>
      <c r="AC39" s="1351">
        <f t="shared" si="5"/>
        <v>1</v>
      </c>
    </row>
    <row r="40" spans="1:29" ht="15">
      <c r="A40" s="423"/>
      <c r="B40" s="375" t="s">
        <v>1873</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7"/>
      <c r="P40" s="3736"/>
      <c r="Q40" s="1350" t="str">
        <f t="shared" si="14"/>
        <v>临街宽度及深度</v>
      </c>
      <c r="R40" s="703" t="s">
        <v>14</v>
      </c>
      <c r="S40" s="704">
        <f t="shared" si="10"/>
        <v>100</v>
      </c>
      <c r="T40" s="703" t="s">
        <v>14</v>
      </c>
      <c r="U40" s="704">
        <f t="shared" si="11"/>
        <v>100</v>
      </c>
      <c r="V40" s="703" t="s">
        <v>14</v>
      </c>
      <c r="W40" s="704">
        <f t="shared" si="12"/>
        <v>100</v>
      </c>
      <c r="X40" s="1353"/>
      <c r="Y40" s="3736"/>
      <c r="Z40" s="1354" t="str">
        <f t="shared" si="13"/>
        <v>临街宽度及深度</v>
      </c>
      <c r="AA40" s="1351">
        <f t="shared" si="3"/>
        <v>1</v>
      </c>
      <c r="AB40" s="1351">
        <f t="shared" si="4"/>
        <v>1</v>
      </c>
      <c r="AC40" s="1351">
        <f t="shared" si="5"/>
        <v>1</v>
      </c>
    </row>
    <row r="41" spans="1:29" s="108" customFormat="1" ht="15">
      <c r="A41" s="424"/>
      <c r="B41" s="375" t="s">
        <v>1874</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0"/>
      <c r="M41" s="2711"/>
      <c r="N41" s="2711"/>
      <c r="O41" s="2765"/>
      <c r="P41" s="3736"/>
      <c r="Q41" s="1350" t="str">
        <f t="shared" si="14"/>
        <v>宗地开发程度</v>
      </c>
      <c r="R41" s="699" t="s">
        <v>14</v>
      </c>
      <c r="S41" s="700">
        <f t="shared" si="10"/>
        <v>100</v>
      </c>
      <c r="T41" s="699" t="s">
        <v>14</v>
      </c>
      <c r="U41" s="700">
        <f t="shared" si="11"/>
        <v>100</v>
      </c>
      <c r="V41" s="699" t="s">
        <v>14</v>
      </c>
      <c r="W41" s="700">
        <f t="shared" si="12"/>
        <v>100</v>
      </c>
      <c r="X41" s="701"/>
      <c r="Y41" s="3736"/>
      <c r="Z41" s="52" t="str">
        <f t="shared" si="13"/>
        <v>宗地开发程度</v>
      </c>
      <c r="AA41" s="702">
        <f t="shared" si="3"/>
        <v>1</v>
      </c>
      <c r="AB41" s="702">
        <f t="shared" si="4"/>
        <v>1</v>
      </c>
      <c r="AC41" s="702">
        <f t="shared" si="5"/>
        <v>1</v>
      </c>
    </row>
    <row r="42" spans="1:29" ht="15">
      <c r="A42" s="423"/>
      <c r="B42" s="375" t="s">
        <v>1875</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7"/>
      <c r="P42" s="3736" t="s">
        <v>1693</v>
      </c>
      <c r="Q42" s="1350" t="str">
        <f t="shared" si="14"/>
        <v>工程地质条件</v>
      </c>
      <c r="R42" s="703" t="s">
        <v>14</v>
      </c>
      <c r="S42" s="704">
        <f t="shared" si="10"/>
        <v>100</v>
      </c>
      <c r="T42" s="703" t="s">
        <v>14</v>
      </c>
      <c r="U42" s="704">
        <f t="shared" si="11"/>
        <v>100</v>
      </c>
      <c r="V42" s="703" t="s">
        <v>14</v>
      </c>
      <c r="W42" s="704">
        <f t="shared" si="12"/>
        <v>100</v>
      </c>
      <c r="X42" s="1353"/>
      <c r="Y42" s="3736" t="s">
        <v>1693</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36"/>
      <c r="Q43" s="1350">
        <f t="shared" si="14"/>
        <v>111</v>
      </c>
      <c r="R43" s="703" t="s">
        <v>14</v>
      </c>
      <c r="S43" s="704">
        <f t="shared" si="10"/>
        <v>100</v>
      </c>
      <c r="T43" s="703" t="s">
        <v>14</v>
      </c>
      <c r="U43" s="704">
        <f t="shared" si="11"/>
        <v>100</v>
      </c>
      <c r="V43" s="703" t="s">
        <v>14</v>
      </c>
      <c r="W43" s="704">
        <f t="shared" si="12"/>
        <v>100</v>
      </c>
      <c r="X43" s="1353"/>
      <c r="Y43" s="373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36"/>
      <c r="Q44" s="1350">
        <f t="shared" si="14"/>
        <v>111</v>
      </c>
      <c r="R44" s="703" t="s">
        <v>14</v>
      </c>
      <c r="S44" s="704">
        <f t="shared" si="10"/>
        <v>100</v>
      </c>
      <c r="T44" s="703" t="s">
        <v>14</v>
      </c>
      <c r="U44" s="704">
        <f t="shared" si="11"/>
        <v>100</v>
      </c>
      <c r="V44" s="703" t="s">
        <v>14</v>
      </c>
      <c r="W44" s="704">
        <f t="shared" si="12"/>
        <v>100</v>
      </c>
      <c r="X44" s="1353"/>
      <c r="Y44" s="373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36"/>
      <c r="Q45" s="1350">
        <f t="shared" si="14"/>
        <v>111</v>
      </c>
      <c r="R45" s="706" t="s">
        <v>14</v>
      </c>
      <c r="S45" s="707">
        <f t="shared" si="10"/>
        <v>100</v>
      </c>
      <c r="T45" s="706" t="s">
        <v>14</v>
      </c>
      <c r="U45" s="707">
        <f t="shared" si="11"/>
        <v>100</v>
      </c>
      <c r="V45" s="706" t="s">
        <v>14</v>
      </c>
      <c r="W45" s="707">
        <f t="shared" si="12"/>
        <v>100</v>
      </c>
      <c r="X45" s="708"/>
      <c r="Y45" s="3736"/>
      <c r="Z45" s="709">
        <f t="shared" si="13"/>
        <v>111</v>
      </c>
      <c r="AA45" s="1351">
        <f t="shared" si="3"/>
        <v>1</v>
      </c>
      <c r="AB45" s="1351">
        <f t="shared" si="4"/>
        <v>1</v>
      </c>
      <c r="AC45" s="1351">
        <f t="shared" si="5"/>
        <v>1</v>
      </c>
    </row>
    <row r="46" spans="1:29" ht="15">
      <c r="A46" s="430" t="s">
        <v>1841</v>
      </c>
      <c r="B46" s="1980" t="s">
        <v>1876</v>
      </c>
      <c r="C46" s="630" t="s">
        <v>0</v>
      </c>
      <c r="D46" s="432"/>
      <c r="E46" s="433"/>
      <c r="F46" s="434"/>
      <c r="G46" s="435"/>
      <c r="H46" s="436"/>
      <c r="I46" s="433"/>
      <c r="J46" s="436"/>
      <c r="K46" s="712"/>
      <c r="L46" s="2717"/>
      <c r="M46" s="2718"/>
      <c r="N46" s="2709"/>
      <c r="O46" s="2718"/>
      <c r="P46" s="3729" t="str">
        <f>A46</f>
        <v>成交单价</v>
      </c>
      <c r="Q46" s="3729"/>
      <c r="R46" s="3724">
        <f>E46</f>
        <v>0</v>
      </c>
      <c r="S46" s="3724"/>
      <c r="T46" s="3724">
        <f>G46</f>
        <v>0</v>
      </c>
      <c r="U46" s="3724"/>
      <c r="V46" s="3724">
        <f>I46</f>
        <v>0</v>
      </c>
      <c r="W46" s="3724"/>
      <c r="X46" s="688"/>
      <c r="Y46" s="710"/>
      <c r="Z46" s="688"/>
      <c r="AA46" s="688"/>
      <c r="AB46" s="688"/>
      <c r="AC46" s="688"/>
    </row>
    <row r="47" spans="1:29" ht="15.75" thickBot="1">
      <c r="A47" s="437" t="s">
        <v>1790</v>
      </c>
      <c r="B47" s="631"/>
      <c r="C47" s="440" t="e">
        <f>R48</f>
        <v>#DIV/0!</v>
      </c>
      <c r="D47" s="2315" t="s">
        <v>2133</v>
      </c>
      <c r="E47" s="440" t="e">
        <f>R47</f>
        <v>#DIV/0!</v>
      </c>
      <c r="F47" s="2316"/>
      <c r="G47" s="439" t="e">
        <f>T47</f>
        <v>#DIV/0!</v>
      </c>
      <c r="H47" s="2316"/>
      <c r="I47" s="440" t="e">
        <f>V47</f>
        <v>#DIV/0!</v>
      </c>
      <c r="J47" s="2316"/>
      <c r="K47" s="2318">
        <f>F47+H47+J47</f>
        <v>0</v>
      </c>
      <c r="L47" s="2717"/>
      <c r="M47" s="2718"/>
      <c r="N47" s="2718"/>
      <c r="O47" s="2718"/>
      <c r="P47" s="3729" t="str">
        <f>A47</f>
        <v>比较价值（元/平方米）</v>
      </c>
      <c r="Q47" s="3729"/>
      <c r="R47" s="3758" t="e">
        <f>ROUND(PRODUCT(R46,AA7:AA45),0)</f>
        <v>#DIV/0!</v>
      </c>
      <c r="S47" s="3758"/>
      <c r="T47" s="3758" t="e">
        <f>ROUND(PRODUCT(T46,AB7:AB45),0)</f>
        <v>#DIV/0!</v>
      </c>
      <c r="U47" s="3758"/>
      <c r="V47" s="3758" t="e">
        <f>ROUND(PRODUCT(V46,AC7:AC45),0)</f>
        <v>#DIV/0!</v>
      </c>
      <c r="W47" s="3758"/>
      <c r="X47" s="688"/>
      <c r="Y47" s="688"/>
      <c r="Z47" s="688"/>
      <c r="AA47" s="688"/>
      <c r="AB47" s="688"/>
      <c r="AC47" s="688"/>
    </row>
    <row r="48" spans="1:29" ht="15.75" thickBot="1">
      <c r="A48" s="441" t="s">
        <v>1877</v>
      </c>
      <c r="B48" s="442"/>
      <c r="C48" s="443" t="e">
        <f>R48</f>
        <v>#DIV/0!</v>
      </c>
      <c r="D48" s="443"/>
      <c r="E48" s="443"/>
      <c r="F48" s="443"/>
      <c r="G48" s="443"/>
      <c r="H48" s="443"/>
      <c r="I48" s="443"/>
      <c r="J48" s="443"/>
      <c r="K48" s="713"/>
      <c r="L48" s="2717"/>
      <c r="M48" s="2718"/>
      <c r="N48" s="2718"/>
      <c r="O48" s="2718"/>
      <c r="P48" s="3726" t="str">
        <f>A48</f>
        <v>估价对象XX用房的比较价值（楼面单价，元/平方米）</v>
      </c>
      <c r="Q48" s="3727"/>
      <c r="R48" s="3759" t="e">
        <f>ROUND(IF(D47="简单平均",AVERAGE(R47:W47),R47*F47+T47*H47+V47*J47),0)</f>
        <v>#DIV/0!</v>
      </c>
      <c r="S48" s="3759"/>
      <c r="T48" s="3759"/>
      <c r="U48" s="3759"/>
      <c r="V48" s="3759"/>
      <c r="W48" s="3759"/>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1878</v>
      </c>
      <c r="B55" s="633" t="s">
        <v>1879</v>
      </c>
      <c r="C55" s="1981" t="s">
        <v>1880</v>
      </c>
      <c r="D55" s="1982" t="s">
        <v>1881</v>
      </c>
      <c r="E55" s="634" t="s">
        <v>1882</v>
      </c>
      <c r="F55" s="888" t="s">
        <v>1883</v>
      </c>
      <c r="G55" s="3712" t="s">
        <v>1884</v>
      </c>
      <c r="H55" s="3760"/>
      <c r="I55" s="135" t="s">
        <v>1885</v>
      </c>
      <c r="J55" s="1983">
        <f>项目基本情况!F35</f>
        <v>0</v>
      </c>
      <c r="K55" s="1984" t="s">
        <v>1886</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1887</v>
      </c>
      <c r="B56" s="637" t="e">
        <f>C48</f>
        <v>#DIV/0!</v>
      </c>
      <c r="C56" s="638">
        <v>1</v>
      </c>
      <c r="D56" s="942">
        <v>1</v>
      </c>
      <c r="E56" s="638">
        <f>'数据-汇总表'!E8+'数据-汇总表'!E9</f>
        <v>3455.7</v>
      </c>
      <c r="F56" s="884" t="e">
        <f t="shared" ref="F56:F64" si="15">ROUND(B56*E56/10000,0)</f>
        <v>#DIV/0!</v>
      </c>
      <c r="G56" s="3711"/>
      <c r="H56" s="3729"/>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1888</v>
      </c>
      <c r="B57" s="218" t="e">
        <f>ROUND($C$48*C57*D57,0)</f>
        <v>#DIV/0!</v>
      </c>
      <c r="C57" s="171">
        <f t="shared" ref="C57:C64" si="16">IF($C$55="北京市系数",I57,J57)</f>
        <v>0</v>
      </c>
      <c r="D57" s="943">
        <v>0.25</v>
      </c>
      <c r="E57" s="642"/>
      <c r="F57" s="884" t="e">
        <f t="shared" si="15"/>
        <v>#DIV/0!</v>
      </c>
      <c r="G57" s="2999" t="s">
        <v>1889</v>
      </c>
      <c r="H57" s="885">
        <f>项目基本情况!B37</f>
        <v>0</v>
      </c>
      <c r="I57" s="889">
        <f>SUMIF(修正!A57:A68,H57,修正!B57:B68)</f>
        <v>0</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1890</v>
      </c>
      <c r="B58" s="218" t="e">
        <f t="shared" ref="B58:B64" si="17">ROUND($C$48*C58*D58,0)</f>
        <v>#DIV/0!</v>
      </c>
      <c r="C58" s="171">
        <f t="shared" si="16"/>
        <v>0</v>
      </c>
      <c r="D58" s="943">
        <v>0.25</v>
      </c>
      <c r="E58" s="642"/>
      <c r="F58" s="884" t="e">
        <f t="shared" si="15"/>
        <v>#DIV/0!</v>
      </c>
      <c r="G58" s="3000"/>
      <c r="H58" s="885">
        <f>项目基本情况!B37</f>
        <v>0</v>
      </c>
      <c r="I58" s="889">
        <f>SUMIF(修正!A57:A68,H58,修正!C57:C68)</f>
        <v>0</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1891</v>
      </c>
      <c r="B59" s="218" t="e">
        <f t="shared" si="17"/>
        <v>#DIV/0!</v>
      </c>
      <c r="C59" s="171">
        <f t="shared" si="16"/>
        <v>0</v>
      </c>
      <c r="D59" s="943">
        <v>0.25</v>
      </c>
      <c r="E59" s="642"/>
      <c r="F59" s="884" t="e">
        <f t="shared" si="15"/>
        <v>#DIV/0!</v>
      </c>
      <c r="G59" s="3000"/>
      <c r="H59" s="885">
        <f>项目基本情况!B37</f>
        <v>0</v>
      </c>
      <c r="I59" s="889">
        <f>SUMIF(修正!A57:A68,H59,修正!D57:D68)</f>
        <v>0</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1892</v>
      </c>
      <c r="B60" s="218" t="e">
        <f t="shared" si="17"/>
        <v>#DIV/0!</v>
      </c>
      <c r="C60" s="171">
        <f t="shared" si="16"/>
        <v>0.3</v>
      </c>
      <c r="D60" s="943">
        <v>0.25</v>
      </c>
      <c r="E60" s="217">
        <f>'数据-汇总表'!E11</f>
        <v>0</v>
      </c>
      <c r="F60" s="884" t="e">
        <f t="shared" si="15"/>
        <v>#DIV/0!</v>
      </c>
      <c r="G60" s="1985" t="s">
        <v>1893</v>
      </c>
      <c r="H60" s="885" t="str">
        <f>项目基本情况!C37</f>
        <v>一级</v>
      </c>
      <c r="I60" s="889">
        <f>SUMIF(修正!A57:A68,H60,修正!E57:E68)</f>
        <v>0.3</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1894</v>
      </c>
      <c r="B61" s="218" t="e">
        <f t="shared" si="17"/>
        <v>#DIV/0!</v>
      </c>
      <c r="C61" s="171">
        <f t="shared" si="16"/>
        <v>0.3</v>
      </c>
      <c r="D61" s="943">
        <v>0.25</v>
      </c>
      <c r="E61" s="217">
        <f>'数据-汇总表'!E12</f>
        <v>0</v>
      </c>
      <c r="F61" s="884" t="e">
        <f t="shared" si="15"/>
        <v>#DIV/0!</v>
      </c>
      <c r="G61" s="890" t="s">
        <v>1895</v>
      </c>
      <c r="H61" s="885" t="str">
        <f>IF(G61="商业",项目基本情况!B37,IF(G61="办公",项目基本情况!C37,IF(G61="住宅",项目基本情况!D37,项目基本情况!E37)))</f>
        <v>一级</v>
      </c>
      <c r="I61" s="889">
        <f>SUMIF(修正!A57:A68,H61,修正!F57:F68)</f>
        <v>0.3</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1896</v>
      </c>
      <c r="B62" s="218" t="e">
        <f t="shared" si="17"/>
        <v>#DIV/0!</v>
      </c>
      <c r="C62" s="171">
        <f t="shared" si="16"/>
        <v>0</v>
      </c>
      <c r="D62" s="943">
        <v>0.25</v>
      </c>
      <c r="E62" s="217">
        <f>'数据-汇总表'!E13</f>
        <v>0</v>
      </c>
      <c r="F62" s="884" t="e">
        <f t="shared" si="15"/>
        <v>#DIV/0!</v>
      </c>
      <c r="G62" s="890" t="s">
        <v>1897</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1898</v>
      </c>
      <c r="B63" s="218" t="e">
        <f t="shared" si="17"/>
        <v>#DIV/0!</v>
      </c>
      <c r="C63" s="171">
        <f t="shared" si="16"/>
        <v>0</v>
      </c>
      <c r="D63" s="943">
        <v>0.25</v>
      </c>
      <c r="E63" s="217">
        <f>'数据-汇总表'!E14</f>
        <v>0</v>
      </c>
      <c r="F63" s="884" t="e">
        <f t="shared" si="15"/>
        <v>#DIV/0!</v>
      </c>
      <c r="G63" s="1985" t="s">
        <v>1889</v>
      </c>
      <c r="H63" s="885">
        <f>项目基本情况!B37</f>
        <v>0</v>
      </c>
      <c r="I63" s="889">
        <f>SUMIF(修正!A57:A68,H63,修正!G57:G68)</f>
        <v>0</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1899</v>
      </c>
      <c r="B64" s="218" t="e">
        <f t="shared" si="17"/>
        <v>#DIV/0!</v>
      </c>
      <c r="C64" s="171">
        <f t="shared" si="16"/>
        <v>0.2</v>
      </c>
      <c r="D64" s="943">
        <v>0.25</v>
      </c>
      <c r="E64" s="217">
        <f>'数据-汇总表'!E15</f>
        <v>0</v>
      </c>
      <c r="F64" s="884" t="e">
        <f t="shared" si="15"/>
        <v>#DIV/0!</v>
      </c>
      <c r="G64" s="1986" t="s">
        <v>1893</v>
      </c>
      <c r="H64" s="895" t="str">
        <f>项目基本情况!C37</f>
        <v>一级</v>
      </c>
      <c r="I64" s="891">
        <f>SUMIF(修正!A57:A68,H64,修正!G57:G68)</f>
        <v>0.2</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1900</v>
      </c>
      <c r="B65" s="644" t="s">
        <v>22</v>
      </c>
      <c r="C65" s="644" t="s">
        <v>23</v>
      </c>
      <c r="D65" s="644" t="s">
        <v>392</v>
      </c>
      <c r="E65" s="644">
        <f>IF(B46="楼面地价",SUM(E56:E64),'数据-汇总表'!D3)</f>
        <v>3455.7</v>
      </c>
      <c r="F65" s="645"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2023-4-1</v>
      </c>
      <c r="D67" s="690">
        <f>EDATE(C67,-3)</f>
        <v>44927</v>
      </c>
      <c r="E67" s="690">
        <f>EDATE(D67,-3)</f>
        <v>44835</v>
      </c>
      <c r="F67" s="690">
        <f t="shared" ref="F67:O67" si="18">EDATE(E67,-3)</f>
        <v>44743</v>
      </c>
      <c r="G67" s="690">
        <f t="shared" si="18"/>
        <v>44652</v>
      </c>
      <c r="H67" s="690">
        <f t="shared" si="18"/>
        <v>44562</v>
      </c>
      <c r="I67" s="690">
        <f t="shared" si="18"/>
        <v>44470</v>
      </c>
      <c r="J67" s="690">
        <f t="shared" si="18"/>
        <v>44378</v>
      </c>
      <c r="K67" s="690">
        <f t="shared" si="18"/>
        <v>44287</v>
      </c>
      <c r="L67" s="690">
        <f t="shared" si="18"/>
        <v>44197</v>
      </c>
      <c r="M67" s="690">
        <f t="shared" si="18"/>
        <v>44105</v>
      </c>
      <c r="N67" s="690">
        <f t="shared" si="18"/>
        <v>44013</v>
      </c>
      <c r="O67" s="690">
        <f t="shared" si="18"/>
        <v>43922</v>
      </c>
      <c r="P67" s="2718"/>
      <c r="Q67" s="2718"/>
      <c r="R67" s="2718"/>
      <c r="S67" s="2718"/>
      <c r="T67" s="2718"/>
      <c r="U67" s="2718"/>
      <c r="V67" s="2718"/>
      <c r="W67" s="2718"/>
      <c r="X67" s="2718"/>
      <c r="Y67" s="2718"/>
      <c r="Z67" s="2718"/>
      <c r="AA67" s="2718"/>
      <c r="AB67" s="2718"/>
      <c r="AC67" s="2718"/>
    </row>
    <row r="68" spans="1:29" ht="21.75" thickBot="1">
      <c r="A68" s="692" t="s">
        <v>1795</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7" customFormat="1" ht="15">
      <c r="A69" s="1987" t="s">
        <v>1901</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69"/>
      <c r="Q69" s="2734"/>
      <c r="R69" s="2734"/>
      <c r="S69" s="2734"/>
      <c r="T69" s="2734"/>
      <c r="U69" s="2734"/>
      <c r="V69" s="2734"/>
      <c r="W69" s="2734"/>
      <c r="X69" s="2734"/>
      <c r="Y69" s="2734"/>
      <c r="Z69" s="2734"/>
      <c r="AA69" s="2734"/>
      <c r="AB69" s="2734"/>
      <c r="AC69" s="2734"/>
    </row>
    <row r="70" spans="1:29" s="108" customFormat="1" ht="30" customHeight="1">
      <c r="A70" s="1988" t="s">
        <v>1902</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2"/>
      <c r="Q70" s="2655"/>
      <c r="R70" s="2655"/>
      <c r="S70" s="2655"/>
      <c r="T70" s="2655"/>
      <c r="U70" s="2655"/>
      <c r="V70" s="2655"/>
      <c r="W70" s="2655"/>
      <c r="X70" s="2655"/>
      <c r="Y70" s="2655"/>
      <c r="Z70" s="2655"/>
      <c r="AA70" s="2655"/>
      <c r="AB70" s="2655"/>
      <c r="AC70" s="2655"/>
    </row>
    <row r="71" spans="1:29" s="108" customFormat="1" ht="15.75" thickBot="1">
      <c r="A71" s="464" t="s">
        <v>1713</v>
      </c>
      <c r="B71" s="465"/>
      <c r="C71" s="466"/>
      <c r="D71" s="467"/>
      <c r="E71" s="467"/>
      <c r="F71" s="467"/>
      <c r="G71" s="467"/>
      <c r="H71" s="467"/>
      <c r="I71" s="467"/>
      <c r="J71" s="467"/>
      <c r="K71" s="467"/>
      <c r="L71" s="467"/>
      <c r="M71" s="468"/>
      <c r="N71" s="467"/>
      <c r="O71" s="941"/>
      <c r="P71" s="2732"/>
      <c r="Q71" s="2732"/>
      <c r="R71" s="2655"/>
      <c r="S71" s="2655"/>
      <c r="T71" s="2655"/>
      <c r="U71" s="2655"/>
      <c r="V71" s="2655"/>
      <c r="W71" s="2655"/>
      <c r="X71" s="2655"/>
      <c r="Y71" s="2655"/>
      <c r="Z71" s="2655"/>
      <c r="AA71" s="2655"/>
      <c r="AB71" s="2655"/>
      <c r="AC71" s="2655"/>
    </row>
    <row r="72" spans="1:29" s="108" customFormat="1" ht="15">
      <c r="A72" s="470" t="s">
        <v>1678</v>
      </c>
      <c r="B72" s="459"/>
      <c r="C72" s="471" t="s">
        <v>1773</v>
      </c>
      <c r="D72" s="472"/>
      <c r="E72" s="472"/>
      <c r="F72" s="472"/>
      <c r="G72" s="472"/>
      <c r="H72" s="472"/>
      <c r="I72" s="472"/>
      <c r="J72" s="472"/>
      <c r="K72" s="472"/>
      <c r="L72" s="473"/>
      <c r="M72" s="474"/>
      <c r="N72" s="2745"/>
      <c r="O72" s="2745"/>
      <c r="P72" s="2770"/>
      <c r="Q72" s="2732"/>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5"/>
      <c r="S73" s="2655"/>
      <c r="T73" s="2655"/>
      <c r="U73" s="2655"/>
      <c r="V73" s="2655"/>
      <c r="W73" s="2655"/>
      <c r="X73" s="2655"/>
      <c r="Y73" s="2655"/>
      <c r="Z73" s="2655"/>
      <c r="AA73" s="2655"/>
      <c r="AB73" s="2655"/>
      <c r="AC73" s="2655"/>
    </row>
    <row r="74" spans="1:29">
      <c r="A74" s="476" t="s">
        <v>1716</v>
      </c>
      <c r="B74" s="477" t="s">
        <v>1682</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1685</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1687</v>
      </c>
      <c r="B87" s="477" t="s">
        <v>1717</v>
      </c>
      <c r="C87" s="522" t="s">
        <v>1718</v>
      </c>
      <c r="D87" s="522" t="s">
        <v>1719</v>
      </c>
      <c r="E87" s="522" t="s">
        <v>1720</v>
      </c>
      <c r="F87" s="522" t="s">
        <v>1721</v>
      </c>
      <c r="G87" s="522" t="s">
        <v>1722</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1903</v>
      </c>
      <c r="C89" s="527" t="s">
        <v>1718</v>
      </c>
      <c r="D89" s="527" t="s">
        <v>1719</v>
      </c>
      <c r="E89" s="527" t="s">
        <v>1720</v>
      </c>
      <c r="F89" s="527" t="s">
        <v>1721</v>
      </c>
      <c r="G89" s="527" t="s">
        <v>1722</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1818</v>
      </c>
      <c r="C91" s="527" t="s">
        <v>1718</v>
      </c>
      <c r="D91" s="527" t="s">
        <v>1719</v>
      </c>
      <c r="E91" s="527" t="s">
        <v>1720</v>
      </c>
      <c r="F91" s="527" t="s">
        <v>1721</v>
      </c>
      <c r="G91" s="527" t="s">
        <v>1722</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1723</v>
      </c>
      <c r="C93" s="527" t="s">
        <v>1718</v>
      </c>
      <c r="D93" s="527" t="s">
        <v>1719</v>
      </c>
      <c r="E93" s="527" t="s">
        <v>1720</v>
      </c>
      <c r="F93" s="527" t="s">
        <v>1721</v>
      </c>
      <c r="G93" s="527" t="s">
        <v>1722</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1904</v>
      </c>
      <c r="C95" s="527" t="s">
        <v>1718</v>
      </c>
      <c r="D95" s="527" t="s">
        <v>1719</v>
      </c>
      <c r="E95" s="527" t="s">
        <v>1720</v>
      </c>
      <c r="F95" s="527" t="s">
        <v>1721</v>
      </c>
      <c r="G95" s="527" t="s">
        <v>1722</v>
      </c>
      <c r="H95" s="527"/>
      <c r="I95" s="527"/>
      <c r="J95" s="527"/>
      <c r="K95" s="527"/>
      <c r="L95" s="646"/>
      <c r="M95" s="570"/>
      <c r="N95" s="2745"/>
      <c r="O95" s="2745"/>
      <c r="P95" s="2771"/>
      <c r="Q95" s="2732"/>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5"/>
      <c r="S96" s="2655"/>
      <c r="T96" s="2655"/>
      <c r="U96" s="2655"/>
      <c r="V96" s="2655"/>
      <c r="W96" s="2655"/>
      <c r="X96" s="2655"/>
      <c r="Y96" s="2655"/>
      <c r="Z96" s="2655"/>
      <c r="AA96" s="2655"/>
      <c r="AB96" s="2655"/>
      <c r="AC96" s="2655"/>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70"/>
      <c r="N97" s="2745"/>
      <c r="O97" s="2745"/>
      <c r="P97" s="2771"/>
      <c r="Q97" s="2732"/>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5"/>
      <c r="S98" s="2655"/>
      <c r="T98" s="2655"/>
      <c r="U98" s="2655"/>
      <c r="V98" s="2655"/>
      <c r="W98" s="2655"/>
      <c r="X98" s="2655"/>
      <c r="Y98" s="2655"/>
      <c r="Z98" s="2655"/>
      <c r="AA98" s="2655"/>
      <c r="AB98" s="2655"/>
      <c r="AC98" s="2655"/>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1776</v>
      </c>
      <c r="C101" s="608" t="s">
        <v>1796</v>
      </c>
      <c r="D101" s="608" t="s">
        <v>1797</v>
      </c>
      <c r="E101" s="608" t="s">
        <v>1798</v>
      </c>
      <c r="F101" s="608" t="s">
        <v>1799</v>
      </c>
      <c r="G101" s="608" t="s">
        <v>1800</v>
      </c>
      <c r="H101" s="549"/>
      <c r="I101" s="549"/>
      <c r="J101" s="549"/>
      <c r="K101" s="549"/>
      <c r="L101" s="549"/>
      <c r="M101" s="1130"/>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1812</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1870</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1911</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1912</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1913</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1914</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4"/>
      <c r="E1" s="684"/>
      <c r="F1" s="683" t="s">
        <v>1764</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1459</v>
      </c>
      <c r="B2" s="619"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2" customFormat="1" ht="28.5" customHeight="1" thickBot="1">
      <c r="A3" s="203" t="s">
        <v>1461</v>
      </c>
      <c r="B3" s="558" t="e">
        <f>ROUND(IF(D3="",B2*10000/'数据-汇总表'!E3,B2*10000/D3),0)</f>
        <v>#DIV/0!</v>
      </c>
      <c r="C3" s="203" t="s">
        <v>1866</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5" t="s">
        <v>1766</v>
      </c>
      <c r="B4" s="356"/>
      <c r="C4" s="3712" t="s">
        <v>1767</v>
      </c>
      <c r="D4" s="3713"/>
      <c r="E4" s="3714" t="s">
        <v>1768</v>
      </c>
      <c r="F4" s="3715"/>
      <c r="G4" s="3712" t="s">
        <v>1769</v>
      </c>
      <c r="H4" s="3713"/>
      <c r="I4" s="3712" t="s">
        <v>1770</v>
      </c>
      <c r="J4" s="3713"/>
      <c r="K4" s="559" t="s">
        <v>1771</v>
      </c>
      <c r="L4" s="2708"/>
      <c r="M4" s="2709"/>
      <c r="N4" s="2709"/>
      <c r="O4" s="2709"/>
      <c r="P4" s="3716" t="s">
        <v>1772</v>
      </c>
      <c r="Q4" s="3717"/>
      <c r="R4" s="3699" t="s">
        <v>1768</v>
      </c>
      <c r="S4" s="3700"/>
      <c r="T4" s="3699" t="s">
        <v>1769</v>
      </c>
      <c r="U4" s="3700"/>
      <c r="V4" s="3724" t="s">
        <v>1770</v>
      </c>
      <c r="W4" s="3724"/>
      <c r="X4" s="1353"/>
      <c r="Y4" s="3699" t="s">
        <v>1772</v>
      </c>
      <c r="Z4" s="3700"/>
      <c r="AA4" s="3694" t="s">
        <v>1768</v>
      </c>
      <c r="AB4" s="3695" t="s">
        <v>1769</v>
      </c>
      <c r="AC4" s="3694" t="s">
        <v>1770</v>
      </c>
    </row>
    <row r="5" spans="1:29" ht="15">
      <c r="A5" s="358"/>
      <c r="B5" s="359"/>
      <c r="C5" s="3705" t="s">
        <v>1670</v>
      </c>
      <c r="D5" s="3706"/>
      <c r="E5" s="3703" t="s">
        <v>1671</v>
      </c>
      <c r="F5" s="3704"/>
      <c r="G5" s="3705" t="s">
        <v>1672</v>
      </c>
      <c r="H5" s="3706"/>
      <c r="I5" s="3705" t="s">
        <v>1673</v>
      </c>
      <c r="J5" s="3706"/>
      <c r="K5" s="559"/>
      <c r="L5" s="2708"/>
      <c r="M5" s="2709"/>
      <c r="N5" s="2709"/>
      <c r="O5" s="2709"/>
      <c r="P5" s="3718"/>
      <c r="Q5" s="3719"/>
      <c r="R5" s="3701"/>
      <c r="S5" s="3702"/>
      <c r="T5" s="3701"/>
      <c r="U5" s="3702"/>
      <c r="V5" s="3724"/>
      <c r="W5" s="3724"/>
      <c r="X5" s="1353"/>
      <c r="Y5" s="3701"/>
      <c r="Z5" s="3702"/>
      <c r="AA5" s="3695"/>
      <c r="AB5" s="3695"/>
      <c r="AC5" s="3695"/>
    </row>
    <row r="6" spans="1:29" ht="15.75" thickBot="1">
      <c r="A6" s="360"/>
      <c r="B6" s="361"/>
      <c r="C6" s="3761" t="s">
        <v>1916</v>
      </c>
      <c r="D6" s="3762"/>
      <c r="E6" s="3763" t="s">
        <v>1916</v>
      </c>
      <c r="F6" s="3764"/>
      <c r="G6" s="3761" t="s">
        <v>1916</v>
      </c>
      <c r="H6" s="3762"/>
      <c r="I6" s="3761" t="s">
        <v>1916</v>
      </c>
      <c r="J6" s="3762"/>
      <c r="K6" s="559" t="s">
        <v>1675</v>
      </c>
      <c r="L6" s="2708"/>
      <c r="M6" s="2709"/>
      <c r="N6" s="2709"/>
      <c r="O6" s="2709"/>
      <c r="P6" s="3720"/>
      <c r="Q6" s="3721"/>
      <c r="R6" s="3701"/>
      <c r="S6" s="3702"/>
      <c r="T6" s="3722"/>
      <c r="U6" s="3723"/>
      <c r="V6" s="3724"/>
      <c r="W6" s="3724"/>
      <c r="X6" s="1353"/>
      <c r="Y6" s="3722"/>
      <c r="Z6" s="3723"/>
      <c r="AA6" s="3696"/>
      <c r="AB6" s="3696"/>
      <c r="AC6" s="3696"/>
    </row>
    <row r="7" spans="1:29" s="108" customFormat="1" ht="15.75" thickBot="1">
      <c r="A7" s="362" t="s">
        <v>1676</v>
      </c>
      <c r="B7" s="363"/>
      <c r="C7" s="364">
        <f>'数据-取费表'!B2</f>
        <v>45037</v>
      </c>
      <c r="D7" s="365">
        <v>100</v>
      </c>
      <c r="E7" s="366"/>
      <c r="F7" s="367">
        <f>SUMIF(65:65,YEAR(E7)&amp;"-"&amp;INT((MONTH(E7)+2)/3),66:66)</f>
        <v>0</v>
      </c>
      <c r="G7" s="1972"/>
      <c r="H7" s="365">
        <f>SUMIF(65:65,YEAR(G7)&amp;"-"&amp;INT((MONTH(G7)+2)/3),66:66)</f>
        <v>0</v>
      </c>
      <c r="I7" s="1972"/>
      <c r="J7" s="365">
        <f>SUMIF(65:65,YEAR(I7)&amp;"-"&amp;INT((MONTH(I7)+2)/3),66:66)</f>
        <v>0</v>
      </c>
      <c r="K7" s="560"/>
      <c r="L7" s="2710"/>
      <c r="M7" s="2711"/>
      <c r="N7" s="2711"/>
      <c r="O7" s="2711"/>
      <c r="P7" s="3697" t="s">
        <v>1677</v>
      </c>
      <c r="Q7" s="3725"/>
      <c r="R7" s="699" t="s">
        <v>14</v>
      </c>
      <c r="S7" s="700">
        <f t="shared" ref="S7:S15" si="0">F7</f>
        <v>0</v>
      </c>
      <c r="T7" s="699" t="s">
        <v>14</v>
      </c>
      <c r="U7" s="700">
        <f t="shared" ref="U7:U15" si="1">H7</f>
        <v>0</v>
      </c>
      <c r="V7" s="699" t="s">
        <v>14</v>
      </c>
      <c r="W7" s="700">
        <f t="shared" ref="W7:W15" si="2">J7</f>
        <v>0</v>
      </c>
      <c r="X7" s="701"/>
      <c r="Y7" s="3697" t="s">
        <v>1677</v>
      </c>
      <c r="Z7" s="3698"/>
      <c r="AA7" s="702" t="e">
        <f>D7/F7</f>
        <v>#DIV/0!</v>
      </c>
      <c r="AB7" s="702" t="e">
        <f>D7/H7</f>
        <v>#DIV/0!</v>
      </c>
      <c r="AC7" s="702" t="e">
        <f>D7/J7</f>
        <v>#DIV/0!</v>
      </c>
    </row>
    <row r="8" spans="1:29" s="108" customFormat="1" ht="15.75" thickBot="1">
      <c r="A8" s="362" t="s">
        <v>1678</v>
      </c>
      <c r="B8" s="363"/>
      <c r="C8" s="368" t="s">
        <v>1679</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97" t="s">
        <v>1680</v>
      </c>
      <c r="Q8" s="3698"/>
      <c r="R8" s="699" t="s">
        <v>14</v>
      </c>
      <c r="S8" s="700">
        <f t="shared" si="0"/>
        <v>0</v>
      </c>
      <c r="T8" s="699" t="s">
        <v>14</v>
      </c>
      <c r="U8" s="700">
        <f t="shared" si="1"/>
        <v>0</v>
      </c>
      <c r="V8" s="699" t="s">
        <v>14</v>
      </c>
      <c r="W8" s="700">
        <f t="shared" si="2"/>
        <v>0</v>
      </c>
      <c r="X8" s="701"/>
      <c r="Y8" s="3697" t="s">
        <v>1680</v>
      </c>
      <c r="Z8" s="3698"/>
      <c r="AA8" s="702" t="e">
        <f t="shared" ref="AA8:AA40" si="3">D8/F8</f>
        <v>#DIV/0!</v>
      </c>
      <c r="AB8" s="702" t="e">
        <f t="shared" ref="AB8:AB40" si="4">D8/H8</f>
        <v>#DIV/0!</v>
      </c>
      <c r="AC8" s="702" t="e">
        <f t="shared" ref="AC8:AC40" si="5">D8/J8</f>
        <v>#DIV/0!</v>
      </c>
    </row>
    <row r="9" spans="1:29" s="108" customFormat="1">
      <c r="A9" s="369" t="s">
        <v>1681</v>
      </c>
      <c r="B9" s="63" t="s">
        <v>1682</v>
      </c>
      <c r="C9" s="1975"/>
      <c r="D9" s="126">
        <v>100</v>
      </c>
      <c r="E9" s="1975"/>
      <c r="F9" s="126">
        <f>SUMIF(70:70,E9,71:71)-SUMIF(70:70,C9,71:71)+100</f>
        <v>100</v>
      </c>
      <c r="G9" s="1975"/>
      <c r="H9" s="126">
        <f>SUMIF(70:70,G9,71:71)-SUMIF(70:70,C9,71:71)+100</f>
        <v>100</v>
      </c>
      <c r="I9" s="1975"/>
      <c r="J9" s="126">
        <f>SUMIF(70:70,I9,71:71)-SUMIF(70:70,C9,71:71)+100</f>
        <v>100</v>
      </c>
      <c r="K9" s="560"/>
      <c r="L9" s="2710"/>
      <c r="M9" s="2711"/>
      <c r="N9" s="2711"/>
      <c r="O9" s="2765"/>
      <c r="P9" s="3729" t="s">
        <v>1683</v>
      </c>
      <c r="Q9" s="1341" t="str">
        <f t="shared" ref="Q9:Q15" si="6">B9</f>
        <v>用途</v>
      </c>
      <c r="R9" s="699" t="s">
        <v>14</v>
      </c>
      <c r="S9" s="700">
        <f t="shared" si="0"/>
        <v>100</v>
      </c>
      <c r="T9" s="699" t="s">
        <v>14</v>
      </c>
      <c r="U9" s="700">
        <f t="shared" si="1"/>
        <v>100</v>
      </c>
      <c r="V9" s="699" t="s">
        <v>14</v>
      </c>
      <c r="W9" s="700">
        <f t="shared" si="2"/>
        <v>100</v>
      </c>
      <c r="X9" s="701"/>
      <c r="Y9" s="3649" t="s">
        <v>1684</v>
      </c>
      <c r="Z9" s="52" t="str">
        <f t="shared" ref="Z9:Z15" si="7">Q9</f>
        <v>用途</v>
      </c>
      <c r="AA9" s="702">
        <f t="shared" si="3"/>
        <v>1</v>
      </c>
      <c r="AB9" s="702">
        <f t="shared" si="4"/>
        <v>1</v>
      </c>
      <c r="AC9" s="702">
        <f t="shared" si="5"/>
        <v>1</v>
      </c>
    </row>
    <row r="10" spans="1:29" s="378" customFormat="1" ht="27">
      <c r="A10" s="374"/>
      <c r="B10" s="375" t="s">
        <v>1685</v>
      </c>
      <c r="C10" s="383"/>
      <c r="D10" s="127">
        <v>100</v>
      </c>
      <c r="E10" s="383"/>
      <c r="F10" s="127">
        <f>ROUND(100/'数据-取费表'!G16,0)</f>
        <v>143</v>
      </c>
      <c r="G10" s="383"/>
      <c r="H10" s="127">
        <f>ROUND(100/'数据-取费表'!G16,0)</f>
        <v>143</v>
      </c>
      <c r="I10" s="383"/>
      <c r="J10" s="127">
        <f>ROUND(100/'数据-取费表'!G16,0)</f>
        <v>143</v>
      </c>
      <c r="K10" s="620"/>
      <c r="L10" s="2712"/>
      <c r="M10" s="2713"/>
      <c r="N10" s="2713"/>
      <c r="O10" s="2766"/>
      <c r="P10" s="3729"/>
      <c r="Q10" s="1341" t="str">
        <f t="shared" si="6"/>
        <v>土地使用年限（年）</v>
      </c>
      <c r="R10" s="699" t="s">
        <v>14</v>
      </c>
      <c r="S10" s="700">
        <f t="shared" si="0"/>
        <v>143</v>
      </c>
      <c r="T10" s="699" t="s">
        <v>14</v>
      </c>
      <c r="U10" s="700">
        <f t="shared" si="1"/>
        <v>143</v>
      </c>
      <c r="V10" s="699" t="s">
        <v>14</v>
      </c>
      <c r="W10" s="700">
        <f t="shared" si="2"/>
        <v>143</v>
      </c>
      <c r="X10" s="701"/>
      <c r="Y10" s="3649"/>
      <c r="Z10" s="52" t="str">
        <f t="shared" si="7"/>
        <v>土地使用年限（年）</v>
      </c>
      <c r="AA10" s="702">
        <f t="shared" si="3"/>
        <v>0.69930069930069927</v>
      </c>
      <c r="AB10" s="702">
        <f t="shared" si="4"/>
        <v>0.69930069930069927</v>
      </c>
      <c r="AC10" s="702">
        <f t="shared" si="5"/>
        <v>0.69930069930069927</v>
      </c>
    </row>
    <row r="11" spans="1:29" ht="15">
      <c r="A11" s="379"/>
      <c r="B11" s="375" t="s">
        <v>1686</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9"/>
      <c r="Q11" s="1341" t="str">
        <f t="shared" si="6"/>
        <v>容积率</v>
      </c>
      <c r="R11" s="699" t="s">
        <v>14</v>
      </c>
      <c r="S11" s="700" t="e">
        <f t="shared" si="0"/>
        <v>#N/A</v>
      </c>
      <c r="T11" s="699" t="s">
        <v>14</v>
      </c>
      <c r="U11" s="700" t="e">
        <f t="shared" si="1"/>
        <v>#N/A</v>
      </c>
      <c r="V11" s="699" t="s">
        <v>14</v>
      </c>
      <c r="W11" s="700" t="e">
        <f t="shared" si="2"/>
        <v>#N/A</v>
      </c>
      <c r="X11" s="701"/>
      <c r="Y11" s="364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9"/>
      <c r="Q12" s="1341">
        <f t="shared" si="6"/>
        <v>111</v>
      </c>
      <c r="R12" s="699" t="s">
        <v>14</v>
      </c>
      <c r="S12" s="700">
        <f t="shared" si="0"/>
        <v>100</v>
      </c>
      <c r="T12" s="699" t="s">
        <v>14</v>
      </c>
      <c r="U12" s="700">
        <f t="shared" si="1"/>
        <v>100</v>
      </c>
      <c r="V12" s="699" t="s">
        <v>14</v>
      </c>
      <c r="W12" s="700">
        <f t="shared" si="2"/>
        <v>100</v>
      </c>
      <c r="X12" s="701"/>
      <c r="Y12" s="364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9"/>
      <c r="Q13" s="1341">
        <f t="shared" si="6"/>
        <v>111</v>
      </c>
      <c r="R13" s="699" t="s">
        <v>14</v>
      </c>
      <c r="S13" s="700">
        <f t="shared" si="0"/>
        <v>100</v>
      </c>
      <c r="T13" s="699" t="s">
        <v>14</v>
      </c>
      <c r="U13" s="700">
        <f t="shared" si="1"/>
        <v>100</v>
      </c>
      <c r="V13" s="699" t="s">
        <v>14</v>
      </c>
      <c r="W13" s="700">
        <f t="shared" si="2"/>
        <v>100</v>
      </c>
      <c r="X13" s="701"/>
      <c r="Y13" s="364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9"/>
      <c r="Q14" s="1341">
        <f t="shared" si="6"/>
        <v>111</v>
      </c>
      <c r="R14" s="699" t="s">
        <v>14</v>
      </c>
      <c r="S14" s="700">
        <f t="shared" si="0"/>
        <v>100</v>
      </c>
      <c r="T14" s="699" t="s">
        <v>14</v>
      </c>
      <c r="U14" s="700">
        <f t="shared" si="1"/>
        <v>100</v>
      </c>
      <c r="V14" s="699" t="s">
        <v>14</v>
      </c>
      <c r="W14" s="700">
        <f t="shared" si="2"/>
        <v>100</v>
      </c>
      <c r="X14" s="701"/>
      <c r="Y14" s="3649"/>
      <c r="Z14" s="52">
        <f t="shared" si="7"/>
        <v>111</v>
      </c>
      <c r="AA14" s="702">
        <f t="shared" si="3"/>
        <v>1</v>
      </c>
      <c r="AB14" s="702">
        <f t="shared" si="4"/>
        <v>1</v>
      </c>
      <c r="AC14" s="702">
        <f t="shared" si="5"/>
        <v>1</v>
      </c>
    </row>
    <row r="15" spans="1:29" ht="57">
      <c r="A15" s="391" t="s">
        <v>1687</v>
      </c>
      <c r="B15" s="577" t="s">
        <v>1917</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31" t="s">
        <v>1688</v>
      </c>
      <c r="Q15" s="1350" t="str">
        <f t="shared" si="6"/>
        <v>产业集聚程度</v>
      </c>
      <c r="R15" s="703" t="s">
        <v>14</v>
      </c>
      <c r="S15" s="704">
        <f t="shared" si="0"/>
        <v>100</v>
      </c>
      <c r="T15" s="703" t="s">
        <v>14</v>
      </c>
      <c r="U15" s="704">
        <f t="shared" si="1"/>
        <v>100</v>
      </c>
      <c r="V15" s="703" t="s">
        <v>14</v>
      </c>
      <c r="W15" s="704">
        <f t="shared" si="2"/>
        <v>100</v>
      </c>
      <c r="X15" s="1353"/>
      <c r="Y15" s="3731" t="s">
        <v>1688</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5"/>
      <c r="M16" s="2709"/>
      <c r="N16" s="2709"/>
      <c r="O16" s="2767"/>
      <c r="P16" s="3732"/>
      <c r="Q16" s="1350"/>
      <c r="R16" s="703"/>
      <c r="S16" s="704"/>
      <c r="T16" s="703"/>
      <c r="U16" s="704"/>
      <c r="V16" s="703"/>
      <c r="W16" s="704"/>
      <c r="X16" s="1353"/>
      <c r="Y16" s="3732"/>
      <c r="Z16" s="1354"/>
      <c r="AA16" s="1351">
        <v>1</v>
      </c>
      <c r="AB16" s="1351">
        <v>1</v>
      </c>
      <c r="AC16" s="1351">
        <v>1</v>
      </c>
    </row>
    <row r="17" spans="1:29" ht="85.5">
      <c r="A17" s="379"/>
      <c r="B17" s="579" t="s">
        <v>1830</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32"/>
      <c r="Q17" s="1350" t="str">
        <f>B17</f>
        <v>交通便捷度</v>
      </c>
      <c r="R17" s="703" t="s">
        <v>14</v>
      </c>
      <c r="S17" s="704">
        <f>F17</f>
        <v>100</v>
      </c>
      <c r="T17" s="703" t="s">
        <v>14</v>
      </c>
      <c r="U17" s="704">
        <f>H17</f>
        <v>100</v>
      </c>
      <c r="V17" s="703" t="s">
        <v>14</v>
      </c>
      <c r="W17" s="704">
        <f>J17</f>
        <v>100</v>
      </c>
      <c r="X17" s="1353"/>
      <c r="Y17" s="373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5"/>
      <c r="M18" s="2709"/>
      <c r="N18" s="2709"/>
      <c r="O18" s="2767"/>
      <c r="P18" s="3732"/>
      <c r="Q18" s="1350"/>
      <c r="R18" s="703"/>
      <c r="S18" s="704"/>
      <c r="T18" s="703"/>
      <c r="U18" s="704"/>
      <c r="V18" s="703"/>
      <c r="W18" s="704"/>
      <c r="X18" s="1353"/>
      <c r="Y18" s="3732"/>
      <c r="Z18" s="1354"/>
      <c r="AA18" s="1351">
        <v>1</v>
      </c>
      <c r="AB18" s="1351">
        <v>1</v>
      </c>
      <c r="AC18" s="1351">
        <v>1</v>
      </c>
    </row>
    <row r="19" spans="1:29" ht="15">
      <c r="A19" s="379"/>
      <c r="B19" s="579" t="s">
        <v>1868</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32"/>
      <c r="Q19" s="1350" t="str">
        <f t="shared" ref="Q19:Q33" si="8">B19</f>
        <v>区域土地利用方向</v>
      </c>
      <c r="R19" s="703" t="s">
        <v>14</v>
      </c>
      <c r="S19" s="704">
        <f>F19</f>
        <v>100</v>
      </c>
      <c r="T19" s="703" t="s">
        <v>14</v>
      </c>
      <c r="U19" s="704">
        <f>H19</f>
        <v>100</v>
      </c>
      <c r="V19" s="703" t="s">
        <v>14</v>
      </c>
      <c r="W19" s="704">
        <f>J19</f>
        <v>100</v>
      </c>
      <c r="X19" s="1353"/>
      <c r="Y19" s="373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5"/>
      <c r="M20" s="2709"/>
      <c r="N20" s="2709"/>
      <c r="O20" s="2767"/>
      <c r="P20" s="3732"/>
      <c r="Q20" s="1350"/>
      <c r="R20" s="703"/>
      <c r="S20" s="704"/>
      <c r="T20" s="703"/>
      <c r="U20" s="704"/>
      <c r="V20" s="703"/>
      <c r="W20" s="704"/>
      <c r="X20" s="1353"/>
      <c r="Y20" s="3732"/>
      <c r="Z20" s="1354"/>
      <c r="AA20" s="1351"/>
      <c r="AB20" s="1351"/>
      <c r="AC20" s="1351"/>
    </row>
    <row r="21" spans="1:29" ht="71.25">
      <c r="A21" s="358"/>
      <c r="B21" s="579" t="s">
        <v>1918</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32"/>
      <c r="Q21" s="1350" t="str">
        <f t="shared" si="8"/>
        <v>环境状况</v>
      </c>
      <c r="R21" s="703" t="s">
        <v>14</v>
      </c>
      <c r="S21" s="704">
        <f>F21</f>
        <v>100</v>
      </c>
      <c r="T21" s="703" t="s">
        <v>14</v>
      </c>
      <c r="U21" s="704">
        <f>H21</f>
        <v>100</v>
      </c>
      <c r="V21" s="703" t="s">
        <v>14</v>
      </c>
      <c r="W21" s="704">
        <f>J21</f>
        <v>100</v>
      </c>
      <c r="X21" s="1353"/>
      <c r="Y21" s="373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5"/>
      <c r="M22" s="2709"/>
      <c r="N22" s="2709"/>
      <c r="O22" s="2767"/>
      <c r="P22" s="3732"/>
      <c r="Q22" s="1350"/>
      <c r="R22" s="703"/>
      <c r="S22" s="704"/>
      <c r="T22" s="703"/>
      <c r="U22" s="704"/>
      <c r="V22" s="703"/>
      <c r="W22" s="704"/>
      <c r="X22" s="1353"/>
      <c r="Y22" s="3732"/>
      <c r="Z22" s="1354"/>
      <c r="AA22" s="1351">
        <v>1</v>
      </c>
      <c r="AB22" s="1351">
        <v>1</v>
      </c>
      <c r="AC22" s="1351">
        <v>1</v>
      </c>
    </row>
    <row r="23" spans="1:29" s="108" customFormat="1" ht="42.75">
      <c r="A23" s="597"/>
      <c r="B23" s="581" t="s">
        <v>1775</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32"/>
      <c r="Q23" s="1341" t="str">
        <f t="shared" si="8"/>
        <v>公共配套设施</v>
      </c>
      <c r="R23" s="699" t="s">
        <v>14</v>
      </c>
      <c r="S23" s="700">
        <f>F23</f>
        <v>100</v>
      </c>
      <c r="T23" s="699" t="s">
        <v>14</v>
      </c>
      <c r="U23" s="700">
        <f>H23</f>
        <v>100</v>
      </c>
      <c r="V23" s="699" t="s">
        <v>14</v>
      </c>
      <c r="W23" s="700">
        <f>J23</f>
        <v>100</v>
      </c>
      <c r="X23" s="701"/>
      <c r="Y23" s="373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0"/>
      <c r="M24" s="2711"/>
      <c r="N24" s="2711"/>
      <c r="O24" s="2765"/>
      <c r="P24" s="3732"/>
      <c r="Q24" s="1341"/>
      <c r="R24" s="699"/>
      <c r="S24" s="700"/>
      <c r="T24" s="699"/>
      <c r="U24" s="700"/>
      <c r="V24" s="699"/>
      <c r="W24" s="700"/>
      <c r="X24" s="701"/>
      <c r="Y24" s="3732"/>
      <c r="Z24" s="52"/>
      <c r="AA24" s="702">
        <v>1</v>
      </c>
      <c r="AB24" s="702">
        <v>1</v>
      </c>
      <c r="AC24" s="702">
        <v>1</v>
      </c>
    </row>
    <row r="25" spans="1:29" s="108" customFormat="1" ht="28.5">
      <c r="A25" s="597"/>
      <c r="B25" s="581" t="s">
        <v>1776</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32"/>
      <c r="Q25" s="1341" t="str">
        <f t="shared" ref="Q25" si="9">B25</f>
        <v>基础设施水平</v>
      </c>
      <c r="R25" s="699" t="s">
        <v>14</v>
      </c>
      <c r="S25" s="700">
        <f>F25</f>
        <v>100</v>
      </c>
      <c r="T25" s="699" t="s">
        <v>14</v>
      </c>
      <c r="U25" s="700">
        <f>H25</f>
        <v>100</v>
      </c>
      <c r="V25" s="699" t="s">
        <v>14</v>
      </c>
      <c r="W25" s="700">
        <f>J25</f>
        <v>100</v>
      </c>
      <c r="X25" s="701"/>
      <c r="Y25" s="373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0"/>
      <c r="M26" s="2711"/>
      <c r="N26" s="2711"/>
      <c r="O26" s="2765"/>
      <c r="P26" s="3732"/>
      <c r="Q26" s="1341"/>
      <c r="R26" s="699"/>
      <c r="S26" s="700"/>
      <c r="T26" s="699"/>
      <c r="U26" s="700"/>
      <c r="V26" s="699"/>
      <c r="W26" s="700"/>
      <c r="X26" s="701"/>
      <c r="Y26" s="3732"/>
      <c r="Z26" s="52"/>
      <c r="AA26" s="702">
        <v>1</v>
      </c>
      <c r="AB26" s="702">
        <v>1</v>
      </c>
      <c r="AC26" s="702">
        <v>1</v>
      </c>
    </row>
    <row r="27" spans="1:29" ht="15">
      <c r="A27" s="379"/>
      <c r="B27" s="580" t="s">
        <v>1777</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3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32"/>
      <c r="Z27" s="1354" t="str">
        <f t="shared" ref="Z27:Z40" si="13">Q27</f>
        <v>临街状况</v>
      </c>
      <c r="AA27" s="1351">
        <f t="shared" si="3"/>
        <v>1</v>
      </c>
      <c r="AB27" s="1351">
        <f t="shared" si="4"/>
        <v>1</v>
      </c>
      <c r="AC27" s="1351">
        <f t="shared" si="5"/>
        <v>1</v>
      </c>
    </row>
    <row r="28" spans="1:29" ht="27">
      <c r="A28" s="379"/>
      <c r="B28" s="581" t="s">
        <v>1812</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32"/>
      <c r="Q28" s="1350" t="str">
        <f t="shared" si="8"/>
        <v>毗邻道路的类型与等级</v>
      </c>
      <c r="R28" s="703" t="s">
        <v>14</v>
      </c>
      <c r="S28" s="704">
        <f t="shared" si="10"/>
        <v>100</v>
      </c>
      <c r="T28" s="703" t="s">
        <v>14</v>
      </c>
      <c r="U28" s="704">
        <f t="shared" si="11"/>
        <v>100</v>
      </c>
      <c r="V28" s="703" t="s">
        <v>14</v>
      </c>
      <c r="W28" s="704">
        <f t="shared" si="12"/>
        <v>100</v>
      </c>
      <c r="X28" s="1353"/>
      <c r="Y28" s="373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5"/>
      <c r="M29" s="2709"/>
      <c r="N29" s="2709"/>
      <c r="O29" s="2767"/>
      <c r="P29" s="3732"/>
      <c r="Q29" s="1350"/>
      <c r="R29" s="703"/>
      <c r="S29" s="704"/>
      <c r="T29" s="703"/>
      <c r="U29" s="704"/>
      <c r="V29" s="703"/>
      <c r="W29" s="704"/>
      <c r="X29" s="1353"/>
      <c r="Y29" s="3732"/>
      <c r="Z29" s="1354"/>
      <c r="AA29" s="1351">
        <v>1</v>
      </c>
      <c r="AB29" s="1351">
        <v>1</v>
      </c>
      <c r="AC29" s="1351">
        <v>1</v>
      </c>
    </row>
    <row r="30" spans="1:29" ht="15">
      <c r="A30" s="379"/>
      <c r="B30" s="602" t="s">
        <v>1870</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32"/>
      <c r="Q30" s="1350" t="str">
        <f t="shared" si="8"/>
        <v>土地级别</v>
      </c>
      <c r="R30" s="703" t="s">
        <v>14</v>
      </c>
      <c r="S30" s="704">
        <f t="shared" si="10"/>
        <v>100</v>
      </c>
      <c r="T30" s="703" t="s">
        <v>14</v>
      </c>
      <c r="U30" s="704">
        <f t="shared" si="11"/>
        <v>100</v>
      </c>
      <c r="V30" s="703" t="s">
        <v>14</v>
      </c>
      <c r="W30" s="704">
        <f t="shared" si="12"/>
        <v>100</v>
      </c>
      <c r="X30" s="1353"/>
      <c r="Y30" s="373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32"/>
      <c r="Q31" s="1350">
        <f t="shared" si="8"/>
        <v>111</v>
      </c>
      <c r="R31" s="703" t="s">
        <v>14</v>
      </c>
      <c r="S31" s="704">
        <f t="shared" si="10"/>
        <v>100</v>
      </c>
      <c r="T31" s="703" t="s">
        <v>14</v>
      </c>
      <c r="U31" s="704">
        <f t="shared" si="11"/>
        <v>100</v>
      </c>
      <c r="V31" s="703" t="s">
        <v>14</v>
      </c>
      <c r="W31" s="704">
        <f t="shared" si="12"/>
        <v>100</v>
      </c>
      <c r="X31" s="1353"/>
      <c r="Y31" s="373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56" t="s">
        <v>1693</v>
      </c>
      <c r="Q32" s="1350">
        <f t="shared" si="8"/>
        <v>111</v>
      </c>
      <c r="R32" s="703" t="s">
        <v>14</v>
      </c>
      <c r="S32" s="704">
        <f t="shared" si="10"/>
        <v>100</v>
      </c>
      <c r="T32" s="703" t="s">
        <v>14</v>
      </c>
      <c r="U32" s="704">
        <f t="shared" si="11"/>
        <v>100</v>
      </c>
      <c r="V32" s="703" t="s">
        <v>14</v>
      </c>
      <c r="W32" s="704">
        <f t="shared" si="12"/>
        <v>100</v>
      </c>
      <c r="X32" s="1353"/>
      <c r="Y32" s="3736" t="s">
        <v>1693</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36"/>
      <c r="Q33" s="1350">
        <f t="shared" si="8"/>
        <v>111</v>
      </c>
      <c r="R33" s="706" t="s">
        <v>14</v>
      </c>
      <c r="S33" s="707">
        <f t="shared" si="10"/>
        <v>100</v>
      </c>
      <c r="T33" s="706" t="s">
        <v>14</v>
      </c>
      <c r="U33" s="707">
        <f t="shared" si="11"/>
        <v>100</v>
      </c>
      <c r="V33" s="706" t="s">
        <v>14</v>
      </c>
      <c r="W33" s="707">
        <f t="shared" si="12"/>
        <v>100</v>
      </c>
      <c r="X33" s="708"/>
      <c r="Y33" s="3736"/>
      <c r="Z33" s="709">
        <f t="shared" si="13"/>
        <v>111</v>
      </c>
      <c r="AA33" s="1351">
        <f t="shared" si="3"/>
        <v>1</v>
      </c>
      <c r="AB33" s="1351">
        <f t="shared" si="4"/>
        <v>1</v>
      </c>
      <c r="AC33" s="1351">
        <f t="shared" si="5"/>
        <v>1</v>
      </c>
    </row>
    <row r="34" spans="1:31" ht="15">
      <c r="A34" s="391" t="s">
        <v>1691</v>
      </c>
      <c r="B34" s="407" t="s">
        <v>1871</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36"/>
      <c r="Q34" s="1350" t="str">
        <f>B34</f>
        <v>宗地面积</v>
      </c>
      <c r="R34" s="703" t="s">
        <v>14</v>
      </c>
      <c r="S34" s="704" t="e">
        <f t="shared" si="10"/>
        <v>#N/A</v>
      </c>
      <c r="T34" s="703" t="s">
        <v>14</v>
      </c>
      <c r="U34" s="704" t="e">
        <f t="shared" si="11"/>
        <v>#N/A</v>
      </c>
      <c r="V34" s="703" t="s">
        <v>14</v>
      </c>
      <c r="W34" s="704" t="e">
        <f t="shared" si="12"/>
        <v>#N/A</v>
      </c>
      <c r="X34" s="1353"/>
      <c r="Y34" s="3736"/>
      <c r="Z34" s="1354" t="str">
        <f t="shared" si="13"/>
        <v>宗地面积</v>
      </c>
      <c r="AA34" s="1351" t="e">
        <f t="shared" si="3"/>
        <v>#N/A</v>
      </c>
      <c r="AB34" s="1351" t="e">
        <f t="shared" si="4"/>
        <v>#N/A</v>
      </c>
      <c r="AC34" s="1351" t="e">
        <f t="shared" si="5"/>
        <v>#N/A</v>
      </c>
    </row>
    <row r="35" spans="1:31" ht="15">
      <c r="A35" s="423"/>
      <c r="B35" s="375" t="s">
        <v>1872</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7"/>
      <c r="P35" s="3736"/>
      <c r="Q35" s="1350" t="str">
        <f t="shared" ref="Q35:Q40" si="14">B35</f>
        <v>宗地形状</v>
      </c>
      <c r="R35" s="703" t="s">
        <v>14</v>
      </c>
      <c r="S35" s="704">
        <f t="shared" si="10"/>
        <v>100</v>
      </c>
      <c r="T35" s="703" t="s">
        <v>14</v>
      </c>
      <c r="U35" s="704">
        <f t="shared" si="11"/>
        <v>100</v>
      </c>
      <c r="V35" s="703" t="s">
        <v>14</v>
      </c>
      <c r="W35" s="704">
        <f t="shared" si="12"/>
        <v>100</v>
      </c>
      <c r="X35" s="1353"/>
      <c r="Y35" s="3736"/>
      <c r="Z35" s="1354" t="str">
        <f t="shared" si="13"/>
        <v>宗地形状</v>
      </c>
      <c r="AA35" s="1351">
        <f t="shared" si="3"/>
        <v>1</v>
      </c>
      <c r="AB35" s="1351">
        <f t="shared" si="4"/>
        <v>1</v>
      </c>
      <c r="AC35" s="1351">
        <f t="shared" si="5"/>
        <v>1</v>
      </c>
    </row>
    <row r="36" spans="1:31" s="108" customFormat="1" ht="15">
      <c r="A36" s="424"/>
      <c r="B36" s="375" t="s">
        <v>1874</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0"/>
      <c r="M36" s="2711"/>
      <c r="N36" s="2711"/>
      <c r="O36" s="2765"/>
      <c r="P36" s="3736"/>
      <c r="Q36" s="1350" t="str">
        <f t="shared" si="14"/>
        <v>宗地开发程度</v>
      </c>
      <c r="R36" s="699" t="s">
        <v>14</v>
      </c>
      <c r="S36" s="700">
        <f t="shared" si="10"/>
        <v>100</v>
      </c>
      <c r="T36" s="699" t="s">
        <v>14</v>
      </c>
      <c r="U36" s="700">
        <f t="shared" si="11"/>
        <v>100</v>
      </c>
      <c r="V36" s="699" t="s">
        <v>14</v>
      </c>
      <c r="W36" s="700">
        <f t="shared" si="12"/>
        <v>100</v>
      </c>
      <c r="X36" s="701"/>
      <c r="Y36" s="3736"/>
      <c r="Z36" s="52" t="str">
        <f t="shared" si="13"/>
        <v>宗地开发程度</v>
      </c>
      <c r="AA36" s="702">
        <f t="shared" si="3"/>
        <v>1</v>
      </c>
      <c r="AB36" s="702">
        <f t="shared" si="4"/>
        <v>1</v>
      </c>
      <c r="AC36" s="702">
        <f t="shared" si="5"/>
        <v>1</v>
      </c>
    </row>
    <row r="37" spans="1:31" ht="15">
      <c r="A37" s="423"/>
      <c r="B37" s="375" t="s">
        <v>1875</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7"/>
      <c r="P37" s="3736" t="s">
        <v>1693</v>
      </c>
      <c r="Q37" s="1350" t="str">
        <f t="shared" si="14"/>
        <v>工程地质条件</v>
      </c>
      <c r="R37" s="703" t="s">
        <v>14</v>
      </c>
      <c r="S37" s="704">
        <f t="shared" si="10"/>
        <v>100</v>
      </c>
      <c r="T37" s="703" t="s">
        <v>14</v>
      </c>
      <c r="U37" s="704">
        <f t="shared" si="11"/>
        <v>100</v>
      </c>
      <c r="V37" s="703" t="s">
        <v>14</v>
      </c>
      <c r="W37" s="704">
        <f t="shared" si="12"/>
        <v>100</v>
      </c>
      <c r="X37" s="1353"/>
      <c r="Y37" s="3736" t="s">
        <v>1693</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36"/>
      <c r="Q38" s="1350">
        <f t="shared" si="14"/>
        <v>111</v>
      </c>
      <c r="R38" s="703" t="s">
        <v>14</v>
      </c>
      <c r="S38" s="704">
        <f t="shared" si="10"/>
        <v>100</v>
      </c>
      <c r="T38" s="703" t="s">
        <v>14</v>
      </c>
      <c r="U38" s="704">
        <f t="shared" si="11"/>
        <v>100</v>
      </c>
      <c r="V38" s="703" t="s">
        <v>14</v>
      </c>
      <c r="W38" s="704">
        <f t="shared" si="12"/>
        <v>100</v>
      </c>
      <c r="X38" s="1353"/>
      <c r="Y38" s="373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36"/>
      <c r="Q39" s="1350">
        <f t="shared" si="14"/>
        <v>111</v>
      </c>
      <c r="R39" s="703" t="s">
        <v>14</v>
      </c>
      <c r="S39" s="704">
        <f t="shared" si="10"/>
        <v>100</v>
      </c>
      <c r="T39" s="703" t="s">
        <v>14</v>
      </c>
      <c r="U39" s="704">
        <f t="shared" si="11"/>
        <v>100</v>
      </c>
      <c r="V39" s="703" t="s">
        <v>14</v>
      </c>
      <c r="W39" s="704">
        <f t="shared" si="12"/>
        <v>100</v>
      </c>
      <c r="X39" s="1353"/>
      <c r="Y39" s="373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36"/>
      <c r="Q40" s="1350">
        <f t="shared" si="14"/>
        <v>111</v>
      </c>
      <c r="R40" s="706" t="s">
        <v>14</v>
      </c>
      <c r="S40" s="707">
        <f t="shared" si="10"/>
        <v>100</v>
      </c>
      <c r="T40" s="706" t="s">
        <v>14</v>
      </c>
      <c r="U40" s="707">
        <f t="shared" si="11"/>
        <v>100</v>
      </c>
      <c r="V40" s="706" t="s">
        <v>14</v>
      </c>
      <c r="W40" s="707">
        <f t="shared" si="12"/>
        <v>100</v>
      </c>
      <c r="X40" s="708"/>
      <c r="Y40" s="3736"/>
      <c r="Z40" s="709">
        <f t="shared" si="13"/>
        <v>111</v>
      </c>
      <c r="AA40" s="1351">
        <f t="shared" si="3"/>
        <v>1</v>
      </c>
      <c r="AB40" s="1351">
        <f t="shared" si="4"/>
        <v>1</v>
      </c>
      <c r="AC40" s="1351">
        <f t="shared" si="5"/>
        <v>1</v>
      </c>
    </row>
    <row r="41" spans="1:31" ht="15">
      <c r="A41" s="430" t="s">
        <v>1841</v>
      </c>
      <c r="B41" s="1980" t="s">
        <v>1919</v>
      </c>
      <c r="C41" s="630" t="s">
        <v>0</v>
      </c>
      <c r="D41" s="432"/>
      <c r="E41" s="433"/>
      <c r="F41" s="434"/>
      <c r="G41" s="435"/>
      <c r="H41" s="436"/>
      <c r="I41" s="433"/>
      <c r="J41" s="436"/>
      <c r="K41" s="712"/>
      <c r="L41" s="2717"/>
      <c r="M41" s="2709"/>
      <c r="N41" s="2709"/>
      <c r="O41" s="2718"/>
      <c r="P41" s="3729" t="str">
        <f>A41</f>
        <v>成交单价</v>
      </c>
      <c r="Q41" s="3729"/>
      <c r="R41" s="3724">
        <f>E41</f>
        <v>0</v>
      </c>
      <c r="S41" s="3724"/>
      <c r="T41" s="3724">
        <f>G41</f>
        <v>0</v>
      </c>
      <c r="U41" s="3724"/>
      <c r="V41" s="3724">
        <f>I41</f>
        <v>0</v>
      </c>
      <c r="W41" s="3724"/>
      <c r="X41" s="688"/>
      <c r="Y41" s="710"/>
      <c r="Z41" s="688"/>
      <c r="AA41" s="688"/>
      <c r="AB41" s="688"/>
      <c r="AC41" s="688"/>
    </row>
    <row r="42" spans="1:31" ht="15.75" thickBot="1">
      <c r="A42" s="437" t="s">
        <v>1790</v>
      </c>
      <c r="B42" s="631"/>
      <c r="C42" s="440" t="e">
        <f>R43</f>
        <v>#DIV/0!</v>
      </c>
      <c r="D42" s="2315" t="s">
        <v>2133</v>
      </c>
      <c r="E42" s="440" t="e">
        <f>R42</f>
        <v>#DIV/0!</v>
      </c>
      <c r="F42" s="2316"/>
      <c r="G42" s="439" t="e">
        <f>T42</f>
        <v>#DIV/0!</v>
      </c>
      <c r="H42" s="2316"/>
      <c r="I42" s="440" t="e">
        <f>V42</f>
        <v>#DIV/0!</v>
      </c>
      <c r="J42" s="2316"/>
      <c r="K42" s="2318">
        <f>F42+H42+J42</f>
        <v>0</v>
      </c>
      <c r="L42" s="2717"/>
      <c r="M42" s="2709"/>
      <c r="N42" s="2709"/>
      <c r="O42" s="2718"/>
      <c r="P42" s="3729" t="str">
        <f>A42</f>
        <v>比较价值（元/平方米）</v>
      </c>
      <c r="Q42" s="3729"/>
      <c r="R42" s="3758" t="e">
        <f>ROUND(PRODUCT(R41,AA7:AA40),0)</f>
        <v>#DIV/0!</v>
      </c>
      <c r="S42" s="3758"/>
      <c r="T42" s="3758" t="e">
        <f>ROUND(PRODUCT(T41,AB7:AB40),0)</f>
        <v>#DIV/0!</v>
      </c>
      <c r="U42" s="3758"/>
      <c r="V42" s="3758" t="e">
        <f>ROUND(PRODUCT(V41,AC7:AC40),0)</f>
        <v>#DIV/0!</v>
      </c>
      <c r="W42" s="3758"/>
      <c r="X42" s="688"/>
      <c r="Y42" s="688"/>
      <c r="Z42" s="688"/>
      <c r="AA42" s="688"/>
      <c r="AB42" s="688"/>
      <c r="AC42" s="688"/>
    </row>
    <row r="43" spans="1:31" ht="15.75" thickBot="1">
      <c r="A43" s="441" t="s">
        <v>1791</v>
      </c>
      <c r="B43" s="442"/>
      <c r="C43" s="443" t="e">
        <f>R43</f>
        <v>#DIV/0!</v>
      </c>
      <c r="D43" s="443"/>
      <c r="E43" s="443"/>
      <c r="F43" s="443"/>
      <c r="G43" s="443"/>
      <c r="H43" s="443"/>
      <c r="I43" s="443"/>
      <c r="J43" s="443"/>
      <c r="K43" s="713"/>
      <c r="L43" s="2717"/>
      <c r="M43" s="2709"/>
      <c r="N43" s="2709"/>
      <c r="O43" s="2718"/>
      <c r="P43" s="3726" t="str">
        <f>A43</f>
        <v>估价对象XX用房的比较价值（楼面单价，元/平方米）</v>
      </c>
      <c r="Q43" s="3727"/>
      <c r="R43" s="3759" t="e">
        <f>ROUND(IF(D42="简单平均",AVERAGE(R42:W42),R42*F42+T42*H42+V42*J42),0)</f>
        <v>#DIV/0!</v>
      </c>
      <c r="S43" s="3759"/>
      <c r="T43" s="3759"/>
      <c r="U43" s="3759"/>
      <c r="V43" s="3759"/>
      <c r="W43" s="3759"/>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1878</v>
      </c>
      <c r="B50" s="633" t="s">
        <v>1879</v>
      </c>
      <c r="C50" s="1981" t="s">
        <v>1880</v>
      </c>
      <c r="D50" s="1982" t="s">
        <v>1881</v>
      </c>
      <c r="E50" s="634" t="s">
        <v>1882</v>
      </c>
      <c r="F50" s="635" t="s">
        <v>1883</v>
      </c>
      <c r="G50" s="3712" t="s">
        <v>1884</v>
      </c>
      <c r="H50" s="3760"/>
      <c r="I50" s="1354" t="s">
        <v>1920</v>
      </c>
      <c r="J50" s="1354">
        <f>项目基本情况!F35</f>
        <v>0</v>
      </c>
      <c r="K50" s="1984" t="s">
        <v>1886</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1887</v>
      </c>
      <c r="B51" s="637" t="e">
        <f>C43</f>
        <v>#DIV/0!</v>
      </c>
      <c r="C51" s="638">
        <v>1</v>
      </c>
      <c r="D51" s="942">
        <v>1</v>
      </c>
      <c r="E51" s="638">
        <f>'数据-汇总表'!E8+'数据-汇总表'!E9</f>
        <v>3455.7</v>
      </c>
      <c r="F51" s="639" t="e">
        <f t="shared" ref="F51:F60" si="15">ROUND(B51*E51/10000,0)</f>
        <v>#DIV/0!</v>
      </c>
      <c r="G51" s="3711"/>
      <c r="H51" s="3729"/>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1888</v>
      </c>
      <c r="B52" s="218" t="e">
        <f>ROUND($C$43*C52*D52,0)</f>
        <v>#DIV/0!</v>
      </c>
      <c r="C52" s="171">
        <f t="shared" ref="C52:C60" si="16">IF($C$50="北京市系数",I52,J52)</f>
        <v>0</v>
      </c>
      <c r="D52" s="943">
        <v>0.25</v>
      </c>
      <c r="E52" s="642"/>
      <c r="F52" s="639" t="e">
        <f t="shared" si="15"/>
        <v>#DIV/0!</v>
      </c>
      <c r="G52" s="2999" t="s">
        <v>1889</v>
      </c>
      <c r="H52" s="885">
        <f>项目基本情况!B37</f>
        <v>0</v>
      </c>
      <c r="I52" s="771">
        <f>SUMIF(修正!A57:A68,H52,修正!B57:B68)</f>
        <v>0</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1890</v>
      </c>
      <c r="B53" s="218" t="e">
        <f t="shared" ref="B53:B60" si="17">ROUND($C$43*C53*D53,0)</f>
        <v>#DIV/0!</v>
      </c>
      <c r="C53" s="171">
        <f t="shared" si="16"/>
        <v>0</v>
      </c>
      <c r="D53" s="943">
        <v>0.25</v>
      </c>
      <c r="E53" s="642"/>
      <c r="F53" s="639" t="e">
        <f t="shared" si="15"/>
        <v>#DIV/0!</v>
      </c>
      <c r="G53" s="3000"/>
      <c r="H53" s="885">
        <f>项目基本情况!B37</f>
        <v>0</v>
      </c>
      <c r="I53" s="771">
        <f>SUMIF(修正!A57:A68,H53,修正!C57:C68)</f>
        <v>0</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1891</v>
      </c>
      <c r="B54" s="218" t="e">
        <f t="shared" si="17"/>
        <v>#DIV/0!</v>
      </c>
      <c r="C54" s="171">
        <f t="shared" si="16"/>
        <v>0</v>
      </c>
      <c r="D54" s="943">
        <v>0.25</v>
      </c>
      <c r="E54" s="642"/>
      <c r="F54" s="639" t="e">
        <f t="shared" si="15"/>
        <v>#DIV/0!</v>
      </c>
      <c r="G54" s="3000"/>
      <c r="H54" s="885">
        <f>项目基本情况!B37</f>
        <v>0</v>
      </c>
      <c r="I54" s="771">
        <f>SUMIF(修正!A57:A68,H54,修正!D57:D68)</f>
        <v>0</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3"/>
      <c r="E55" s="642"/>
      <c r="F55" s="639"/>
      <c r="G55" s="3001"/>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1892</v>
      </c>
      <c r="B56" s="218" t="e">
        <f t="shared" si="17"/>
        <v>#DIV/0!</v>
      </c>
      <c r="C56" s="171">
        <f t="shared" si="16"/>
        <v>0.3</v>
      </c>
      <c r="D56" s="943">
        <v>0.25</v>
      </c>
      <c r="E56" s="217">
        <f>'数据-汇总表'!E11</f>
        <v>0</v>
      </c>
      <c r="F56" s="639" t="e">
        <f t="shared" si="15"/>
        <v>#DIV/0!</v>
      </c>
      <c r="G56" s="1985" t="s">
        <v>1893</v>
      </c>
      <c r="H56" s="885" t="str">
        <f>项目基本情况!C37</f>
        <v>一级</v>
      </c>
      <c r="I56" s="771">
        <f>SUMIF(修正!A57:A68,H56,修正!E57:E68)</f>
        <v>0.3</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1894</v>
      </c>
      <c r="B57" s="218" t="e">
        <f t="shared" si="17"/>
        <v>#DIV/0!</v>
      </c>
      <c r="C57" s="171">
        <f t="shared" si="16"/>
        <v>0.3</v>
      </c>
      <c r="D57" s="943">
        <v>0.25</v>
      </c>
      <c r="E57" s="217">
        <f>'数据-汇总表'!E12</f>
        <v>0</v>
      </c>
      <c r="F57" s="639" t="e">
        <f t="shared" si="15"/>
        <v>#DIV/0!</v>
      </c>
      <c r="G57" s="890" t="s">
        <v>1895</v>
      </c>
      <c r="H57" s="885" t="str">
        <f>IF(G57="商业",项目基本情况!B37,IF(G57="办公",项目基本情况!C37,IF(G57="住宅",项目基本情况!D37,项目基本情况!E37)))</f>
        <v>一级</v>
      </c>
      <c r="I57" s="771">
        <f>SUMIF(修正!A57:A68,H57,修正!F57:F68)</f>
        <v>0.3</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1896</v>
      </c>
      <c r="B58" s="218" t="e">
        <f t="shared" si="17"/>
        <v>#DIV/0!</v>
      </c>
      <c r="C58" s="171">
        <f t="shared" si="16"/>
        <v>0</v>
      </c>
      <c r="D58" s="943">
        <v>0.25</v>
      </c>
      <c r="E58" s="217">
        <f>'数据-汇总表'!E13</f>
        <v>0</v>
      </c>
      <c r="F58" s="639" t="e">
        <f t="shared" si="15"/>
        <v>#DIV/0!</v>
      </c>
      <c r="G58" s="890" t="s">
        <v>1897</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1898</v>
      </c>
      <c r="B59" s="218" t="e">
        <f t="shared" si="17"/>
        <v>#DIV/0!</v>
      </c>
      <c r="C59" s="171">
        <f t="shared" si="16"/>
        <v>0</v>
      </c>
      <c r="D59" s="943">
        <v>0.25</v>
      </c>
      <c r="E59" s="217">
        <f>'数据-汇总表'!E14</f>
        <v>0</v>
      </c>
      <c r="F59" s="639" t="e">
        <f t="shared" si="15"/>
        <v>#DIV/0!</v>
      </c>
      <c r="G59" s="1985" t="s">
        <v>1889</v>
      </c>
      <c r="H59" s="885">
        <f>项目基本情况!B37</f>
        <v>0</v>
      </c>
      <c r="I59" s="771">
        <f>SUMIF(修正!A57:A68,H59,修正!G57:G68)</f>
        <v>0</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1899</v>
      </c>
      <c r="B60" s="218" t="e">
        <f t="shared" si="17"/>
        <v>#DIV/0!</v>
      </c>
      <c r="C60" s="171">
        <f t="shared" si="16"/>
        <v>0.2</v>
      </c>
      <c r="D60" s="943">
        <v>0.25</v>
      </c>
      <c r="E60" s="217">
        <f>'数据-汇总表'!E15</f>
        <v>0</v>
      </c>
      <c r="F60" s="639" t="e">
        <f t="shared" si="15"/>
        <v>#DIV/0!</v>
      </c>
      <c r="G60" s="1986" t="s">
        <v>1893</v>
      </c>
      <c r="H60" s="895" t="str">
        <f>项目基本情况!C37</f>
        <v>一级</v>
      </c>
      <c r="I60" s="771">
        <f>SUMIF(修正!A57:A68,H60,修正!G57:G68)</f>
        <v>0.2</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1900</v>
      </c>
      <c r="B61" s="644" t="s">
        <v>22</v>
      </c>
      <c r="C61" s="644" t="s">
        <v>23</v>
      </c>
      <c r="D61" s="644" t="s">
        <v>392</v>
      </c>
      <c r="E61" s="644">
        <f>IF(B41="楼面地价",SUM(E51:E60),'数据-汇总表'!D3)</f>
        <v>396.01</v>
      </c>
      <c r="F61" s="645"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2023-4-1</v>
      </c>
      <c r="D63" s="690">
        <f>EDATE(C63,-3)</f>
        <v>44927</v>
      </c>
      <c r="E63" s="690">
        <f>EDATE(D63,-3)</f>
        <v>44835</v>
      </c>
      <c r="F63" s="690">
        <f t="shared" ref="F63:O63" si="18">EDATE(E63,-3)</f>
        <v>44743</v>
      </c>
      <c r="G63" s="690">
        <f t="shared" si="18"/>
        <v>44652</v>
      </c>
      <c r="H63" s="690">
        <f t="shared" si="18"/>
        <v>44562</v>
      </c>
      <c r="I63" s="690">
        <f t="shared" si="18"/>
        <v>44470</v>
      </c>
      <c r="J63" s="690">
        <f t="shared" si="18"/>
        <v>44378</v>
      </c>
      <c r="K63" s="690">
        <f t="shared" si="18"/>
        <v>44287</v>
      </c>
      <c r="L63" s="690">
        <f t="shared" si="18"/>
        <v>44197</v>
      </c>
      <c r="M63" s="690">
        <f t="shared" si="18"/>
        <v>44105</v>
      </c>
      <c r="N63" s="690">
        <f t="shared" si="18"/>
        <v>44013</v>
      </c>
      <c r="O63" s="690">
        <f t="shared" si="18"/>
        <v>43922</v>
      </c>
      <c r="P63" s="2718"/>
      <c r="Q63" s="2718"/>
      <c r="R63" s="2718"/>
      <c r="S63" s="2718"/>
      <c r="T63" s="2718"/>
      <c r="U63" s="2718"/>
      <c r="V63" s="2718"/>
      <c r="W63" s="2718"/>
      <c r="X63" s="2718"/>
      <c r="Y63" s="2718"/>
      <c r="Z63" s="2718"/>
      <c r="AA63" s="2718"/>
      <c r="AB63" s="2718"/>
      <c r="AC63" s="2718"/>
      <c r="AD63" s="2718"/>
      <c r="AE63" s="2718"/>
    </row>
    <row r="64" spans="1:31" ht="21.75" thickBot="1">
      <c r="A64" s="692" t="s">
        <v>1795</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7" customFormat="1" ht="15">
      <c r="A65" s="1987" t="s">
        <v>1901</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2" t="s">
        <v>1921</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2"/>
      <c r="Q66" s="2655"/>
      <c r="R66" s="2655"/>
      <c r="S66" s="2655"/>
      <c r="T66" s="2655"/>
      <c r="U66" s="2655"/>
      <c r="V66" s="2655"/>
      <c r="W66" s="2655"/>
      <c r="X66" s="2655"/>
      <c r="Y66" s="2655"/>
      <c r="Z66" s="2655"/>
      <c r="AA66" s="2655"/>
      <c r="AB66" s="2655"/>
      <c r="AC66" s="2655"/>
      <c r="AD66" s="2655"/>
      <c r="AE66" s="2655"/>
    </row>
    <row r="67" spans="1:31" s="108" customFormat="1" ht="15.75" thickBot="1">
      <c r="A67" s="464" t="s">
        <v>1713</v>
      </c>
      <c r="B67" s="465"/>
      <c r="C67" s="466"/>
      <c r="D67" s="467"/>
      <c r="E67" s="467"/>
      <c r="F67" s="467"/>
      <c r="G67" s="467"/>
      <c r="H67" s="467"/>
      <c r="I67" s="467"/>
      <c r="J67" s="467"/>
      <c r="K67" s="467"/>
      <c r="L67" s="467"/>
      <c r="M67" s="468"/>
      <c r="N67" s="468"/>
      <c r="O67" s="469"/>
      <c r="P67" s="2732"/>
      <c r="Q67" s="2732"/>
      <c r="R67" s="2655"/>
      <c r="S67" s="2655"/>
      <c r="T67" s="2655"/>
      <c r="U67" s="2655"/>
      <c r="V67" s="2655"/>
      <c r="W67" s="2655"/>
      <c r="X67" s="2655"/>
      <c r="Y67" s="2655"/>
      <c r="Z67" s="2655"/>
      <c r="AA67" s="2655"/>
      <c r="AB67" s="2655"/>
      <c r="AC67" s="2655"/>
      <c r="AD67" s="2655"/>
      <c r="AE67" s="2655"/>
    </row>
    <row r="68" spans="1:31" s="108" customFormat="1" ht="15">
      <c r="A68" s="470" t="s">
        <v>1678</v>
      </c>
      <c r="B68" s="459"/>
      <c r="C68" s="471" t="s">
        <v>1773</v>
      </c>
      <c r="D68" s="472"/>
      <c r="E68" s="472"/>
      <c r="F68" s="472"/>
      <c r="G68" s="472"/>
      <c r="H68" s="472"/>
      <c r="I68" s="472"/>
      <c r="J68" s="472"/>
      <c r="K68" s="472"/>
      <c r="L68" s="473"/>
      <c r="M68" s="474"/>
      <c r="N68" s="2745"/>
      <c r="O68" s="2745"/>
      <c r="P68" s="2770"/>
      <c r="Q68" s="2732"/>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5"/>
      <c r="S69" s="2655"/>
      <c r="T69" s="2655"/>
      <c r="U69" s="2655"/>
      <c r="V69" s="2655"/>
      <c r="W69" s="2655"/>
      <c r="X69" s="2655"/>
      <c r="Y69" s="2655"/>
      <c r="Z69" s="2655"/>
      <c r="AA69" s="2655"/>
      <c r="AB69" s="2655"/>
      <c r="AC69" s="2655"/>
      <c r="AD69" s="2655"/>
      <c r="AE69" s="2655"/>
    </row>
    <row r="70" spans="1:31">
      <c r="A70" s="476" t="s">
        <v>1716</v>
      </c>
      <c r="B70" s="477" t="s">
        <v>1682</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1685</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1686</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1687</v>
      </c>
      <c r="B83" s="477" t="s">
        <v>1826</v>
      </c>
      <c r="C83" s="522" t="s">
        <v>1718</v>
      </c>
      <c r="D83" s="522" t="s">
        <v>1719</v>
      </c>
      <c r="E83" s="522" t="s">
        <v>1720</v>
      </c>
      <c r="F83" s="522" t="s">
        <v>1721</v>
      </c>
      <c r="G83" s="522" t="s">
        <v>1722</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1723</v>
      </c>
      <c r="C85" s="527" t="s">
        <v>1718</v>
      </c>
      <c r="D85" s="527" t="s">
        <v>1719</v>
      </c>
      <c r="E85" s="527" t="s">
        <v>1720</v>
      </c>
      <c r="F85" s="527" t="s">
        <v>1721</v>
      </c>
      <c r="G85" s="527" t="s">
        <v>1722</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1904</v>
      </c>
      <c r="C87" s="522" t="s">
        <v>1718</v>
      </c>
      <c r="D87" s="522" t="s">
        <v>1719</v>
      </c>
      <c r="E87" s="522" t="s">
        <v>1720</v>
      </c>
      <c r="F87" s="522" t="s">
        <v>1721</v>
      </c>
      <c r="G87" s="522" t="s">
        <v>1722</v>
      </c>
      <c r="H87" s="527"/>
      <c r="I87" s="527"/>
      <c r="J87" s="527"/>
      <c r="K87" s="527"/>
      <c r="L87" s="646"/>
      <c r="M87" s="570"/>
      <c r="N87" s="2745"/>
      <c r="O87" s="2745"/>
      <c r="P87" s="2771"/>
      <c r="Q87" s="2732"/>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5"/>
      <c r="S88" s="2655"/>
      <c r="T88" s="2655"/>
      <c r="U88" s="2655"/>
      <c r="V88" s="2655"/>
      <c r="W88" s="2655"/>
      <c r="X88" s="2655"/>
      <c r="Y88" s="2655"/>
      <c r="Z88" s="2655"/>
      <c r="AA88" s="2655"/>
      <c r="AB88" s="2655"/>
      <c r="AC88" s="2655"/>
      <c r="AD88" s="2655"/>
      <c r="AE88" s="2655"/>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70"/>
      <c r="N89" s="2745"/>
      <c r="O89" s="2745"/>
      <c r="P89" s="2771"/>
      <c r="Q89" s="2732"/>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5"/>
      <c r="S90" s="2655"/>
      <c r="T90" s="2655"/>
      <c r="U90" s="2655"/>
      <c r="V90" s="2655"/>
      <c r="W90" s="2655"/>
      <c r="X90" s="2655"/>
      <c r="Y90" s="2655"/>
      <c r="Z90" s="2655"/>
      <c r="AA90" s="2655"/>
      <c r="AB90" s="2655"/>
      <c r="AC90" s="2655"/>
      <c r="AD90" s="2655"/>
      <c r="AE90" s="2655"/>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1922</v>
      </c>
      <c r="C93" s="608" t="s">
        <v>1796</v>
      </c>
      <c r="D93" s="608" t="s">
        <v>1797</v>
      </c>
      <c r="E93" s="608" t="s">
        <v>1798</v>
      </c>
      <c r="F93" s="608" t="s">
        <v>1799</v>
      </c>
      <c r="G93" s="608" t="s">
        <v>1800</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1812</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1870</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1691</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1911</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1913</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1914</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5"/>
      <c r="C1" s="2145"/>
      <c r="D1" s="2145"/>
      <c r="E1" s="2145"/>
      <c r="F1" s="2786"/>
      <c r="G1" s="2786"/>
      <c r="H1" s="2786"/>
      <c r="I1" s="2786"/>
      <c r="J1" s="2786"/>
      <c r="K1" s="2786"/>
      <c r="L1" s="2786"/>
      <c r="M1" s="2786"/>
      <c r="N1" s="2786"/>
      <c r="O1" s="2786"/>
      <c r="P1" s="2786"/>
    </row>
    <row r="2" spans="1:16" ht="15.75">
      <c r="A2" s="2143" t="s">
        <v>2070</v>
      </c>
      <c r="B2" s="2596" t="e">
        <f ca="1">SUMIF(B6:B13,"&lt;&gt;#ref!",B6:B13)</f>
        <v>#DIV/0!</v>
      </c>
      <c r="C2" s="2143" t="s">
        <v>2071</v>
      </c>
      <c r="D2" s="2143" t="s">
        <v>2072</v>
      </c>
      <c r="E2" s="2606">
        <f ca="1">SUMIF(E6:E13,"&lt;&gt;#ref!",E6:E13)</f>
        <v>0</v>
      </c>
      <c r="F2" s="2786"/>
      <c r="G2" s="2786"/>
      <c r="H2" s="2786"/>
      <c r="I2" s="2786"/>
      <c r="J2" s="2786"/>
      <c r="K2" s="2786"/>
      <c r="L2" s="2786"/>
      <c r="M2" s="2786"/>
      <c r="N2" s="2786"/>
      <c r="O2" s="2786"/>
      <c r="P2" s="2786"/>
    </row>
    <row r="3" spans="1:16" ht="15.75">
      <c r="A3" s="2143" t="s">
        <v>2073</v>
      </c>
      <c r="B3" s="2596" t="e">
        <f ca="1">ROUND(B2*10000/E2,0)</f>
        <v>#DIV/0!</v>
      </c>
      <c r="C3" s="2143" t="s">
        <v>2079</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2" t="s">
        <v>2074</v>
      </c>
      <c r="B5" s="2604" t="s">
        <v>2075</v>
      </c>
      <c r="C5" s="2144"/>
      <c r="D5" s="2786"/>
      <c r="E5" s="2605" t="s">
        <v>2076</v>
      </c>
      <c r="F5" s="2786"/>
      <c r="G5" s="2786"/>
      <c r="H5" s="2786"/>
      <c r="I5" s="2786"/>
      <c r="J5" s="2786"/>
      <c r="K5" s="2786"/>
      <c r="L5" s="2786"/>
      <c r="M5" s="2786"/>
      <c r="N5" s="2786"/>
      <c r="O5" s="2786"/>
      <c r="P5" s="2786"/>
    </row>
    <row r="6" spans="1:16" ht="15.75">
      <c r="A6" s="2603" t="s">
        <v>2077</v>
      </c>
      <c r="B6" s="2596" t="e">
        <f ca="1">SUMIF(INDIRECT("'"&amp;A6&amp;"'"&amp;"!A:A"),"总价",INDIRECT("'"&amp;A6&amp;"'"&amp;"!B:B"))</f>
        <v>#DIV/0!</v>
      </c>
      <c r="C6" s="2143" t="s">
        <v>2071</v>
      </c>
      <c r="D6" s="2786"/>
      <c r="E6" s="2606">
        <f ca="1">SUMIF(INDIRECT("'"&amp;A6&amp;"'"&amp;"!C:C"),"建筑面积",INDIRECT("'"&amp;A6&amp;"'"&amp;"!D:D"))</f>
        <v>0</v>
      </c>
      <c r="F6" s="2786"/>
      <c r="G6" s="2786"/>
      <c r="H6" s="2786"/>
      <c r="I6" s="2786"/>
      <c r="J6" s="2786"/>
      <c r="K6" s="2786"/>
      <c r="L6" s="2786"/>
      <c r="M6" s="2786"/>
      <c r="N6" s="2786"/>
      <c r="O6" s="2786"/>
      <c r="P6" s="2786"/>
    </row>
    <row r="7" spans="1:16" ht="15.75">
      <c r="A7" s="2603"/>
      <c r="B7" s="2596" t="e">
        <f ca="1">SUMIF(INDIRECT("'"&amp;A7&amp;"'"&amp;"!A:A"),"总价",INDIRECT("'"&amp;A7&amp;"'"&amp;"!B:B"))</f>
        <v>#REF!</v>
      </c>
      <c r="C7" s="2143" t="s">
        <v>2071</v>
      </c>
      <c r="D7" s="2786"/>
      <c r="E7" s="2606" t="e">
        <f t="shared" ref="E7:E13" ca="1" si="0">SUMIF(INDIRECT("'"&amp;A7&amp;"'"&amp;"!C:C"),"建筑面积",INDIRECT("'"&amp;A7&amp;"'"&amp;"!D:D"))</f>
        <v>#REF!</v>
      </c>
      <c r="F7" s="2786"/>
      <c r="G7" s="2786"/>
      <c r="H7" s="2786"/>
      <c r="I7" s="2786"/>
      <c r="J7" s="2786"/>
      <c r="K7" s="2786"/>
      <c r="L7" s="2786"/>
      <c r="M7" s="2786"/>
      <c r="N7" s="2786"/>
      <c r="O7" s="2786"/>
      <c r="P7" s="2786"/>
    </row>
    <row r="8" spans="1:16" ht="15.75">
      <c r="A8" s="2603"/>
      <c r="B8" s="2596" t="e">
        <f t="shared" ref="B8:B13" ca="1" si="1">SUMIF(INDIRECT("'"&amp;A8&amp;"'"&amp;"!A:A"),"总价",INDIRECT("'"&amp;A8&amp;"'"&amp;"!B:B"))</f>
        <v>#REF!</v>
      </c>
      <c r="C8" s="2143" t="s">
        <v>2071</v>
      </c>
      <c r="D8" s="2786"/>
      <c r="E8" s="2606" t="e">
        <f t="shared" ca="1" si="0"/>
        <v>#REF!</v>
      </c>
      <c r="F8" s="2786"/>
      <c r="G8" s="2786"/>
      <c r="H8" s="2786"/>
      <c r="I8" s="2786"/>
      <c r="J8" s="2786"/>
      <c r="K8" s="2786"/>
      <c r="L8" s="2786"/>
      <c r="M8" s="2786"/>
      <c r="N8" s="2786"/>
      <c r="O8" s="2786"/>
      <c r="P8" s="2786"/>
    </row>
    <row r="9" spans="1:16" ht="15.75">
      <c r="A9" s="2603"/>
      <c r="B9" s="2596" t="e">
        <f t="shared" ca="1" si="1"/>
        <v>#REF!</v>
      </c>
      <c r="C9" s="2143" t="s">
        <v>2071</v>
      </c>
      <c r="D9" s="2786"/>
      <c r="E9" s="2606" t="e">
        <f t="shared" ca="1" si="0"/>
        <v>#REF!</v>
      </c>
      <c r="F9" s="2786"/>
      <c r="G9" s="2786"/>
      <c r="H9" s="2786"/>
      <c r="I9" s="2786"/>
      <c r="J9" s="2786"/>
      <c r="K9" s="2786"/>
      <c r="L9" s="2786"/>
      <c r="M9" s="2786"/>
      <c r="N9" s="2786"/>
      <c r="O9" s="2786"/>
      <c r="P9" s="2786"/>
    </row>
    <row r="10" spans="1:16" ht="15.75">
      <c r="A10" s="2603"/>
      <c r="B10" s="2596" t="e">
        <f t="shared" ca="1" si="1"/>
        <v>#REF!</v>
      </c>
      <c r="C10" s="2143" t="s">
        <v>2071</v>
      </c>
      <c r="D10" s="2786"/>
      <c r="E10" s="2606" t="e">
        <f t="shared" ca="1" si="0"/>
        <v>#REF!</v>
      </c>
      <c r="F10" s="2786"/>
      <c r="G10" s="2786"/>
      <c r="H10" s="2786"/>
      <c r="I10" s="2786"/>
      <c r="J10" s="2786"/>
      <c r="K10" s="2786"/>
      <c r="L10" s="2786"/>
      <c r="M10" s="2786"/>
      <c r="N10" s="2786"/>
      <c r="O10" s="2786"/>
      <c r="P10" s="2786"/>
    </row>
    <row r="11" spans="1:16" ht="15.75">
      <c r="A11" s="2603"/>
      <c r="B11" s="2596" t="e">
        <f t="shared" ca="1" si="1"/>
        <v>#REF!</v>
      </c>
      <c r="C11" s="2143" t="s">
        <v>2071</v>
      </c>
      <c r="D11" s="2786"/>
      <c r="E11" s="2606" t="e">
        <f t="shared" ca="1" si="0"/>
        <v>#REF!</v>
      </c>
      <c r="F11" s="2786"/>
      <c r="G11" s="2786"/>
      <c r="H11" s="2786"/>
      <c r="I11" s="2786"/>
      <c r="J11" s="2786"/>
      <c r="K11" s="2786"/>
      <c r="L11" s="2786"/>
      <c r="M11" s="2786"/>
      <c r="N11" s="2786"/>
      <c r="O11" s="2786"/>
      <c r="P11" s="2786"/>
    </row>
    <row r="12" spans="1:16" ht="15.75">
      <c r="A12" s="2603"/>
      <c r="B12" s="2596" t="e">
        <f t="shared" ca="1" si="1"/>
        <v>#REF!</v>
      </c>
      <c r="C12" s="2143" t="s">
        <v>2071</v>
      </c>
      <c r="D12" s="2786"/>
      <c r="E12" s="2606" t="e">
        <f t="shared" ca="1" si="0"/>
        <v>#REF!</v>
      </c>
      <c r="F12" s="2786"/>
      <c r="G12" s="2786"/>
      <c r="H12" s="2786"/>
      <c r="I12" s="2786"/>
      <c r="J12" s="2786"/>
      <c r="K12" s="2786"/>
      <c r="L12" s="2786"/>
      <c r="M12" s="2786"/>
      <c r="N12" s="2786"/>
      <c r="O12" s="2786"/>
      <c r="P12" s="2786"/>
    </row>
    <row r="13" spans="1:16" ht="15.75">
      <c r="A13" s="2603"/>
      <c r="B13" s="2596" t="e">
        <f t="shared" ca="1" si="1"/>
        <v>#REF!</v>
      </c>
      <c r="C13" s="2143" t="s">
        <v>2071</v>
      </c>
      <c r="D13" s="2786"/>
      <c r="E13" s="2606"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1923</v>
      </c>
      <c r="B1" s="197"/>
      <c r="C1" s="201" t="s">
        <v>1924</v>
      </c>
      <c r="D1" s="342">
        <f>SUM(D33:D34,D37:D42)</f>
        <v>0</v>
      </c>
      <c r="E1" s="1993"/>
      <c r="F1" s="1993"/>
      <c r="G1" s="1993"/>
      <c r="H1" s="1993"/>
      <c r="I1" s="1993"/>
      <c r="J1" s="1993"/>
      <c r="K1" s="1117"/>
      <c r="L1" s="1994" t="s">
        <v>1925</v>
      </c>
      <c r="M1" s="861">
        <f>SUMPRODUCT((区片价!B5:B9=I2)*(区片价!C3:G3=E2)*(区片价!C5:G9))</f>
        <v>0</v>
      </c>
      <c r="N1" s="864">
        <f>SUMPRODUCT((因素修正幅度!B5:B9=I2)*(因素修正幅度!C3:G3=E2)*(因素修正幅度!C5:G9))</f>
        <v>0</v>
      </c>
      <c r="O1" s="1995"/>
      <c r="P1" s="1995"/>
      <c r="Q1" s="1117"/>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t="e">
        <f>C30</f>
        <v>#DIV/0!</v>
      </c>
      <c r="C2" s="1997" t="s">
        <v>1932</v>
      </c>
      <c r="D2" s="1998" t="s">
        <v>1933</v>
      </c>
      <c r="E2" s="3417"/>
      <c r="F2" s="1998" t="s">
        <v>1934</v>
      </c>
      <c r="G2" s="1999">
        <f>IF(E2="商业",项目基本情况!B37,IF(E2="办公",项目基本情况!C37,IF(E2="住宅",项目基本情况!D37,IF(E2="工业",项目基本情况!E37,项目基本情况!F37))))</f>
        <v>0</v>
      </c>
      <c r="H2" s="1998" t="s">
        <v>1935</v>
      </c>
      <c r="I2" s="1999">
        <f>IF(E2="商业",项目基本情况!B38,IF(E2="办公",项目基本情况!C38,IF(E2="住宅",项目基本情况!D38,IF(E2="工业",项目基本情况!E38,项目基本情况!F38))))</f>
        <v>0</v>
      </c>
      <c r="J2" s="2000"/>
      <c r="K2" s="1117"/>
      <c r="L2" s="2001" t="s">
        <v>1936</v>
      </c>
      <c r="M2" s="862">
        <f>SUMPRODUCT((区片价!B10:B29=I2)*(区片价!C3:G3=E2)*(区片价!C10:G29))</f>
        <v>0</v>
      </c>
      <c r="N2" s="864">
        <f>SUMPRODUCT((因素修正幅度!B10:B29=I2)*(因素修正幅度!C3:G3=E2)*(因素修正幅度!C10:G29))</f>
        <v>0</v>
      </c>
      <c r="O2" s="1117"/>
      <c r="P2" s="1117"/>
      <c r="Q2" s="1117"/>
      <c r="R2" s="1210">
        <v>1</v>
      </c>
      <c r="S2" s="3356">
        <f>ROUND(SUMPRODUCT((B106:B110=R2)*(C105:N105=G2)*(C106:N110)),4)</f>
        <v>0</v>
      </c>
      <c r="T2" s="3356" t="e">
        <f t="shared" ref="T2:T16" si="0">ROUND($C$5*$C$22*$C$23*$C$24*S2*$C$28,0)</f>
        <v>#DIV/0!</v>
      </c>
      <c r="U2" s="1211"/>
      <c r="V2" s="3356" t="e">
        <f>ROUND(T2*U2/10000,0)</f>
        <v>#DIV/0!</v>
      </c>
      <c r="W2" s="1214"/>
      <c r="X2" s="1214"/>
      <c r="Y2" s="1214"/>
      <c r="Z2" s="1214"/>
      <c r="AA2" s="1214"/>
      <c r="AB2" s="1214"/>
      <c r="AC2" s="1215"/>
      <c r="AD2" s="1216"/>
      <c r="AE2" s="1216"/>
      <c r="AF2" s="1216"/>
      <c r="AG2" s="1216"/>
      <c r="AH2" s="1216"/>
      <c r="AI2" s="1216"/>
      <c r="AJ2" s="1217"/>
    </row>
    <row r="3" spans="1:36" ht="15.75">
      <c r="A3" s="203" t="s">
        <v>1937</v>
      </c>
      <c r="B3" s="204" t="e">
        <f>ROUND(B2*10000/D1,0)</f>
        <v>#DIV/0!</v>
      </c>
      <c r="C3" s="1997" t="s">
        <v>1938</v>
      </c>
      <c r="D3" s="1998" t="s">
        <v>1939</v>
      </c>
      <c r="E3" s="3415"/>
      <c r="F3" s="2002"/>
      <c r="G3" s="750">
        <f>IF(F3="宗地容积率",'数据-汇总表'!I4,IF(F3="估价对象容积率",'数据-汇总表'!I6,'数据-汇总表'!I7))</f>
        <v>0</v>
      </c>
      <c r="H3" s="170" t="s">
        <v>1940</v>
      </c>
      <c r="I3" s="773"/>
      <c r="J3" s="2000" t="s">
        <v>1941</v>
      </c>
      <c r="K3" s="1117"/>
      <c r="L3" s="2001" t="s">
        <v>1942</v>
      </c>
      <c r="M3" s="862">
        <f>SUMPRODUCT((区片价!B30:B54=I2)*(区片价!C3:G3=E2)*(区片价!C30:G54))</f>
        <v>0</v>
      </c>
      <c r="N3" s="864">
        <f>SUMPRODUCT((因素修正幅度!B30:B54=I2)*(因素修正幅度!C3:G3=E2)*(因素修正幅度!C30:G54))</f>
        <v>0</v>
      </c>
      <c r="O3" s="1117"/>
      <c r="P3" s="1117"/>
      <c r="Q3" s="1117"/>
      <c r="R3" s="1210">
        <v>2</v>
      </c>
      <c r="S3" s="3356">
        <f>ROUND(SUMPRODUCT((B106:B110=R3)*(C105:N105=G2)*(C106:N110)),4)</f>
        <v>0</v>
      </c>
      <c r="T3" s="3356" t="e">
        <f t="shared" si="0"/>
        <v>#DIV/0!</v>
      </c>
      <c r="U3" s="1211"/>
      <c r="V3" s="3356" t="e">
        <f t="shared" ref="V3:V16" si="1">ROUND(T3*U3/10000,0)</f>
        <v>#DIV/0!</v>
      </c>
      <c r="W3" s="1214"/>
      <c r="X3" s="1214"/>
      <c r="Y3" s="1214"/>
      <c r="Z3" s="1214"/>
      <c r="AA3" s="1214"/>
      <c r="AB3" s="1214"/>
      <c r="AC3" s="1215"/>
      <c r="AD3" s="1216"/>
      <c r="AE3" s="1216"/>
      <c r="AF3" s="1216"/>
      <c r="AG3" s="1216"/>
      <c r="AH3" s="1216"/>
      <c r="AI3" s="1216"/>
      <c r="AJ3" s="1217"/>
    </row>
    <row r="4" spans="1:36" ht="15.75">
      <c r="A4" s="3772"/>
      <c r="B4" s="3773"/>
      <c r="C4" s="3773"/>
      <c r="D4" s="3774"/>
      <c r="E4" s="3774"/>
      <c r="F4" s="3774"/>
      <c r="G4" s="3774"/>
      <c r="H4" s="3774"/>
      <c r="I4" s="3774"/>
      <c r="J4" s="3775"/>
      <c r="K4" s="1117"/>
      <c r="L4" s="2001" t="s">
        <v>1943</v>
      </c>
      <c r="M4" s="862">
        <f>SUMPRODUCT((区片价!B55:B86=I2)*(区片价!C3:G3=E2)*(区片价!C55:G86))</f>
        <v>0</v>
      </c>
      <c r="N4" s="864">
        <f>SUMPRODUCT((因素修正幅度!B55:B86=I2)*(因素修正幅度!C3:G3=E2)*(因素修正幅度!C55:G86))</f>
        <v>0</v>
      </c>
      <c r="O4" s="1117"/>
      <c r="P4" s="1117"/>
      <c r="Q4" s="1117"/>
      <c r="R4" s="1210">
        <v>3</v>
      </c>
      <c r="S4" s="3356">
        <f>ROUND(SUMPRODUCT((B106:B110=R4)*(C105:N105=G2)*(C106:N110)),4)</f>
        <v>0</v>
      </c>
      <c r="T4" s="3356" t="e">
        <f t="shared" si="0"/>
        <v>#DIV/0!</v>
      </c>
      <c r="U4" s="1211"/>
      <c r="V4" s="3356"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1944</v>
      </c>
      <c r="C5" s="751" t="e">
        <f>ROUND(IF(E2="商业",C6*C7*C17+C20,(IF(E2="住宅",C6*C13*C17+C20,IF(E2="办公",C6*C12*C17+C20,C6+C20)))),0)</f>
        <v>#DIV/0!</v>
      </c>
      <c r="D5" s="1337" t="e">
        <f>ROUND(C6*C17+C20,0)</f>
        <v>#DIV/0!</v>
      </c>
      <c r="E5" s="1337"/>
      <c r="F5" s="2005"/>
      <c r="G5" s="2006"/>
      <c r="H5" s="2006"/>
      <c r="I5" s="2006"/>
      <c r="J5" s="2007"/>
      <c r="K5" s="2008"/>
      <c r="L5" s="2001" t="s">
        <v>1945</v>
      </c>
      <c r="M5" s="862">
        <f>SUMPRODUCT((区片价!B87:B126=I2)*(区片价!C3:G3=E2)*(区片价!C87:G126))</f>
        <v>0</v>
      </c>
      <c r="N5" s="864">
        <f>SUMPRODUCT((因素修正幅度!B87:B126=I2)*(因素修正幅度!C3:G3=E2)*(因素修正幅度!C87:G126))</f>
        <v>0</v>
      </c>
      <c r="O5" s="1117"/>
      <c r="P5" s="1117"/>
      <c r="Q5" s="1117"/>
      <c r="R5" s="1210">
        <v>4</v>
      </c>
      <c r="S5" s="3356">
        <f>ROUND(SUMPRODUCT((B106:B110=R5)*(C105:N105=G2)*(C106:N110)),4)</f>
        <v>0</v>
      </c>
      <c r="T5" s="3356" t="e">
        <f t="shared" si="0"/>
        <v>#DIV/0!</v>
      </c>
      <c r="U5" s="1211"/>
      <c r="V5" s="3356" t="e">
        <f t="shared" si="1"/>
        <v>#DIV/0!</v>
      </c>
      <c r="W5" s="1214"/>
      <c r="X5" s="1214"/>
      <c r="Y5" s="1214"/>
      <c r="Z5" s="1214"/>
      <c r="AA5" s="1214"/>
      <c r="AB5" s="1214"/>
      <c r="AC5" s="2009"/>
      <c r="AD5" s="2010"/>
      <c r="AE5" s="2010"/>
      <c r="AF5" s="2010"/>
      <c r="AG5" s="2010"/>
      <c r="AH5" s="2010"/>
      <c r="AI5" s="2010"/>
      <c r="AJ5" s="2011"/>
    </row>
    <row r="6" spans="1:36" ht="15.75" thickBot="1">
      <c r="A6" s="2013" t="s">
        <v>1946</v>
      </c>
      <c r="B6" s="2014" t="s">
        <v>1947</v>
      </c>
      <c r="C6" s="752">
        <f>SUMIF(L1:L12,G2,M1:M12)</f>
        <v>0</v>
      </c>
      <c r="D6" s="2015"/>
      <c r="E6" s="2016"/>
      <c r="F6" s="2016"/>
      <c r="G6" s="2017"/>
      <c r="H6" s="2017"/>
      <c r="I6" s="2017"/>
      <c r="J6" s="2018"/>
      <c r="K6" s="1382"/>
      <c r="L6" s="2001" t="s">
        <v>1948</v>
      </c>
      <c r="M6" s="862">
        <f>SUMPRODUCT((区片价!B127:B189=I2)*(区片价!C3:G3=E2)*(区片价!C127:G189))</f>
        <v>0</v>
      </c>
      <c r="N6" s="864">
        <f>SUMPRODUCT((因素修正幅度!B127:B189=I2)*(因素修正幅度!C3:G3=E2)*(因素修正幅度!C127:G189))</f>
        <v>0</v>
      </c>
      <c r="O6" s="1117"/>
      <c r="P6" s="1117"/>
      <c r="Q6" s="1117"/>
      <c r="R6" s="1210">
        <v>5</v>
      </c>
      <c r="S6" s="3356">
        <f>ROUND(SUMPRODUCT((B106:B110=R6)*(C105:N105=G2)*(C106:N110)),4)</f>
        <v>0</v>
      </c>
      <c r="T6" s="3356" t="e">
        <f t="shared" si="0"/>
        <v>#DIV/0!</v>
      </c>
      <c r="U6" s="1211"/>
      <c r="V6" s="3356" t="e">
        <f t="shared" si="1"/>
        <v>#DIV/0!</v>
      </c>
      <c r="W6" s="1214"/>
      <c r="X6" s="1214"/>
      <c r="Y6" s="1214"/>
      <c r="Z6" s="1214"/>
      <c r="AA6" s="1214"/>
      <c r="AB6" s="1214"/>
      <c r="AC6" s="2009"/>
      <c r="AD6" s="2010"/>
      <c r="AE6" s="2010"/>
      <c r="AF6" s="2010"/>
      <c r="AG6" s="2010"/>
      <c r="AH6" s="2010"/>
      <c r="AI6" s="2010"/>
      <c r="AJ6" s="2011"/>
    </row>
    <row r="7" spans="1:36" ht="24.75" thickBot="1">
      <c r="A7" s="3298" t="s">
        <v>3237</v>
      </c>
      <c r="B7" s="2019" t="s">
        <v>1949</v>
      </c>
      <c r="C7" s="753" t="e">
        <f>IF(C8="不临65条商业街",1,ROUND(1+(1.6*E8+1.2*E9+0.8*E10+0.4*E11)*C9,4))</f>
        <v>#DIV/0!</v>
      </c>
      <c r="D7" s="2020" t="s">
        <v>1950</v>
      </c>
      <c r="E7" s="774"/>
      <c r="F7" s="2021"/>
      <c r="G7" s="2022"/>
      <c r="H7" s="2022"/>
      <c r="I7" s="2022"/>
      <c r="J7" s="2023"/>
      <c r="K7" s="1382"/>
      <c r="L7" s="2001" t="s">
        <v>1951</v>
      </c>
      <c r="M7" s="862">
        <f>SUMPRODUCT((区片价!B190:B233=I2)*(区片价!C3:G3=E2)*(区片价!C190:G233))</f>
        <v>0</v>
      </c>
      <c r="N7" s="864">
        <f>SUMPRODUCT((因素修正幅度!B190:B233=I2)*(因素修正幅度!C3:G3=E2)*(因素修正幅度!C190:G233))</f>
        <v>0</v>
      </c>
      <c r="O7" s="1117"/>
      <c r="P7" s="1117"/>
      <c r="Q7" s="1117"/>
      <c r="R7" s="1210">
        <v>6</v>
      </c>
      <c r="S7" s="3414"/>
      <c r="T7" s="3356" t="e">
        <f t="shared" si="0"/>
        <v>#DIV/0!</v>
      </c>
      <c r="U7" s="1211"/>
      <c r="V7" s="3356" t="e">
        <f t="shared" si="1"/>
        <v>#DIV/0!</v>
      </c>
      <c r="W7" s="1356" t="s">
        <v>1952</v>
      </c>
      <c r="X7" s="1212">
        <f>G2</f>
        <v>0</v>
      </c>
      <c r="Y7" s="1212" t="s">
        <v>1953</v>
      </c>
      <c r="Z7" s="1213">
        <f>G3</f>
        <v>0</v>
      </c>
      <c r="AA7" s="1214"/>
      <c r="AB7" s="1214"/>
      <c r="AC7" s="1215"/>
      <c r="AD7" s="1216"/>
      <c r="AE7" s="1216"/>
      <c r="AF7" s="1216"/>
      <c r="AG7" s="1216"/>
      <c r="AH7" s="1216"/>
      <c r="AI7" s="1216"/>
      <c r="AJ7" s="1217"/>
    </row>
    <row r="8" spans="1:36" ht="15">
      <c r="A8" s="3293"/>
      <c r="B8" s="170" t="s">
        <v>1954</v>
      </c>
      <c r="C8" s="2024"/>
      <c r="D8" s="754" t="s">
        <v>112</v>
      </c>
      <c r="E8" s="755" t="e">
        <f>ROUND(C11/E7,4)</f>
        <v>#DIV/0!</v>
      </c>
      <c r="F8" s="2025" t="s">
        <v>1955</v>
      </c>
      <c r="G8" s="2026"/>
      <c r="H8" s="2026"/>
      <c r="I8" s="2026"/>
      <c r="J8" s="2027"/>
      <c r="K8" s="1117"/>
      <c r="L8" s="2001" t="s">
        <v>1956</v>
      </c>
      <c r="M8" s="862">
        <f>SUMPRODUCT((区片价!B234:B276=I2)*(区片价!C3:G3=E2)*(区片价!C234:G276))</f>
        <v>0</v>
      </c>
      <c r="N8" s="864">
        <f>SUMPRODUCT((因素修正幅度!B234:B276=I2)*(因素修正幅度!C3:G3=E2)*(因素修正幅度!C234:G276))</f>
        <v>0</v>
      </c>
      <c r="O8" s="1117"/>
      <c r="P8" s="1117"/>
      <c r="Q8" s="1117"/>
      <c r="R8" s="1210">
        <v>7</v>
      </c>
      <c r="S8" s="1211"/>
      <c r="T8" s="3356" t="e">
        <f t="shared" si="0"/>
        <v>#DIV/0!</v>
      </c>
      <c r="U8" s="1211"/>
      <c r="V8" s="3356" t="e">
        <f t="shared" si="1"/>
        <v>#DIV/0!</v>
      </c>
      <c r="W8" s="3769" t="s">
        <v>1957</v>
      </c>
      <c r="X8" s="3770"/>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93"/>
      <c r="B9" s="170" t="s">
        <v>1970</v>
      </c>
      <c r="C9" s="756">
        <f>SUMIF(修正!C71:C138,C8,修正!E71:E138)</f>
        <v>0</v>
      </c>
      <c r="D9" s="171" t="s">
        <v>113</v>
      </c>
      <c r="E9" s="171" t="e">
        <f>ROUND(C11/E7,4)</f>
        <v>#DIV/0!</v>
      </c>
      <c r="F9" s="2025" t="s">
        <v>1971</v>
      </c>
      <c r="G9" s="2026"/>
      <c r="H9" s="2026"/>
      <c r="I9" s="2026"/>
      <c r="J9" s="2027"/>
      <c r="K9" s="1117"/>
      <c r="L9" s="2001" t="s">
        <v>1972</v>
      </c>
      <c r="M9" s="862">
        <f>SUMPRODUCT((区片价!B277:B326=I2)*(区片价!C3:G3=E2)*(区片价!C277:G326))</f>
        <v>0</v>
      </c>
      <c r="N9" s="864">
        <f>SUMPRODUCT((因素修正幅度!B277:B326=I2)*(因素修正幅度!C3:G3=E2)*(因素修正幅度!C277:G326))</f>
        <v>0</v>
      </c>
      <c r="O9" s="1117"/>
      <c r="P9" s="1117"/>
      <c r="Q9" s="1117"/>
      <c r="R9" s="1210">
        <v>8</v>
      </c>
      <c r="S9" s="1211"/>
      <c r="T9" s="3356" t="e">
        <f t="shared" si="0"/>
        <v>#DIV/0!</v>
      </c>
      <c r="U9" s="1211"/>
      <c r="V9" s="3356" t="e">
        <f t="shared" si="1"/>
        <v>#DIV/0!</v>
      </c>
      <c r="W9" s="3771"/>
      <c r="X9" s="3357" t="s">
        <v>3268</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3"/>
      <c r="B10" s="170" t="s">
        <v>1973</v>
      </c>
      <c r="C10" s="171">
        <f>SUMIF(修正!C71:C138,C8,修正!F71:F138)</f>
        <v>0</v>
      </c>
      <c r="D10" s="171" t="s">
        <v>114</v>
      </c>
      <c r="E10" s="171" t="e">
        <f>ROUND(C11/E7,4)</f>
        <v>#DIV/0!</v>
      </c>
      <c r="F10" s="2025" t="s">
        <v>1974</v>
      </c>
      <c r="G10" s="2026"/>
      <c r="H10" s="2026"/>
      <c r="I10" s="2026"/>
      <c r="J10" s="2027"/>
      <c r="K10" s="1117"/>
      <c r="L10" s="2001" t="s">
        <v>1975</v>
      </c>
      <c r="M10" s="862">
        <f>SUMPRODUCT((区片价!B327:B357=I2)*(区片价!C3:G3=E2)*(区片价!C327:G357))</f>
        <v>0</v>
      </c>
      <c r="N10" s="864">
        <f>SUMPRODUCT((因素修正幅度!B327:B357=I2)*(因素修正幅度!C3:G3=E2)*(因素修正幅度!C327:G357))</f>
        <v>0</v>
      </c>
      <c r="O10" s="1117"/>
      <c r="P10" s="1117"/>
      <c r="Q10" s="1117"/>
      <c r="R10" s="1210">
        <v>9</v>
      </c>
      <c r="S10" s="1211"/>
      <c r="T10" s="3356" t="e">
        <f t="shared" si="0"/>
        <v>#DIV/0!</v>
      </c>
      <c r="U10" s="1211"/>
      <c r="V10" s="3356" t="e">
        <f t="shared" si="1"/>
        <v>#DIV/0!</v>
      </c>
      <c r="W10" s="3771"/>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7"/>
      <c r="B11" s="2028" t="s">
        <v>1976</v>
      </c>
      <c r="C11" s="757">
        <f>C10/4</f>
        <v>0</v>
      </c>
      <c r="D11" s="757" t="s">
        <v>115</v>
      </c>
      <c r="E11" s="757" t="e">
        <f>ROUND(C11/E7,4)</f>
        <v>#DIV/0!</v>
      </c>
      <c r="F11" s="2029" t="s">
        <v>1977</v>
      </c>
      <c r="G11" s="2030"/>
      <c r="H11" s="2030"/>
      <c r="I11" s="2030"/>
      <c r="J11" s="2031"/>
      <c r="K11" s="1117"/>
      <c r="L11" s="2001" t="s">
        <v>1978</v>
      </c>
      <c r="M11" s="862">
        <f>SUMPRODUCT((区片价!B358:B377=I2)*(区片价!C3:G3=E2)*(区片价!C358:G377))</f>
        <v>0</v>
      </c>
      <c r="N11" s="864">
        <f>SUMPRODUCT((因素修正幅度!B358:B377=I2)*(因素修正幅度!C3:G3=E2)*(因素修正幅度!C358:G377))</f>
        <v>0</v>
      </c>
      <c r="O11" s="1117"/>
      <c r="P11" s="1117"/>
      <c r="Q11" s="1117"/>
      <c r="R11" s="1210">
        <v>10</v>
      </c>
      <c r="S11" s="1211"/>
      <c r="T11" s="3356" t="e">
        <f t="shared" si="0"/>
        <v>#DIV/0!</v>
      </c>
      <c r="U11" s="1211"/>
      <c r="V11" s="3356" t="e">
        <f t="shared" si="1"/>
        <v>#DIV/0!</v>
      </c>
      <c r="W11" s="1214"/>
      <c r="X11" s="1214"/>
      <c r="Y11" s="1214"/>
      <c r="Z11" s="1214"/>
      <c r="AA11" s="1214"/>
      <c r="AB11" s="1214"/>
      <c r="AC11" s="1215"/>
      <c r="AD11" s="2782"/>
      <c r="AE11" s="2782"/>
      <c r="AF11" s="2782"/>
      <c r="AG11" s="2782"/>
      <c r="AH11" s="2782"/>
      <c r="AI11" s="2782"/>
      <c r="AJ11" s="2783"/>
    </row>
    <row r="12" spans="1:36" ht="25.5" thickBot="1">
      <c r="A12" s="3298" t="s">
        <v>3238</v>
      </c>
      <c r="B12" s="3299" t="s">
        <v>3239</v>
      </c>
      <c r="C12" s="3300"/>
      <c r="D12" s="3301" t="s">
        <v>3240</v>
      </c>
      <c r="E12" s="3302" t="s">
        <v>3241</v>
      </c>
      <c r="F12" s="3303"/>
      <c r="G12" s="3304"/>
      <c r="H12" s="3304"/>
      <c r="I12" s="3304"/>
      <c r="J12" s="3305"/>
      <c r="K12" s="1117"/>
      <c r="L12" s="2037" t="s">
        <v>1981</v>
      </c>
      <c r="M12" s="863">
        <f>SUMPRODUCT((区片价!B378:B384=I2)*(区片价!C3:G3=E2)*(区片价!C378:G384))</f>
        <v>0</v>
      </c>
      <c r="N12" s="864">
        <f>SUMPRODUCT((因素修正幅度!B378:B384=I2)*(因素修正幅度!C3:G3=E2)*(因素修正幅度!C378:G384))</f>
        <v>0</v>
      </c>
      <c r="O12" s="1117"/>
      <c r="P12" s="1117"/>
      <c r="Q12" s="1117"/>
      <c r="R12" s="1210">
        <v>11</v>
      </c>
      <c r="S12" s="1211"/>
      <c r="T12" s="3356" t="e">
        <f t="shared" si="0"/>
        <v>#DIV/0!</v>
      </c>
      <c r="U12" s="1211"/>
      <c r="V12" s="3356" t="e">
        <f t="shared" si="1"/>
        <v>#DIV/0!</v>
      </c>
      <c r="W12" s="1214"/>
      <c r="X12" s="1214"/>
      <c r="Y12" s="1214"/>
      <c r="Z12" s="1214"/>
      <c r="AA12" s="1214"/>
      <c r="AB12" s="1214"/>
      <c r="AC12" s="1215"/>
      <c r="AD12" s="2782"/>
      <c r="AE12" s="2782"/>
      <c r="AF12" s="2782"/>
      <c r="AG12" s="2782"/>
      <c r="AH12" s="2782"/>
      <c r="AI12" s="2782"/>
      <c r="AJ12" s="2783"/>
    </row>
    <row r="13" spans="1:36" ht="15.75" thickBot="1">
      <c r="A13" s="3298" t="s">
        <v>3242</v>
      </c>
      <c r="B13" s="2032" t="s">
        <v>1979</v>
      </c>
      <c r="C13" s="753">
        <f>ROUND(C16*D16*E16*F16*G16*H16*I16*J16,4)</f>
        <v>0</v>
      </c>
      <c r="D13" s="2033" t="s">
        <v>1980</v>
      </c>
      <c r="E13" s="2034"/>
      <c r="F13" s="2034"/>
      <c r="G13" s="2035"/>
      <c r="H13" s="2035"/>
      <c r="I13" s="2035"/>
      <c r="J13" s="2036"/>
      <c r="K13" s="1117"/>
      <c r="L13" s="3294"/>
      <c r="M13" s="3295"/>
      <c r="N13" s="3296"/>
      <c r="O13" s="1117"/>
      <c r="P13" s="1117"/>
      <c r="Q13" s="1117"/>
      <c r="R13" s="1210">
        <v>12</v>
      </c>
      <c r="S13" s="1211"/>
      <c r="T13" s="3356" t="e">
        <f t="shared" si="0"/>
        <v>#DIV/0!</v>
      </c>
      <c r="U13" s="1211"/>
      <c r="V13" s="3356" t="e">
        <f t="shared" si="1"/>
        <v>#DIV/0!</v>
      </c>
      <c r="W13" s="1214"/>
      <c r="X13" s="1214"/>
      <c r="Y13" s="1214"/>
      <c r="Z13" s="1214"/>
      <c r="AA13" s="1214"/>
      <c r="AB13" s="1214"/>
      <c r="AC13" s="1215"/>
      <c r="AD13" s="2782"/>
      <c r="AE13" s="2782"/>
      <c r="AF13" s="2782"/>
      <c r="AG13" s="2782"/>
      <c r="AH13" s="2782"/>
      <c r="AI13" s="2782"/>
      <c r="AJ13" s="2783"/>
    </row>
    <row r="14" spans="1:36" ht="15">
      <c r="A14" s="3292"/>
      <c r="B14" s="2038" t="s">
        <v>1982</v>
      </c>
      <c r="C14" s="2039" t="s">
        <v>1983</v>
      </c>
      <c r="D14" s="1348" t="s">
        <v>1984</v>
      </c>
      <c r="E14" s="27" t="s">
        <v>1985</v>
      </c>
      <c r="F14" s="3306" t="s">
        <v>3243</v>
      </c>
      <c r="G14" s="3306" t="s">
        <v>3243</v>
      </c>
      <c r="H14" s="3306" t="s">
        <v>3243</v>
      </c>
      <c r="I14" s="3306" t="s">
        <v>3243</v>
      </c>
      <c r="J14" s="3306" t="s">
        <v>3243</v>
      </c>
      <c r="K14" s="1117"/>
      <c r="L14" s="1117"/>
      <c r="M14" s="1117"/>
      <c r="N14" s="1117"/>
      <c r="O14" s="1117"/>
      <c r="P14" s="1117"/>
      <c r="Q14" s="1117"/>
      <c r="R14" s="1210">
        <v>13</v>
      </c>
      <c r="S14" s="1211"/>
      <c r="T14" s="3356" t="e">
        <f t="shared" si="0"/>
        <v>#DIV/0!</v>
      </c>
      <c r="U14" s="1211"/>
      <c r="V14" s="3356" t="e">
        <f t="shared" si="1"/>
        <v>#DIV/0!</v>
      </c>
      <c r="W14" s="1214"/>
      <c r="X14" s="1214"/>
      <c r="Y14" s="1214"/>
      <c r="Z14" s="1214"/>
      <c r="AA14" s="1214"/>
      <c r="AB14" s="1214"/>
      <c r="AC14" s="1215"/>
      <c r="AD14" s="2782"/>
      <c r="AE14" s="2782"/>
      <c r="AF14" s="2782"/>
      <c r="AG14" s="2782"/>
      <c r="AH14" s="2782"/>
      <c r="AI14" s="2782"/>
      <c r="AJ14" s="2783"/>
    </row>
    <row r="15" spans="1:36" ht="15">
      <c r="A15" s="3292"/>
      <c r="B15" s="2040"/>
      <c r="C15" s="2041"/>
      <c r="D15" s="2042"/>
      <c r="E15" s="2043"/>
      <c r="F15" s="3307" t="s">
        <v>3244</v>
      </c>
      <c r="G15" s="3308"/>
      <c r="H15" s="3309"/>
      <c r="I15" s="3310"/>
      <c r="J15" s="3311"/>
      <c r="K15" s="1117"/>
      <c r="L15" s="1117"/>
      <c r="M15" s="1117"/>
      <c r="N15" s="1117"/>
      <c r="O15" s="1117"/>
      <c r="P15" s="1117"/>
      <c r="Q15" s="1117"/>
      <c r="R15" s="1210">
        <v>14</v>
      </c>
      <c r="S15" s="1211"/>
      <c r="T15" s="3356" t="e">
        <f t="shared" si="0"/>
        <v>#DIV/0!</v>
      </c>
      <c r="U15" s="1211"/>
      <c r="V15" s="3356" t="e">
        <f t="shared" si="1"/>
        <v>#DIV/0!</v>
      </c>
      <c r="W15" s="1214"/>
      <c r="X15" s="1214"/>
      <c r="Y15" s="1214"/>
      <c r="Z15" s="1214"/>
      <c r="AA15" s="1214"/>
      <c r="AB15" s="1214"/>
      <c r="AC15" s="1215"/>
      <c r="AD15" s="2782"/>
      <c r="AE15" s="2782"/>
      <c r="AF15" s="2782"/>
      <c r="AG15" s="2782"/>
      <c r="AH15" s="2782"/>
      <c r="AI15" s="2782"/>
      <c r="AJ15" s="2783"/>
    </row>
    <row r="16" spans="1:36" ht="15.75" thickBot="1">
      <c r="A16" s="3292"/>
      <c r="B16" s="3314" t="s">
        <v>1986</v>
      </c>
      <c r="C16" s="3312"/>
      <c r="D16" s="3312"/>
      <c r="E16" s="3312"/>
      <c r="F16" s="3312">
        <v>1</v>
      </c>
      <c r="G16" s="3312">
        <v>1</v>
      </c>
      <c r="H16" s="3312">
        <v>1</v>
      </c>
      <c r="I16" s="3312">
        <v>1</v>
      </c>
      <c r="J16" s="3313">
        <v>1</v>
      </c>
      <c r="K16" s="1117"/>
      <c r="L16" s="1995"/>
      <c r="M16" s="1995"/>
      <c r="N16" s="1995"/>
      <c r="O16" s="1995"/>
      <c r="P16" s="1995"/>
      <c r="Q16" s="1117"/>
      <c r="R16" s="1210">
        <v>15</v>
      </c>
      <c r="S16" s="1211"/>
      <c r="T16" s="3356" t="e">
        <f t="shared" si="0"/>
        <v>#DIV/0!</v>
      </c>
      <c r="U16" s="1211"/>
      <c r="V16" s="3356" t="e">
        <f t="shared" si="1"/>
        <v>#DIV/0!</v>
      </c>
      <c r="W16" s="1214"/>
      <c r="X16" s="1214"/>
      <c r="Y16" s="1214"/>
      <c r="Z16" s="1214"/>
      <c r="AA16" s="1214"/>
      <c r="AB16" s="1214"/>
      <c r="AC16" s="1215"/>
      <c r="AD16" s="2782"/>
      <c r="AE16" s="2782"/>
      <c r="AF16" s="2782"/>
      <c r="AG16" s="2782"/>
      <c r="AH16" s="2782"/>
      <c r="AI16" s="2782"/>
      <c r="AJ16" s="2783"/>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7"/>
      <c r="B18" s="3003"/>
      <c r="C18" s="3322"/>
      <c r="D18" s="3317" t="s">
        <v>3248</v>
      </c>
      <c r="E18" s="3323"/>
      <c r="F18" s="3318" t="s">
        <v>3251</v>
      </c>
      <c r="G18" s="3322">
        <f>ROUND(1-(1/(POWER(1+G24,E18))),4)</f>
        <v>0</v>
      </c>
      <c r="H18" s="3318" t="s">
        <v>3253</v>
      </c>
      <c r="I18" s="3322">
        <f>ROUND(1-(1/(POWER(1+G24,J24))),4)</f>
        <v>0</v>
      </c>
      <c r="J18" s="3328"/>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9"/>
      <c r="B19" s="3330"/>
      <c r="C19" s="3331"/>
      <c r="D19" s="3331" t="s">
        <v>3249</v>
      </c>
      <c r="E19" s="3332"/>
      <c r="F19" s="3333" t="s">
        <v>3252</v>
      </c>
      <c r="G19" s="3332"/>
      <c r="H19" s="3331"/>
      <c r="I19" s="3331"/>
      <c r="J19" s="3334"/>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76" t="s">
        <v>3254</v>
      </c>
      <c r="B20" s="167" t="s">
        <v>1991</v>
      </c>
      <c r="C20" s="3319" t="e">
        <f>ROUND(IF(F21="与级别开发程度一致",0,(G21-E21)/C21),0)</f>
        <v>#DIV/0!</v>
      </c>
      <c r="D20" s="3335" t="s">
        <v>1995</v>
      </c>
      <c r="E20" s="3336"/>
      <c r="F20" s="3782" t="s">
        <v>1992</v>
      </c>
      <c r="G20" s="3783"/>
      <c r="H20" s="3320"/>
      <c r="I20" s="3320"/>
      <c r="J20" s="3321"/>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15" thickBot="1">
      <c r="A21" s="3777"/>
      <c r="B21" s="2162" t="s">
        <v>1994</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1997</v>
      </c>
      <c r="C22" s="2158">
        <f>SUMIF(修正!C20:C51,E3,修正!E20:E51)</f>
        <v>0</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1998</v>
      </c>
      <c r="C23" s="7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1999</v>
      </c>
      <c r="E23" s="759">
        <v>44197</v>
      </c>
      <c r="F23" s="2052" t="s">
        <v>2000</v>
      </c>
      <c r="G23" s="760">
        <f>'数据-取费表'!B2</f>
        <v>45037</v>
      </c>
      <c r="H23" s="3337" t="s">
        <v>3256</v>
      </c>
      <c r="I23" s="3338" t="str">
        <f>IF(H23="季度增幅（自定义）",SUMIF(N25:N28,E2,O25:O28),"")</f>
        <v/>
      </c>
      <c r="J23" s="3339" t="s">
        <v>3255</v>
      </c>
      <c r="K23" s="1123"/>
      <c r="L23" s="2053" t="s">
        <v>2001</v>
      </c>
      <c r="M23" s="1326">
        <f>ROUND(SUMIF(地价!B2:G2,E2,地价!B16:G16),0)</f>
        <v>0</v>
      </c>
      <c r="N23" s="2054" t="s">
        <v>2002</v>
      </c>
      <c r="O23" s="761">
        <f>ROUNDDOWN(DATEDIF(E23,G23,"M")/3,0)</f>
        <v>9</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2003</v>
      </c>
      <c r="C24" s="762" t="e">
        <f>ROUND(POWER(1+G24,J24-I24)*(POWER(1+G24,I24)-1)/(POWER(1+G24,J24)-1),4)</f>
        <v>#DIV/0!</v>
      </c>
      <c r="D24" s="2058" t="s">
        <v>2004</v>
      </c>
      <c r="E24" s="1333">
        <f>存贷款利率!E22/100</f>
        <v>4.3499999999999997E-2</v>
      </c>
      <c r="F24" s="2058" t="s">
        <v>1996</v>
      </c>
      <c r="G24" s="766">
        <f>SUMIF(M30:Q30,E2,M33:Q33)</f>
        <v>0</v>
      </c>
      <c r="H24" s="2058" t="s">
        <v>2005</v>
      </c>
      <c r="I24" s="767" t="e">
        <f>SUMIF('数据-取费表'!C6:C15,E2,'数据-取费表'!F6:F15)/COUNTIF('数据-取费表'!C6:C15,E2)</f>
        <v>#DIV/0!</v>
      </c>
      <c r="J24" s="768">
        <f>IF(E2="住宅",70,IF(E2="商业",40,50))</f>
        <v>50</v>
      </c>
      <c r="K24" s="1123"/>
      <c r="L24" s="2059" t="s">
        <v>2006</v>
      </c>
      <c r="M24" s="1327">
        <f>ROUND(SUMPRODUCT((地价!A4:A16=YEAR(G23)&amp;"-"&amp;ROUNDUP(MONTH(G23)/3,0))*(地价!B2:G2=E2)*(地价!B4:G16)),0)</f>
        <v>0</v>
      </c>
      <c r="N24" s="2060" t="s">
        <v>2007</v>
      </c>
      <c r="O24" s="2061" t="s">
        <v>2008</v>
      </c>
      <c r="P24" s="2062" t="s">
        <v>2009</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3335</v>
      </c>
      <c r="C25" s="769">
        <f>IF(B25="容积率修正",IF(G3&lt;10,D26,J26),C27)</f>
        <v>0</v>
      </c>
      <c r="D25" s="2065"/>
      <c r="E25" s="2065"/>
      <c r="F25" s="2065"/>
      <c r="G25" s="2065"/>
      <c r="H25" s="2065"/>
      <c r="I25" s="2065"/>
      <c r="J25" s="2066"/>
      <c r="K25" s="1123"/>
      <c r="L25" s="2781"/>
      <c r="M25" s="2781"/>
      <c r="N25" s="2067" t="s">
        <v>2010</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2011</v>
      </c>
      <c r="B26" s="2068" t="s">
        <v>2012</v>
      </c>
      <c r="C26" s="3340" t="s">
        <v>3257</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0" t="s">
        <v>3258</v>
      </c>
      <c r="J26" s="770" t="str">
        <f>IF(G3&gt;=10,D115,"——")</f>
        <v>——</v>
      </c>
      <c r="K26" s="1123"/>
      <c r="L26" s="2781"/>
      <c r="M26" s="2781"/>
      <c r="N26" s="2067" t="s">
        <v>2013</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2014</v>
      </c>
      <c r="B27" s="2069" t="s">
        <v>2015</v>
      </c>
      <c r="C27" s="839">
        <f>ROUND(IF(I3&lt;6,SUMPRODUCT((B106:B110=I3)*(C105:N105=G2)*(C106:N110)),SUMIF(C105:N105,G2,C112:N112)),4)</f>
        <v>0</v>
      </c>
      <c r="D27" s="2044"/>
      <c r="E27" s="2044"/>
      <c r="F27" s="2070"/>
      <c r="G27" s="2071"/>
      <c r="H27" s="2072"/>
      <c r="I27" s="2073"/>
      <c r="J27" s="2074"/>
      <c r="K27" s="1117"/>
      <c r="L27" s="1995"/>
      <c r="M27" s="1995"/>
      <c r="N27" s="2067" t="s">
        <v>2016</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2017</v>
      </c>
      <c r="C28" s="758">
        <f>SUMIF(A47:A101,E2,B47:B101)</f>
        <v>0</v>
      </c>
      <c r="D28" s="2050"/>
      <c r="E28" s="2075"/>
      <c r="F28" s="2075"/>
      <c r="G28" s="2075"/>
      <c r="H28" s="2075"/>
      <c r="I28" s="2075"/>
      <c r="J28" s="2076"/>
      <c r="K28" s="1123"/>
      <c r="L28" s="2781"/>
      <c r="M28" s="2781"/>
      <c r="N28" s="2077" t="s">
        <v>2018</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2019</v>
      </c>
      <c r="C29" s="763"/>
      <c r="D29" s="2022"/>
      <c r="E29" s="2022"/>
      <c r="F29" s="2079"/>
      <c r="G29" s="2022"/>
      <c r="H29" s="2022"/>
      <c r="I29" s="2022"/>
      <c r="J29" s="2023"/>
      <c r="K29" s="1117"/>
      <c r="L29" s="1995"/>
      <c r="M29" s="1995"/>
      <c r="N29" s="2778" t="s">
        <v>2020</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2021</v>
      </c>
      <c r="C30" s="2319" t="e">
        <f>IF(B25="容积率修正",E33+SUM(E37:E42),SUM(V2:V16)+SUM(E37:E42))</f>
        <v>#DIV/0!</v>
      </c>
      <c r="D30" s="2081"/>
      <c r="E30" s="2044"/>
      <c r="F30" s="2082"/>
      <c r="G30" s="2044"/>
      <c r="H30" s="2044"/>
      <c r="I30" s="2044"/>
      <c r="J30" s="2083"/>
      <c r="K30" s="1117"/>
      <c r="L30" s="3346" t="s">
        <v>1933</v>
      </c>
      <c r="M30" s="3347" t="s">
        <v>1987</v>
      </c>
      <c r="N30" s="3347" t="s">
        <v>1988</v>
      </c>
      <c r="O30" s="3347" t="s">
        <v>1989</v>
      </c>
      <c r="P30" s="3347" t="s">
        <v>1990</v>
      </c>
      <c r="Q30" s="3350" t="s">
        <v>3262</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2022</v>
      </c>
      <c r="C31" s="764" t="e">
        <f>E34+SUM(I37:I42)</f>
        <v>#DIV/0!</v>
      </c>
      <c r="D31" s="2085"/>
      <c r="E31" s="2086"/>
      <c r="F31" s="2087"/>
      <c r="G31" s="2086"/>
      <c r="H31" s="2086"/>
      <c r="I31" s="2086"/>
      <c r="J31" s="2088"/>
      <c r="K31" s="1117"/>
      <c r="L31" s="3348" t="s">
        <v>1993</v>
      </c>
      <c r="M31" s="1998">
        <v>0.25</v>
      </c>
      <c r="N31" s="1998">
        <v>0.2</v>
      </c>
      <c r="O31" s="1998">
        <v>0.15</v>
      </c>
      <c r="P31" s="1998">
        <v>0.1</v>
      </c>
      <c r="Q31" s="3343">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2023</v>
      </c>
      <c r="C32" s="2091" t="s">
        <v>2024</v>
      </c>
      <c r="D32" s="2091" t="s">
        <v>2025</v>
      </c>
      <c r="E32" s="2092" t="s">
        <v>2026</v>
      </c>
      <c r="F32" s="2093"/>
      <c r="G32" s="2035"/>
      <c r="H32" s="2035"/>
      <c r="I32" s="2035"/>
      <c r="J32" s="2036"/>
      <c r="K32" s="1117"/>
      <c r="L32" s="3349" t="s">
        <v>1996</v>
      </c>
      <c r="M32" s="2564">
        <f>ROUND($E$24*(1+M31),3)</f>
        <v>5.3999999999999999E-2</v>
      </c>
      <c r="N32" s="2564">
        <f>ROUND($E$24*(1+N31),3)</f>
        <v>5.1999999999999998E-2</v>
      </c>
      <c r="O32" s="2564">
        <f>ROUND($E$24*(1+O31),3)</f>
        <v>0.05</v>
      </c>
      <c r="P32" s="2564">
        <f>ROUND($E$24*(1+P31),3)</f>
        <v>4.8000000000000001E-2</v>
      </c>
      <c r="Q32" s="3351">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2027</v>
      </c>
      <c r="C33" s="175" t="e">
        <f>ROUND(C5*C22*C23*C24*C25*C28,0)</f>
        <v>#DIV/0!</v>
      </c>
      <c r="D33" s="2096"/>
      <c r="E33" s="771" t="e">
        <f>ROUND(C33*D33/10000,0)</f>
        <v>#DIV/0!</v>
      </c>
      <c r="F33" s="3341" t="s">
        <v>3260</v>
      </c>
      <c r="G33" s="2097"/>
      <c r="H33" s="2097"/>
      <c r="I33" s="2097"/>
      <c r="J33" s="2098"/>
      <c r="K33" s="1117"/>
      <c r="L33" s="3344" t="s">
        <v>3263</v>
      </c>
      <c r="M33" s="3345">
        <v>5.5E-2</v>
      </c>
      <c r="N33" s="3345">
        <v>5.5E-2</v>
      </c>
      <c r="O33" s="3345">
        <v>0.05</v>
      </c>
      <c r="P33" s="3345">
        <v>0.05</v>
      </c>
      <c r="Q33" s="3345">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2028</v>
      </c>
      <c r="C34" s="187" t="e">
        <f>ROUND(IF(E2="工业",C33*M42,IF(B25="楼层修正",SUM(V2:V16)*M41*10000/D34,C33*M41)),0)</f>
        <v>#DIV/0!</v>
      </c>
      <c r="D34" s="2101"/>
      <c r="E34" s="771" t="e">
        <f>ROUND(IF(B25="楼层修正",SUM(V2:V16)*M40,C34*D34/10000),0)</f>
        <v>#DIV/0!</v>
      </c>
      <c r="F34" s="2102" t="s">
        <v>2029</v>
      </c>
      <c r="G34" s="2103"/>
      <c r="H34" s="2103"/>
      <c r="I34" s="2103"/>
      <c r="J34" s="2104"/>
      <c r="K34" s="1117"/>
      <c r="L34" s="3344" t="s">
        <v>3264</v>
      </c>
      <c r="M34" s="3345">
        <v>6.5000000000000002E-2</v>
      </c>
      <c r="N34" s="3345">
        <v>6.5000000000000002E-2</v>
      </c>
      <c r="O34" s="3345">
        <v>0.06</v>
      </c>
      <c r="P34" s="3345">
        <v>0.06</v>
      </c>
      <c r="Q34" s="3345">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2030</v>
      </c>
      <c r="C35" s="3342" t="s">
        <v>3261</v>
      </c>
      <c r="D35" s="2035"/>
      <c r="E35" s="2107"/>
      <c r="F35" s="2107"/>
      <c r="G35" s="2033" t="s">
        <v>2031</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2024</v>
      </c>
      <c r="D36" s="447" t="s">
        <v>2025</v>
      </c>
      <c r="E36" s="447" t="s">
        <v>2026</v>
      </c>
      <c r="F36" s="342" t="s">
        <v>2032</v>
      </c>
      <c r="G36" s="2110" t="s">
        <v>2024</v>
      </c>
      <c r="H36" s="2110" t="s">
        <v>2025</v>
      </c>
      <c r="I36" s="2110" t="s">
        <v>2026</v>
      </c>
      <c r="J36" s="243"/>
      <c r="K36" s="3352" t="s">
        <v>3265</v>
      </c>
      <c r="L36" s="3352">
        <v>3.6999999999999998E-2</v>
      </c>
      <c r="M36" s="3353">
        <f>ROUND($L$36*(1+M31),3)</f>
        <v>4.5999999999999999E-2</v>
      </c>
      <c r="N36" s="3353">
        <f>ROUND($L$36*(1+N31),3)</f>
        <v>4.3999999999999997E-2</v>
      </c>
      <c r="O36" s="3353">
        <f>ROUND($L$36*(1+O31),3)</f>
        <v>4.2999999999999997E-2</v>
      </c>
      <c r="P36" s="3353">
        <f>ROUND($L$36*(1+P31),3)</f>
        <v>4.1000000000000002E-2</v>
      </c>
      <c r="Q36" s="3353">
        <f>ROUND($L$36*(1+Q31),3)</f>
        <v>4.2999999999999997E-2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0"/>
      <c r="B37" s="2111" t="s">
        <v>2033</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5"/>
      <c r="K37" s="3354" t="s">
        <v>3266</v>
      </c>
      <c r="L37" s="3352">
        <f>L36+K38</f>
        <v>4.1999999999999996E-2</v>
      </c>
      <c r="M37" s="3353">
        <f>ROUND($L$37*(1+M31),3)</f>
        <v>5.2999999999999999E-2</v>
      </c>
      <c r="N37" s="3353">
        <f t="shared" ref="N37:Q37" si="3">ROUND($L$37*(1+N31),3)</f>
        <v>0.05</v>
      </c>
      <c r="O37" s="3353">
        <f t="shared" si="3"/>
        <v>4.8000000000000001E-2</v>
      </c>
      <c r="P37" s="3353">
        <f t="shared" si="3"/>
        <v>4.5999999999999999E-2</v>
      </c>
      <c r="Q37" s="3353">
        <f t="shared" si="3"/>
        <v>4.8000000000000001E-2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1"/>
      <c r="B38" s="2039" t="s">
        <v>2034</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4"/>
      <c r="K38" s="3352">
        <v>5.0000000000000001E-3</v>
      </c>
      <c r="L38" s="3352"/>
      <c r="M38" s="3352"/>
      <c r="N38" s="3352"/>
      <c r="O38" s="3352"/>
      <c r="P38" s="3352"/>
      <c r="Q38" s="3352"/>
      <c r="R38" s="1117"/>
      <c r="S38" s="1117"/>
      <c r="T38" s="1117"/>
      <c r="U38" s="1117"/>
      <c r="V38" s="1117"/>
      <c r="W38" s="1117"/>
      <c r="X38" s="1117"/>
      <c r="Y38" s="1117"/>
      <c r="Z38" s="1118"/>
      <c r="AA38" s="1118"/>
      <c r="AB38" s="1118"/>
      <c r="AC38" s="1118"/>
      <c r="AD38" s="1118"/>
    </row>
    <row r="39" spans="1:37" ht="13.5" thickBot="1">
      <c r="A39" s="3781"/>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4"/>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2035</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2036</v>
      </c>
      <c r="M40" s="2115"/>
      <c r="Z40" s="1118"/>
      <c r="AA40" s="1118"/>
      <c r="AB40" s="1118"/>
      <c r="AC40" s="1118"/>
      <c r="AD40" s="1118"/>
      <c r="AE40" s="1118"/>
      <c r="AF40" s="1118"/>
      <c r="AG40" s="1118"/>
      <c r="AH40" s="1118"/>
      <c r="AI40" s="1118"/>
      <c r="AJ40" s="1118"/>
    </row>
    <row r="41" spans="1:37" s="1117" customFormat="1">
      <c r="A41" s="2113"/>
      <c r="B41" s="2039" t="s">
        <v>2037</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5" t="s">
        <v>3267</v>
      </c>
      <c r="M41" s="2116">
        <v>0.25</v>
      </c>
      <c r="Z41" s="1118"/>
      <c r="AA41" s="1118"/>
      <c r="AB41" s="1118"/>
      <c r="AC41" s="1118"/>
      <c r="AD41" s="1118"/>
      <c r="AE41" s="1118"/>
      <c r="AF41" s="1118"/>
      <c r="AG41" s="1118"/>
      <c r="AH41" s="1118"/>
      <c r="AI41" s="1118"/>
      <c r="AJ41" s="1118"/>
    </row>
    <row r="42" spans="1:37" s="1117" customFormat="1" ht="13.5" thickBot="1">
      <c r="A42" s="2099"/>
      <c r="B42" s="2117" t="s">
        <v>2038</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1990</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2117</v>
      </c>
      <c r="C44" s="342" t="e">
        <f>ROUND(POWER(1+E44,H44-G44)*(POWER(1+E44,G44)-1)/(POWER(1+E44,H44)-1),4)</f>
        <v>#DIV/0!</v>
      </c>
      <c r="D44" s="171" t="s">
        <v>1996</v>
      </c>
      <c r="E44" s="2151">
        <f>G24</f>
        <v>0</v>
      </c>
      <c r="F44" s="171" t="s">
        <v>2005</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2039</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2040</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2041</v>
      </c>
      <c r="B49" s="1349" t="s">
        <v>2042</v>
      </c>
      <c r="C49" s="1349" t="s">
        <v>2043</v>
      </c>
      <c r="D49" s="1349" t="s">
        <v>2044</v>
      </c>
      <c r="E49" s="741" t="s">
        <v>2045</v>
      </c>
      <c r="F49" s="2129" t="s">
        <v>2046</v>
      </c>
      <c r="G49" s="1349" t="s">
        <v>310</v>
      </c>
      <c r="H49" s="2130" t="s">
        <v>2047</v>
      </c>
      <c r="I49" s="1349" t="s">
        <v>2048</v>
      </c>
      <c r="J49" s="552" t="s">
        <v>1718</v>
      </c>
      <c r="K49" s="552" t="s">
        <v>1719</v>
      </c>
      <c r="L49" s="552" t="s">
        <v>1720</v>
      </c>
      <c r="M49" s="552" t="s">
        <v>1721</v>
      </c>
      <c r="N49" s="552" t="s">
        <v>1722</v>
      </c>
      <c r="AA49" s="1118"/>
      <c r="AB49" s="1118"/>
      <c r="AC49" s="1118"/>
      <c r="AD49" s="1118"/>
      <c r="AE49" s="1118"/>
      <c r="AF49" s="1118"/>
      <c r="AG49" s="1118"/>
      <c r="AH49" s="1118"/>
      <c r="AI49" s="1118"/>
      <c r="AJ49" s="1118"/>
      <c r="AK49" s="1118"/>
    </row>
    <row r="50" spans="1:37" s="1117" customFormat="1" ht="24.75">
      <c r="A50" s="2128" t="s">
        <v>2049</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2">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1">
      <c r="A51" s="2128" t="s">
        <v>2050</v>
      </c>
      <c r="B51" s="2132" t="str">
        <f>估价对象房地状况!C18</f>
        <v>周边有75、110、420路及地铁2号、6号线，周边道路密集，停车便捷程度，综合评价交通便捷度好</v>
      </c>
      <c r="C51" s="2042"/>
      <c r="D51" s="1063">
        <f t="shared" si="7"/>
        <v>0</v>
      </c>
      <c r="E51" s="743"/>
      <c r="F51" s="1812"/>
      <c r="G51" s="1061"/>
      <c r="H51" s="1064" t="str">
        <f t="shared" si="8"/>
        <v>——</v>
      </c>
      <c r="I51" s="3362">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4" t="s">
        <v>3269</v>
      </c>
      <c r="B52" s="2132">
        <f>估价对象房地状况!C19</f>
        <v>0</v>
      </c>
      <c r="C52" s="2042"/>
      <c r="D52" s="1063">
        <f t="shared" si="7"/>
        <v>0</v>
      </c>
      <c r="E52" s="743"/>
      <c r="F52" s="1812"/>
      <c r="G52" s="1061"/>
      <c r="H52" s="1064" t="str">
        <f t="shared" si="8"/>
        <v>——</v>
      </c>
      <c r="I52" s="3362">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2051</v>
      </c>
      <c r="B53" s="2133" t="s">
        <v>2052</v>
      </c>
      <c r="C53" s="2042"/>
      <c r="D53" s="1063">
        <f t="shared" si="7"/>
        <v>0</v>
      </c>
      <c r="E53" s="743"/>
      <c r="F53" s="1812"/>
      <c r="G53" s="1061"/>
      <c r="H53" s="1064" t="str">
        <f t="shared" si="8"/>
        <v>——</v>
      </c>
      <c r="I53" s="3362">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2053</v>
      </c>
      <c r="B54" s="2132" t="str">
        <f>估价对象房地状况!C24</f>
        <v>城市主干道——朝阳门外大街</v>
      </c>
      <c r="C54" s="2042"/>
      <c r="D54" s="1063">
        <f t="shared" si="7"/>
        <v>0</v>
      </c>
      <c r="E54" s="743"/>
      <c r="F54" s="1812"/>
      <c r="G54" s="1061"/>
      <c r="H54" s="1064" t="str">
        <f t="shared" si="8"/>
        <v>——</v>
      </c>
      <c r="I54" s="3362">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2054</v>
      </c>
      <c r="B55" s="2134" t="s">
        <v>2055</v>
      </c>
      <c r="C55" s="2042"/>
      <c r="D55" s="1063">
        <f t="shared" si="7"/>
        <v>0</v>
      </c>
      <c r="E55" s="743"/>
      <c r="F55" s="1812"/>
      <c r="G55" s="1061"/>
      <c r="H55" s="1064" t="str">
        <f t="shared" si="8"/>
        <v>——</v>
      </c>
      <c r="I55" s="3362">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51">
      <c r="A56" s="2135" t="s">
        <v>2056</v>
      </c>
      <c r="B56" s="1324" t="str">
        <f>估价对象房地状况!C21</f>
        <v>估价对象所在区域银行、购物场所、学校等公共配套设施齐备，综合评价公共配套设施水平好。</v>
      </c>
      <c r="C56" s="2042"/>
      <c r="D56" s="1063">
        <f t="shared" si="7"/>
        <v>0</v>
      </c>
      <c r="E56" s="743"/>
      <c r="F56" s="1812"/>
      <c r="G56" s="1061"/>
      <c r="H56" s="1064" t="str">
        <f t="shared" si="8"/>
        <v>——</v>
      </c>
      <c r="I56" s="3362">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2057</v>
      </c>
      <c r="B57" s="2132" t="str">
        <f>估价对象房地状况!C22</f>
        <v>估价对象所在区域基础设施水平“七通一平</v>
      </c>
      <c r="C57" s="2042"/>
      <c r="D57" s="1063">
        <f t="shared" si="7"/>
        <v>0</v>
      </c>
      <c r="E57" s="743"/>
      <c r="F57" s="1812"/>
      <c r="G57" s="1061"/>
      <c r="H57" s="1064" t="str">
        <f t="shared" si="8"/>
        <v>——</v>
      </c>
      <c r="I57" s="3362">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51.75" thickBot="1">
      <c r="A58" s="2136" t="s">
        <v>2058</v>
      </c>
      <c r="B58" s="2137" t="str">
        <f>估价对象房地状况!C20</f>
        <v>区域内有东城职业大学、日坛公园、富国海底世界等自然及人文环境，综合评价自然及人文环境状况较好。</v>
      </c>
      <c r="C58" s="2042"/>
      <c r="D58" s="1063">
        <f t="shared" si="7"/>
        <v>0</v>
      </c>
      <c r="E58" s="744"/>
      <c r="F58" s="1812"/>
      <c r="G58" s="1061"/>
      <c r="H58" s="1064" t="str">
        <f t="shared" si="8"/>
        <v>——</v>
      </c>
      <c r="I58" s="3363">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2059</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2041</v>
      </c>
      <c r="B60" s="1349"/>
      <c r="C60" s="1349" t="s">
        <v>2043</v>
      </c>
      <c r="D60" s="1349" t="s">
        <v>2044</v>
      </c>
      <c r="E60" s="741" t="s">
        <v>2045</v>
      </c>
      <c r="F60" s="2129" t="s">
        <v>2060</v>
      </c>
      <c r="G60" s="1349" t="s">
        <v>310</v>
      </c>
      <c r="H60" s="2130" t="s">
        <v>2047</v>
      </c>
      <c r="I60" s="1349" t="s">
        <v>2048</v>
      </c>
      <c r="J60" s="552" t="s">
        <v>1718</v>
      </c>
      <c r="K60" s="552" t="s">
        <v>1719</v>
      </c>
      <c r="L60" s="552" t="s">
        <v>1720</v>
      </c>
      <c r="M60" s="552" t="s">
        <v>1721</v>
      </c>
      <c r="N60" s="552" t="s">
        <v>1722</v>
      </c>
      <c r="AA60" s="1118"/>
      <c r="AB60" s="1118"/>
      <c r="AC60" s="1118"/>
      <c r="AD60" s="1118"/>
      <c r="AE60" s="1118"/>
      <c r="AF60" s="1118"/>
      <c r="AG60" s="1118"/>
      <c r="AH60" s="1118"/>
      <c r="AI60" s="1118"/>
      <c r="AJ60" s="1118"/>
      <c r="AK60" s="1118"/>
    </row>
    <row r="61" spans="1:37" s="1117" customFormat="1" ht="51">
      <c r="A61" s="2128" t="s">
        <v>2061</v>
      </c>
      <c r="B61" s="2131" t="str">
        <f>估价对象房地状况!C17</f>
        <v>估价对象位于朝阳门商圈，周边办公楼项目较多，有联合大厦、华普国际大厦等写字楼，入驻率高，办公集聚程度较好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2">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1">
      <c r="A62" s="2128" t="s">
        <v>2050</v>
      </c>
      <c r="B62" s="2132" t="str">
        <f>估价对象房地状况!C18</f>
        <v>周边有75、110、420路及地铁2号、6号线，周边道路密集，停车便捷程度，综合评价交通便捷度好</v>
      </c>
      <c r="C62" s="2042"/>
      <c r="D62" s="1063">
        <f t="shared" si="12"/>
        <v>0</v>
      </c>
      <c r="E62" s="743"/>
      <c r="F62" s="1812"/>
      <c r="G62" s="1061"/>
      <c r="H62" s="1064" t="str">
        <f t="shared" si="13"/>
        <v>——</v>
      </c>
      <c r="I62" s="3362">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4" t="s">
        <v>3269</v>
      </c>
      <c r="B63" s="2132">
        <f>估价对象房地状况!C19</f>
        <v>0</v>
      </c>
      <c r="C63" s="2042"/>
      <c r="D63" s="1063">
        <f t="shared" si="12"/>
        <v>0</v>
      </c>
      <c r="E63" s="743"/>
      <c r="F63" s="1812"/>
      <c r="G63" s="1061"/>
      <c r="H63" s="1064" t="str">
        <f t="shared" si="13"/>
        <v>——</v>
      </c>
      <c r="I63" s="3362">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2051</v>
      </c>
      <c r="B64" s="2133" t="s">
        <v>2052</v>
      </c>
      <c r="C64" s="2042"/>
      <c r="D64" s="1063">
        <f t="shared" si="12"/>
        <v>0</v>
      </c>
      <c r="E64" s="743"/>
      <c r="F64" s="1812"/>
      <c r="G64" s="1061"/>
      <c r="H64" s="1064" t="str">
        <f t="shared" si="13"/>
        <v>——</v>
      </c>
      <c r="I64" s="3362">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2053</v>
      </c>
      <c r="B65" s="2132" t="str">
        <f>估价对象房地状况!C24</f>
        <v>城市主干道——朝阳门外大街</v>
      </c>
      <c r="C65" s="2042"/>
      <c r="D65" s="1063">
        <f t="shared" si="12"/>
        <v>0</v>
      </c>
      <c r="E65" s="743"/>
      <c r="F65" s="1812"/>
      <c r="G65" s="1061"/>
      <c r="H65" s="1064" t="str">
        <f t="shared" si="13"/>
        <v>——</v>
      </c>
      <c r="I65" s="3362">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2054</v>
      </c>
      <c r="B66" s="2134" t="s">
        <v>2055</v>
      </c>
      <c r="C66" s="2042"/>
      <c r="D66" s="1063">
        <f t="shared" si="12"/>
        <v>0</v>
      </c>
      <c r="E66" s="743"/>
      <c r="F66" s="1812"/>
      <c r="G66" s="1061"/>
      <c r="H66" s="1064" t="str">
        <f t="shared" si="13"/>
        <v>——</v>
      </c>
      <c r="I66" s="3362">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51">
      <c r="A67" s="2128" t="s">
        <v>2056</v>
      </c>
      <c r="B67" s="1324" t="str">
        <f>估价对象房地状况!C21</f>
        <v>估价对象所在区域银行、购物场所、学校等公共配套设施齐备，综合评价公共配套设施水平好。</v>
      </c>
      <c r="C67" s="2042"/>
      <c r="D67" s="1063">
        <f t="shared" si="12"/>
        <v>0</v>
      </c>
      <c r="E67" s="743"/>
      <c r="F67" s="1812"/>
      <c r="G67" s="1061"/>
      <c r="H67" s="1064" t="str">
        <f t="shared" si="13"/>
        <v>——</v>
      </c>
      <c r="I67" s="3362">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2057</v>
      </c>
      <c r="B68" s="1324" t="str">
        <f>估价对象房地状况!C22</f>
        <v>估价对象所在区域基础设施水平“七通一平</v>
      </c>
      <c r="C68" s="2042"/>
      <c r="D68" s="1063">
        <f t="shared" si="12"/>
        <v>0</v>
      </c>
      <c r="E68" s="743"/>
      <c r="F68" s="1812"/>
      <c r="G68" s="1061"/>
      <c r="H68" s="1064" t="str">
        <f t="shared" si="13"/>
        <v>——</v>
      </c>
      <c r="I68" s="3362">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51.75" thickBot="1">
      <c r="A69" s="2136" t="s">
        <v>2058</v>
      </c>
      <c r="B69" s="2138" t="str">
        <f>估价对象房地状况!C20</f>
        <v>区域内有东城职业大学、日坛公园、富国海底世界等自然及人文环境，综合评价自然及人文环境状况较好。</v>
      </c>
      <c r="C69" s="2042"/>
      <c r="D69" s="1063">
        <f t="shared" si="12"/>
        <v>0</v>
      </c>
      <c r="E69" s="744"/>
      <c r="F69" s="1812"/>
      <c r="G69" s="1061"/>
      <c r="H69" s="1064" t="str">
        <f t="shared" si="13"/>
        <v>——</v>
      </c>
      <c r="I69" s="3363">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2062</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2041</v>
      </c>
      <c r="B71" s="1349"/>
      <c r="C71" s="1349" t="s">
        <v>2043</v>
      </c>
      <c r="D71" s="1349" t="s">
        <v>2044</v>
      </c>
      <c r="E71" s="741" t="s">
        <v>2045</v>
      </c>
      <c r="F71" s="2129" t="s">
        <v>2060</v>
      </c>
      <c r="G71" s="1349" t="s">
        <v>310</v>
      </c>
      <c r="H71" s="2130" t="s">
        <v>2047</v>
      </c>
      <c r="I71" s="1349" t="s">
        <v>2048</v>
      </c>
      <c r="J71" s="552" t="s">
        <v>1718</v>
      </c>
      <c r="K71" s="552" t="s">
        <v>1719</v>
      </c>
      <c r="L71" s="552" t="s">
        <v>1720</v>
      </c>
      <c r="M71" s="552" t="s">
        <v>1721</v>
      </c>
      <c r="N71" s="552" t="s">
        <v>1722</v>
      </c>
      <c r="AA71" s="1118"/>
      <c r="AB71" s="1118"/>
      <c r="AC71" s="1118"/>
      <c r="AD71" s="1118"/>
      <c r="AE71" s="1118"/>
      <c r="AF71" s="1118"/>
      <c r="AG71" s="1118"/>
      <c r="AH71" s="1118"/>
      <c r="AI71" s="1118"/>
      <c r="AJ71" s="1118"/>
      <c r="AK71" s="1118"/>
    </row>
    <row r="72" spans="1:37" s="1117" customFormat="1" ht="24">
      <c r="A72" s="2128" t="s">
        <v>2063</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2">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51">
      <c r="A73" s="2128" t="s">
        <v>2050</v>
      </c>
      <c r="B73" s="2132" t="str">
        <f>估价对象房地状况!C18</f>
        <v>周边有75、110、420路及地铁2号、6号线，周边道路密集，停车便捷程度，综合评价交通便捷度好</v>
      </c>
      <c r="C73" s="2042"/>
      <c r="D73" s="1063">
        <f t="shared" si="17"/>
        <v>0</v>
      </c>
      <c r="E73" s="745"/>
      <c r="F73" s="1812"/>
      <c r="G73" s="1061"/>
      <c r="H73" s="1064" t="str">
        <f t="shared" si="18"/>
        <v>——</v>
      </c>
      <c r="I73" s="3362">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4" t="s">
        <v>3269</v>
      </c>
      <c r="B74" s="2132">
        <f>估价对象房地状况!C19</f>
        <v>0</v>
      </c>
      <c r="C74" s="2042"/>
      <c r="D74" s="1063">
        <f t="shared" si="17"/>
        <v>0</v>
      </c>
      <c r="E74" s="745"/>
      <c r="F74" s="1812"/>
      <c r="G74" s="1061"/>
      <c r="H74" s="1064" t="str">
        <f t="shared" si="18"/>
        <v>——</v>
      </c>
      <c r="I74" s="3362">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2064</v>
      </c>
      <c r="B75" s="2132" t="str">
        <f>估价对象房地状况!C24</f>
        <v>城市主干道——朝阳门外大街</v>
      </c>
      <c r="C75" s="2042"/>
      <c r="D75" s="1063">
        <f t="shared" si="17"/>
        <v>0</v>
      </c>
      <c r="E75" s="745"/>
      <c r="F75" s="1812"/>
      <c r="G75" s="1061"/>
      <c r="H75" s="1064" t="str">
        <f t="shared" si="18"/>
        <v>——</v>
      </c>
      <c r="I75" s="3362">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51">
      <c r="A76" s="2128" t="s">
        <v>2056</v>
      </c>
      <c r="B76" s="1324" t="str">
        <f>估价对象房地状况!C21</f>
        <v>估价对象所在区域银行、购物场所、学校等公共配套设施齐备，综合评价公共配套设施水平好。</v>
      </c>
      <c r="C76" s="2042"/>
      <c r="D76" s="1063">
        <f t="shared" si="17"/>
        <v>0</v>
      </c>
      <c r="E76" s="745"/>
      <c r="F76" s="1812"/>
      <c r="G76" s="1061"/>
      <c r="H76" s="1064" t="str">
        <f t="shared" si="18"/>
        <v>——</v>
      </c>
      <c r="I76" s="3362">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2057</v>
      </c>
      <c r="B77" s="1324" t="str">
        <f>估价对象房地状况!C22</f>
        <v>估价对象所在区域基础设施水平“七通一平</v>
      </c>
      <c r="C77" s="2042"/>
      <c r="D77" s="1063">
        <f t="shared" si="17"/>
        <v>0</v>
      </c>
      <c r="E77" s="745"/>
      <c r="F77" s="1812"/>
      <c r="G77" s="1061"/>
      <c r="H77" s="1064" t="str">
        <f t="shared" si="18"/>
        <v>——</v>
      </c>
      <c r="I77" s="3362">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2054</v>
      </c>
      <c r="B78" s="2134" t="s">
        <v>2055</v>
      </c>
      <c r="C78" s="2042"/>
      <c r="D78" s="1063">
        <f t="shared" si="17"/>
        <v>0</v>
      </c>
      <c r="E78" s="745"/>
      <c r="F78" s="1812"/>
      <c r="G78" s="1061"/>
      <c r="H78" s="1064" t="str">
        <f t="shared" si="18"/>
        <v>——</v>
      </c>
      <c r="I78" s="3362">
        <v>0.05</v>
      </c>
      <c r="J78" s="1062">
        <f t="shared" si="19"/>
        <v>0</v>
      </c>
      <c r="K78" s="1062">
        <f t="shared" si="20"/>
        <v>0</v>
      </c>
      <c r="L78" s="1062">
        <v>0</v>
      </c>
      <c r="M78" s="1062">
        <f t="shared" si="21"/>
        <v>0</v>
      </c>
      <c r="N78" s="1062">
        <f t="shared" si="21"/>
        <v>0</v>
      </c>
      <c r="O78" s="1995"/>
      <c r="P78" s="1995"/>
      <c r="Z78" s="1996"/>
      <c r="AA78" s="2051"/>
      <c r="AG78" s="1119"/>
      <c r="AK78" s="2051"/>
    </row>
    <row r="79" spans="1:37" ht="51">
      <c r="A79" s="2128" t="s">
        <v>2058</v>
      </c>
      <c r="B79" s="2131" t="str">
        <f>估价对象房地状况!C20</f>
        <v>区域内有东城职业大学、日坛公园、富国海底世界等自然及人文环境，综合评价自然及人文环境状况较好。</v>
      </c>
      <c r="C79" s="2042"/>
      <c r="D79" s="1063">
        <f t="shared" si="17"/>
        <v>0</v>
      </c>
      <c r="E79" s="745"/>
      <c r="F79" s="1812"/>
      <c r="G79" s="1061"/>
      <c r="H79" s="1064" t="str">
        <f t="shared" si="18"/>
        <v>——</v>
      </c>
      <c r="I79" s="3362">
        <v>0.12</v>
      </c>
      <c r="J79" s="1062">
        <f t="shared" si="19"/>
        <v>0</v>
      </c>
      <c r="K79" s="1062">
        <f t="shared" si="20"/>
        <v>0</v>
      </c>
      <c r="L79" s="1062">
        <v>0</v>
      </c>
      <c r="M79" s="1062">
        <f t="shared" si="21"/>
        <v>0</v>
      </c>
      <c r="N79" s="1062">
        <f t="shared" si="21"/>
        <v>0</v>
      </c>
      <c r="Z79" s="1996"/>
      <c r="AA79" s="2051"/>
      <c r="AG79" s="1119"/>
      <c r="AK79" s="2051"/>
    </row>
    <row r="80" spans="1:37" ht="24.75" thickBot="1">
      <c r="A80" s="2136" t="s">
        <v>2065</v>
      </c>
      <c r="B80" s="2140"/>
      <c r="C80" s="2042"/>
      <c r="D80" s="1063">
        <f t="shared" si="17"/>
        <v>0</v>
      </c>
      <c r="E80" s="746"/>
      <c r="F80" s="1812"/>
      <c r="G80" s="1061"/>
      <c r="H80" s="1064" t="str">
        <f t="shared" si="18"/>
        <v>——</v>
      </c>
      <c r="I80" s="3363">
        <v>0.05</v>
      </c>
      <c r="J80" s="1062">
        <f t="shared" si="19"/>
        <v>0</v>
      </c>
      <c r="K80" s="1062">
        <f t="shared" si="20"/>
        <v>0</v>
      </c>
      <c r="L80" s="1062">
        <v>0</v>
      </c>
      <c r="M80" s="1062">
        <f t="shared" si="21"/>
        <v>0</v>
      </c>
      <c r="N80" s="1062">
        <f t="shared" si="21"/>
        <v>0</v>
      </c>
      <c r="Z80" s="1996"/>
      <c r="AA80" s="2051"/>
      <c r="AG80" s="1119"/>
      <c r="AK80" s="2051"/>
    </row>
    <row r="81" spans="1:37" ht="15">
      <c r="A81" s="2124" t="s">
        <v>2066</v>
      </c>
      <c r="B81" s="2125">
        <f>1+E83</f>
        <v>1</v>
      </c>
      <c r="C81" s="739"/>
      <c r="D81" s="739"/>
      <c r="E81" s="740"/>
      <c r="F81" s="2127"/>
      <c r="G81" s="3"/>
      <c r="H81" s="3"/>
      <c r="I81" s="3"/>
      <c r="J81" s="4"/>
      <c r="K81" s="4"/>
      <c r="L81" s="4"/>
      <c r="M81" s="4"/>
      <c r="N81" s="4"/>
      <c r="Z81" s="1996"/>
      <c r="AA81" s="2051"/>
      <c r="AG81" s="1119"/>
      <c r="AK81" s="2051"/>
    </row>
    <row r="82" spans="1:37" ht="24.75">
      <c r="A82" s="2128" t="s">
        <v>2041</v>
      </c>
      <c r="B82" s="1349"/>
      <c r="C82" s="1349" t="s">
        <v>2043</v>
      </c>
      <c r="D82" s="1349" t="s">
        <v>2044</v>
      </c>
      <c r="E82" s="741" t="s">
        <v>2045</v>
      </c>
      <c r="F82" s="2129" t="s">
        <v>2060</v>
      </c>
      <c r="G82" s="1349" t="s">
        <v>310</v>
      </c>
      <c r="H82" s="2130" t="s">
        <v>2047</v>
      </c>
      <c r="I82" s="1349" t="s">
        <v>2048</v>
      </c>
      <c r="J82" s="552" t="s">
        <v>1718</v>
      </c>
      <c r="K82" s="552" t="s">
        <v>1719</v>
      </c>
      <c r="L82" s="552" t="s">
        <v>1720</v>
      </c>
      <c r="M82" s="552" t="s">
        <v>1721</v>
      </c>
      <c r="N82" s="552" t="s">
        <v>1722</v>
      </c>
      <c r="Z82" s="1996"/>
      <c r="AA82" s="2051"/>
      <c r="AG82" s="1119"/>
      <c r="AK82" s="2051"/>
    </row>
    <row r="83" spans="1:37" ht="38.25">
      <c r="A83" s="2128" t="s">
        <v>2067</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2">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2050</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2">
        <v>0.3</v>
      </c>
      <c r="J84" s="1062">
        <f t="shared" si="24"/>
        <v>0</v>
      </c>
      <c r="K84" s="1062">
        <f t="shared" si="25"/>
        <v>0</v>
      </c>
      <c r="L84" s="1062">
        <v>0</v>
      </c>
      <c r="M84" s="1062">
        <f t="shared" si="26"/>
        <v>0</v>
      </c>
      <c r="N84" s="1062">
        <f t="shared" si="26"/>
        <v>0</v>
      </c>
      <c r="Z84" s="1996"/>
      <c r="AA84" s="2051"/>
      <c r="AG84" s="1119"/>
      <c r="AK84" s="2051"/>
    </row>
    <row r="85" spans="1:37" ht="36">
      <c r="A85" s="3364" t="s">
        <v>3270</v>
      </c>
      <c r="B85" s="2132">
        <f>估价对象房地状况!G17</f>
        <v>0</v>
      </c>
      <c r="C85" s="2042"/>
      <c r="D85" s="1063">
        <f t="shared" si="22"/>
        <v>0</v>
      </c>
      <c r="E85" s="745"/>
      <c r="F85" s="1812"/>
      <c r="G85" s="1061"/>
      <c r="H85" s="1064" t="str">
        <f t="shared" si="23"/>
        <v>——</v>
      </c>
      <c r="I85" s="3362">
        <v>0.1</v>
      </c>
      <c r="J85" s="1062">
        <f t="shared" si="24"/>
        <v>0</v>
      </c>
      <c r="K85" s="1062">
        <f t="shared" si="25"/>
        <v>0</v>
      </c>
      <c r="L85" s="1062">
        <v>0</v>
      </c>
      <c r="M85" s="1062">
        <f t="shared" si="26"/>
        <v>0</v>
      </c>
      <c r="N85" s="1062">
        <f t="shared" si="26"/>
        <v>0</v>
      </c>
      <c r="Z85" s="1996"/>
      <c r="AA85" s="2051"/>
      <c r="AG85" s="1119"/>
      <c r="AK85" s="2051"/>
    </row>
    <row r="86" spans="1:37" ht="14.25">
      <c r="A86" s="2128" t="s">
        <v>2064</v>
      </c>
      <c r="B86" s="2132">
        <f>估价对象房地状况!G22</f>
        <v>0</v>
      </c>
      <c r="C86" s="2042"/>
      <c r="D86" s="1063">
        <f t="shared" si="22"/>
        <v>0</v>
      </c>
      <c r="E86" s="745"/>
      <c r="F86" s="1812"/>
      <c r="G86" s="1061"/>
      <c r="H86" s="1064" t="str">
        <f t="shared" si="23"/>
        <v>——</v>
      </c>
      <c r="I86" s="3362">
        <v>0.05</v>
      </c>
      <c r="J86" s="1062">
        <f t="shared" si="24"/>
        <v>0</v>
      </c>
      <c r="K86" s="1062">
        <f t="shared" si="25"/>
        <v>0</v>
      </c>
      <c r="L86" s="1062">
        <v>0</v>
      </c>
      <c r="M86" s="1062">
        <f t="shared" si="26"/>
        <v>0</v>
      </c>
      <c r="N86" s="1062">
        <f t="shared" si="26"/>
        <v>0</v>
      </c>
      <c r="Z86" s="1996"/>
      <c r="AA86" s="2051"/>
      <c r="AG86" s="1119"/>
      <c r="AK86" s="2051"/>
    </row>
    <row r="87" spans="1:37" ht="25.5">
      <c r="A87" s="2128" t="s">
        <v>2056</v>
      </c>
      <c r="B87" s="1324" t="str">
        <f>估价对象房地状况!G19</f>
        <v>估价对象所在区域公共配套设施齐备情况</v>
      </c>
      <c r="C87" s="2042"/>
      <c r="D87" s="1063">
        <f t="shared" si="22"/>
        <v>0</v>
      </c>
      <c r="E87" s="745"/>
      <c r="F87" s="1812"/>
      <c r="G87" s="1061"/>
      <c r="H87" s="1064" t="str">
        <f t="shared" si="23"/>
        <v>——</v>
      </c>
      <c r="I87" s="3362">
        <v>0.06</v>
      </c>
      <c r="J87" s="1062">
        <f t="shared" si="24"/>
        <v>0</v>
      </c>
      <c r="K87" s="1062">
        <f t="shared" si="25"/>
        <v>0</v>
      </c>
      <c r="L87" s="1062">
        <v>0</v>
      </c>
      <c r="M87" s="1062">
        <f t="shared" si="26"/>
        <v>0</v>
      </c>
      <c r="N87" s="1062">
        <f t="shared" si="26"/>
        <v>0</v>
      </c>
    </row>
    <row r="88" spans="1:37" ht="25.5">
      <c r="A88" s="2128" t="s">
        <v>2057</v>
      </c>
      <c r="B88" s="1324" t="str">
        <f>估价对象房地状况!G20</f>
        <v>估价对象所在区域基础设施水平</v>
      </c>
      <c r="C88" s="2042"/>
      <c r="D88" s="1063">
        <f t="shared" si="22"/>
        <v>0</v>
      </c>
      <c r="E88" s="745"/>
      <c r="F88" s="1812"/>
      <c r="G88" s="1061"/>
      <c r="H88" s="1064" t="str">
        <f t="shared" si="23"/>
        <v>——</v>
      </c>
      <c r="I88" s="3362">
        <v>0.12</v>
      </c>
      <c r="J88" s="1062">
        <f t="shared" si="24"/>
        <v>0</v>
      </c>
      <c r="K88" s="1062">
        <f t="shared" si="25"/>
        <v>0</v>
      </c>
      <c r="L88" s="1062">
        <v>0</v>
      </c>
      <c r="M88" s="1062">
        <f t="shared" si="26"/>
        <v>0</v>
      </c>
      <c r="N88" s="1062">
        <f t="shared" si="26"/>
        <v>0</v>
      </c>
    </row>
    <row r="89" spans="1:37" ht="24">
      <c r="A89" s="2128" t="s">
        <v>2054</v>
      </c>
      <c r="B89" s="2134" t="s">
        <v>2068</v>
      </c>
      <c r="C89" s="2042"/>
      <c r="D89" s="1063">
        <f t="shared" si="22"/>
        <v>0</v>
      </c>
      <c r="E89" s="745"/>
      <c r="F89" s="1812"/>
      <c r="G89" s="1061"/>
      <c r="H89" s="1064" t="str">
        <f t="shared" si="23"/>
        <v>——</v>
      </c>
      <c r="I89" s="3362">
        <v>0.06</v>
      </c>
      <c r="J89" s="1062">
        <f t="shared" si="24"/>
        <v>0</v>
      </c>
      <c r="K89" s="1062">
        <f t="shared" si="25"/>
        <v>0</v>
      </c>
      <c r="L89" s="1062">
        <v>0</v>
      </c>
      <c r="M89" s="1062">
        <f t="shared" si="26"/>
        <v>0</v>
      </c>
      <c r="N89" s="1062">
        <f t="shared" si="26"/>
        <v>0</v>
      </c>
    </row>
    <row r="90" spans="1:37" ht="39" thickBot="1">
      <c r="A90" s="2136" t="s">
        <v>2069</v>
      </c>
      <c r="B90" s="2141" t="str">
        <f>估价对象房地状况!G18</f>
        <v>该园区内是否有污染型企业，绿化情况，卫生条件，整体环境状况判断</v>
      </c>
      <c r="C90" s="2042"/>
      <c r="D90" s="1063">
        <f t="shared" si="22"/>
        <v>0</v>
      </c>
      <c r="E90" s="746"/>
      <c r="F90" s="1812"/>
      <c r="G90" s="1061"/>
      <c r="H90" s="1064" t="str">
        <f t="shared" si="23"/>
        <v>——</v>
      </c>
      <c r="I90" s="3363">
        <v>0.05</v>
      </c>
      <c r="J90" s="1062">
        <f t="shared" si="24"/>
        <v>0</v>
      </c>
      <c r="K90" s="1062">
        <f t="shared" si="25"/>
        <v>0</v>
      </c>
      <c r="L90" s="1062">
        <v>0</v>
      </c>
      <c r="M90" s="1062">
        <f t="shared" si="26"/>
        <v>0</v>
      </c>
      <c r="N90" s="1062">
        <f t="shared" si="26"/>
        <v>0</v>
      </c>
    </row>
    <row r="91" spans="1:37" ht="15">
      <c r="A91" s="3372" t="s">
        <v>2606</v>
      </c>
      <c r="B91" s="3373">
        <f>1+E93</f>
        <v>1</v>
      </c>
      <c r="C91" s="3366"/>
      <c r="D91" s="3367"/>
      <c r="E91" s="1812"/>
      <c r="F91" s="1812"/>
      <c r="G91" s="3368"/>
      <c r="H91" s="3369"/>
      <c r="I91" s="3370"/>
      <c r="J91" s="3371"/>
      <c r="K91" s="3371"/>
      <c r="L91" s="3371"/>
      <c r="M91" s="3371"/>
      <c r="N91" s="3371"/>
    </row>
    <row r="92" spans="1:37" ht="24.75">
      <c r="A92" s="3374" t="s">
        <v>3271</v>
      </c>
      <c r="B92" s="3361"/>
      <c r="C92" s="3361" t="s">
        <v>3280</v>
      </c>
      <c r="D92" s="3361" t="s">
        <v>3281</v>
      </c>
      <c r="E92" s="3343" t="s">
        <v>3282</v>
      </c>
      <c r="F92" s="3376" t="s">
        <v>3283</v>
      </c>
      <c r="G92" s="3361" t="s">
        <v>3284</v>
      </c>
      <c r="H92" s="3383" t="s">
        <v>3287</v>
      </c>
      <c r="I92" s="3361" t="s">
        <v>3288</v>
      </c>
      <c r="J92" s="3384" t="s">
        <v>3289</v>
      </c>
      <c r="K92" s="3384" t="s">
        <v>3290</v>
      </c>
      <c r="L92" s="3384" t="s">
        <v>3291</v>
      </c>
      <c r="M92" s="3384" t="s">
        <v>3292</v>
      </c>
      <c r="N92" s="3384" t="s">
        <v>3293</v>
      </c>
    </row>
    <row r="93" spans="1:37" ht="24">
      <c r="A93" s="3364" t="s">
        <v>3272</v>
      </c>
      <c r="B93" s="1304"/>
      <c r="C93" s="2042"/>
      <c r="D93" s="3361">
        <f>SUMIF($J$92:$N$92,C93,J93:N93)</f>
        <v>0</v>
      </c>
      <c r="E93" s="3377">
        <f>ROUND(SUM(D93:D101),4)</f>
        <v>0</v>
      </c>
      <c r="F93" s="1812"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51">
      <c r="A94" s="3374" t="s">
        <v>3273</v>
      </c>
      <c r="B94" s="3365" t="str">
        <f>估价对象房地状况!C18</f>
        <v>周边有75、110、420路及地铁2号、6号线，周边道路密集，停车便捷程度，综合评价交通便捷度好</v>
      </c>
      <c r="C94" s="2042"/>
      <c r="D94" s="3361">
        <f t="shared" ref="D94:D101" si="30">SUMIF($J$60:$N$60,C94,J94:N94)</f>
        <v>0</v>
      </c>
      <c r="E94" s="3378"/>
      <c r="F94" s="1812"/>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3269</v>
      </c>
      <c r="B95" s="3365">
        <f>估价对象房地状况!C19</f>
        <v>0</v>
      </c>
      <c r="C95" s="2042"/>
      <c r="D95" s="3361">
        <f t="shared" si="30"/>
        <v>0</v>
      </c>
      <c r="E95" s="3378"/>
      <c r="F95" s="1812"/>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3274</v>
      </c>
      <c r="B96" s="3380" t="s">
        <v>3285</v>
      </c>
      <c r="C96" s="2042"/>
      <c r="D96" s="3361">
        <f t="shared" si="30"/>
        <v>0</v>
      </c>
      <c r="E96" s="3378"/>
      <c r="F96" s="1812"/>
      <c r="G96" s="3368"/>
      <c r="H96" s="3416" t="str">
        <f t="shared" si="31"/>
        <v>——</v>
      </c>
      <c r="I96" s="3362">
        <v>0.05</v>
      </c>
      <c r="J96" s="3340">
        <f t="shared" si="27"/>
        <v>0</v>
      </c>
      <c r="K96" s="3340">
        <f t="shared" si="28"/>
        <v>0</v>
      </c>
      <c r="L96" s="3340">
        <v>0</v>
      </c>
      <c r="M96" s="3340">
        <f t="shared" si="29"/>
        <v>0</v>
      </c>
      <c r="N96" s="3340">
        <f t="shared" si="29"/>
        <v>0</v>
      </c>
    </row>
    <row r="97" spans="1:14" ht="24">
      <c r="A97" s="3374" t="s">
        <v>3275</v>
      </c>
      <c r="B97" s="3365" t="str">
        <f>估价对象房地状况!C24</f>
        <v>城市主干道——朝阳门外大街</v>
      </c>
      <c r="C97" s="2042"/>
      <c r="D97" s="3361">
        <f t="shared" si="30"/>
        <v>0</v>
      </c>
      <c r="E97" s="3378"/>
      <c r="F97" s="1812"/>
      <c r="G97" s="3368"/>
      <c r="H97" s="3416" t="str">
        <f t="shared" si="31"/>
        <v>——</v>
      </c>
      <c r="I97" s="3362">
        <v>0.05</v>
      </c>
      <c r="J97" s="3340">
        <f t="shared" si="27"/>
        <v>0</v>
      </c>
      <c r="K97" s="3340">
        <f t="shared" si="28"/>
        <v>0</v>
      </c>
      <c r="L97" s="3340">
        <v>0</v>
      </c>
      <c r="M97" s="3340">
        <f t="shared" si="29"/>
        <v>0</v>
      </c>
      <c r="N97" s="3340">
        <f t="shared" si="29"/>
        <v>0</v>
      </c>
    </row>
    <row r="98" spans="1:14" ht="24">
      <c r="A98" s="3374" t="s">
        <v>3276</v>
      </c>
      <c r="B98" s="3381" t="s">
        <v>3286</v>
      </c>
      <c r="C98" s="2042"/>
      <c r="D98" s="3361">
        <f t="shared" si="30"/>
        <v>0</v>
      </c>
      <c r="E98" s="3378"/>
      <c r="F98" s="1812"/>
      <c r="G98" s="3368"/>
      <c r="H98" s="3416" t="str">
        <f t="shared" si="31"/>
        <v>——</v>
      </c>
      <c r="I98" s="3362">
        <v>0.06</v>
      </c>
      <c r="J98" s="3340">
        <f t="shared" si="27"/>
        <v>0</v>
      </c>
      <c r="K98" s="3340">
        <f t="shared" si="28"/>
        <v>0</v>
      </c>
      <c r="L98" s="3340">
        <v>0</v>
      </c>
      <c r="M98" s="3340">
        <f t="shared" si="29"/>
        <v>0</v>
      </c>
      <c r="N98" s="3340">
        <f t="shared" si="29"/>
        <v>0</v>
      </c>
    </row>
    <row r="99" spans="1:14" ht="51">
      <c r="A99" s="3374" t="s">
        <v>3277</v>
      </c>
      <c r="B99" s="3365" t="str">
        <f>估价对象房地状况!C21</f>
        <v>估价对象所在区域银行、购物场所、学校等公共配套设施齐备，综合评价公共配套设施水平好。</v>
      </c>
      <c r="C99" s="2042"/>
      <c r="D99" s="3361">
        <f t="shared" si="30"/>
        <v>0</v>
      </c>
      <c r="E99" s="3378"/>
      <c r="F99" s="1812"/>
      <c r="G99" s="3368"/>
      <c r="H99" s="3416" t="str">
        <f t="shared" si="31"/>
        <v>——</v>
      </c>
      <c r="I99" s="3362">
        <v>0.06</v>
      </c>
      <c r="J99" s="3340">
        <f t="shared" si="27"/>
        <v>0</v>
      </c>
      <c r="K99" s="3340">
        <f t="shared" si="28"/>
        <v>0</v>
      </c>
      <c r="L99" s="3340">
        <v>0</v>
      </c>
      <c r="M99" s="3340">
        <f t="shared" si="29"/>
        <v>0</v>
      </c>
      <c r="N99" s="3340">
        <f t="shared" si="29"/>
        <v>0</v>
      </c>
    </row>
    <row r="100" spans="1:14" ht="25.5">
      <c r="A100" s="3374" t="s">
        <v>3278</v>
      </c>
      <c r="B100" s="3365" t="str">
        <f>估价对象房地状况!C22</f>
        <v>估价对象所在区域基础设施水平“七通一平</v>
      </c>
      <c r="C100" s="2042"/>
      <c r="D100" s="3361">
        <f t="shared" si="30"/>
        <v>0</v>
      </c>
      <c r="E100" s="3378"/>
      <c r="F100" s="1812"/>
      <c r="G100" s="3368"/>
      <c r="H100" s="3416" t="str">
        <f t="shared" si="31"/>
        <v>——</v>
      </c>
      <c r="I100" s="3362">
        <v>0.09</v>
      </c>
      <c r="J100" s="3340">
        <f t="shared" si="27"/>
        <v>0</v>
      </c>
      <c r="K100" s="3340">
        <f t="shared" si="28"/>
        <v>0</v>
      </c>
      <c r="L100" s="3340">
        <v>0</v>
      </c>
      <c r="M100" s="3340">
        <f t="shared" si="29"/>
        <v>0</v>
      </c>
      <c r="N100" s="3340">
        <f t="shared" si="29"/>
        <v>0</v>
      </c>
    </row>
    <row r="101" spans="1:14" ht="51.75" thickBot="1">
      <c r="A101" s="3375" t="s">
        <v>3279</v>
      </c>
      <c r="B101" s="3382" t="str">
        <f>估价对象房地状况!C20</f>
        <v>区域内有东城职业大学、日坛公园、富国海底世界等自然及人文环境，综合评价自然及人文环境状况较好。</v>
      </c>
      <c r="C101" s="2042"/>
      <c r="D101" s="3361">
        <f t="shared" si="30"/>
        <v>0</v>
      </c>
      <c r="E101" s="3379"/>
      <c r="F101" s="1812"/>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78" t="s">
        <v>3294</v>
      </c>
      <c r="B103" s="3778"/>
      <c r="C103" s="3778"/>
      <c r="D103" s="3778"/>
      <c r="E103" s="3778"/>
      <c r="F103" s="3778"/>
      <c r="G103" s="3778"/>
      <c r="H103" s="3778"/>
      <c r="I103" s="3778"/>
      <c r="J103" s="3778"/>
      <c r="K103" s="3385"/>
      <c r="L103" s="3385"/>
      <c r="M103" s="3385"/>
      <c r="N103" s="3385"/>
    </row>
    <row r="104" spans="1:14">
      <c r="A104" s="3779" t="s">
        <v>3295</v>
      </c>
      <c r="B104" s="3779" t="s">
        <v>3296</v>
      </c>
      <c r="C104" s="3386" t="s">
        <v>3297</v>
      </c>
      <c r="D104" s="3387"/>
      <c r="E104" s="3387"/>
      <c r="F104" s="3387"/>
      <c r="G104" s="3387"/>
      <c r="H104" s="3387"/>
      <c r="I104" s="3387"/>
      <c r="J104" s="3388"/>
      <c r="K104" s="3389"/>
      <c r="L104" s="3389"/>
      <c r="M104" s="3389"/>
      <c r="N104" s="3389"/>
    </row>
    <row r="105" spans="1:14">
      <c r="A105" s="3779"/>
      <c r="B105" s="3779"/>
      <c r="C105" s="3390" t="s">
        <v>3298</v>
      </c>
      <c r="D105" s="3390" t="s">
        <v>3299</v>
      </c>
      <c r="E105" s="3390" t="s">
        <v>3300</v>
      </c>
      <c r="F105" s="3390" t="s">
        <v>3301</v>
      </c>
      <c r="G105" s="3390" t="s">
        <v>3302</v>
      </c>
      <c r="H105" s="3390" t="s">
        <v>3303</v>
      </c>
      <c r="I105" s="3390" t="s">
        <v>3304</v>
      </c>
      <c r="J105" s="3390" t="s">
        <v>3305</v>
      </c>
      <c r="K105" s="3390" t="s">
        <v>3306</v>
      </c>
      <c r="L105" s="3390" t="s">
        <v>3307</v>
      </c>
      <c r="M105" s="3390" t="s">
        <v>3308</v>
      </c>
      <c r="N105" s="3390" t="s">
        <v>3309</v>
      </c>
    </row>
    <row r="106" spans="1:14">
      <c r="A106" s="3765" t="s">
        <v>3310</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66"/>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66"/>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66"/>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66"/>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66"/>
      <c r="B111" s="3390" t="s">
        <v>3268</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67"/>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68" t="s">
        <v>3311</v>
      </c>
      <c r="B113" s="3768"/>
      <c r="C113" s="3768"/>
      <c r="D113" s="3768"/>
      <c r="E113" s="3768"/>
      <c r="F113" s="3768"/>
      <c r="G113" s="3768"/>
      <c r="H113" s="3768"/>
      <c r="I113" s="3768"/>
      <c r="J113" s="3768"/>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3312</v>
      </c>
      <c r="B116" s="3411">
        <f>G3</f>
        <v>0</v>
      </c>
      <c r="C116" s="3395" t="s">
        <v>3313</v>
      </c>
      <c r="D116" s="3396">
        <f>SUMPRODUCT((A118:A122=F116)*(B117:M117=H116)*B118:M122)</f>
        <v>0</v>
      </c>
      <c r="E116" s="1998" t="s">
        <v>3314</v>
      </c>
      <c r="F116" s="3397">
        <f>E2</f>
        <v>0</v>
      </c>
      <c r="G116" s="1998" t="s">
        <v>3315</v>
      </c>
      <c r="H116" s="3397">
        <f>G2</f>
        <v>0</v>
      </c>
      <c r="I116" s="1998"/>
      <c r="J116" s="3398"/>
      <c r="K116" s="3398"/>
      <c r="L116" s="3398"/>
      <c r="M116" s="3398"/>
      <c r="N116" s="3393"/>
    </row>
    <row r="117" spans="1:14">
      <c r="A117" s="3399"/>
      <c r="B117" s="3400" t="s">
        <v>3316</v>
      </c>
      <c r="C117" s="3400" t="s">
        <v>3317</v>
      </c>
      <c r="D117" s="3400" t="s">
        <v>3318</v>
      </c>
      <c r="E117" s="3401" t="s">
        <v>3319</v>
      </c>
      <c r="F117" s="3401" t="s">
        <v>3320</v>
      </c>
      <c r="G117" s="3401" t="s">
        <v>3321</v>
      </c>
      <c r="H117" s="3402" t="s">
        <v>3322</v>
      </c>
      <c r="I117" s="3402" t="s">
        <v>3323</v>
      </c>
      <c r="J117" s="3403" t="s">
        <v>3324</v>
      </c>
      <c r="K117" s="3403" t="s">
        <v>3325</v>
      </c>
      <c r="L117" s="3403" t="s">
        <v>3326</v>
      </c>
      <c r="M117" s="3404" t="s">
        <v>3327</v>
      </c>
      <c r="N117" s="3393"/>
    </row>
    <row r="118" spans="1:14">
      <c r="A118" s="3405" t="s">
        <v>3328</v>
      </c>
      <c r="B118" s="3383">
        <f>ROUND(0.9968-0.011*B116,4)</f>
        <v>0.99680000000000002</v>
      </c>
      <c r="C118" s="3383">
        <f>B118</f>
        <v>0.99680000000000002</v>
      </c>
      <c r="D118" s="3383">
        <f>ROUND(0.949-0.014*B116,4)</f>
        <v>0.94899999999999995</v>
      </c>
      <c r="E118" s="3383">
        <f>D118</f>
        <v>0.94899999999999995</v>
      </c>
      <c r="F118" s="3383">
        <f>E118</f>
        <v>0.94899999999999995</v>
      </c>
      <c r="G118" s="3383">
        <f>F118</f>
        <v>0.94899999999999995</v>
      </c>
      <c r="H118" s="3383">
        <f>G118</f>
        <v>0.94899999999999995</v>
      </c>
      <c r="I118" s="3383">
        <f>ROUND(0.8486-0.018*B116,4)</f>
        <v>0.84860000000000002</v>
      </c>
      <c r="J118" s="3383">
        <f t="shared" ref="J118:M122" si="35">I118</f>
        <v>0.84860000000000002</v>
      </c>
      <c r="K118" s="3383">
        <f t="shared" si="35"/>
        <v>0.84860000000000002</v>
      </c>
      <c r="L118" s="3383">
        <f t="shared" si="35"/>
        <v>0.84860000000000002</v>
      </c>
      <c r="M118" s="3406">
        <f t="shared" si="35"/>
        <v>0.84860000000000002</v>
      </c>
      <c r="N118" s="3393"/>
    </row>
    <row r="119" spans="1:14">
      <c r="A119" s="3405" t="s">
        <v>3329</v>
      </c>
      <c r="B119" s="3383">
        <f>ROUND(0.993-0.0112*B116,4)</f>
        <v>0.99299999999999999</v>
      </c>
      <c r="C119" s="3383">
        <f>B119</f>
        <v>0.99299999999999999</v>
      </c>
      <c r="D119" s="3383">
        <f>ROUND(0.9415-0.0142*B116,4)</f>
        <v>0.9415</v>
      </c>
      <c r="E119" s="3383">
        <f t="shared" ref="E119:H120" si="36">D119</f>
        <v>0.9415</v>
      </c>
      <c r="F119" s="3383">
        <f t="shared" si="36"/>
        <v>0.9415</v>
      </c>
      <c r="G119" s="3383">
        <f t="shared" si="36"/>
        <v>0.9415</v>
      </c>
      <c r="H119" s="3383">
        <f t="shared" si="36"/>
        <v>0.9415</v>
      </c>
      <c r="I119" s="3383">
        <f>ROUND(0.838-0.0182*B116,4)</f>
        <v>0.83799999999999997</v>
      </c>
      <c r="J119" s="3383">
        <f t="shared" si="35"/>
        <v>0.83799999999999997</v>
      </c>
      <c r="K119" s="3383">
        <f t="shared" si="35"/>
        <v>0.83799999999999997</v>
      </c>
      <c r="L119" s="3383">
        <f t="shared" si="35"/>
        <v>0.83799999999999997</v>
      </c>
      <c r="M119" s="3406">
        <f t="shared" si="35"/>
        <v>0.83799999999999997</v>
      </c>
      <c r="N119" s="3393"/>
    </row>
    <row r="120" spans="1:14">
      <c r="A120" s="3405" t="s">
        <v>3330</v>
      </c>
      <c r="B120" s="3383">
        <f>ROUND(0.9448-0.0115*B116,4)</f>
        <v>0.94479999999999997</v>
      </c>
      <c r="C120" s="3383">
        <f>B120</f>
        <v>0.94479999999999997</v>
      </c>
      <c r="D120" s="3383">
        <f>ROUND(0.937-0.0145*B116,4)</f>
        <v>0.93700000000000006</v>
      </c>
      <c r="E120" s="3383">
        <f t="shared" si="36"/>
        <v>0.93700000000000006</v>
      </c>
      <c r="F120" s="3383">
        <f t="shared" si="36"/>
        <v>0.93700000000000006</v>
      </c>
      <c r="G120" s="3383">
        <f t="shared" si="36"/>
        <v>0.93700000000000006</v>
      </c>
      <c r="H120" s="3383">
        <f t="shared" si="36"/>
        <v>0.93700000000000006</v>
      </c>
      <c r="I120" s="3383">
        <f>ROUND(0.7965-0.0185*B116,4)</f>
        <v>0.79649999999999999</v>
      </c>
      <c r="J120" s="3383">
        <f t="shared" si="35"/>
        <v>0.79649999999999999</v>
      </c>
      <c r="K120" s="3383">
        <f t="shared" si="35"/>
        <v>0.79649999999999999</v>
      </c>
      <c r="L120" s="3383">
        <f t="shared" si="35"/>
        <v>0.79649999999999999</v>
      </c>
      <c r="M120" s="3406">
        <f t="shared" si="35"/>
        <v>0.79649999999999999</v>
      </c>
      <c r="N120" s="3393"/>
    </row>
    <row r="121" spans="1:14" ht="13.5" thickBot="1">
      <c r="A121" s="3407" t="s">
        <v>3331</v>
      </c>
      <c r="B121" s="3408">
        <f>ROUND(0.7836-0.012*B116,4)</f>
        <v>0.78359999999999996</v>
      </c>
      <c r="C121" s="3408">
        <f>B121</f>
        <v>0.78359999999999996</v>
      </c>
      <c r="D121" s="3408">
        <f>ROUND(0.753-0.015*B116,4)</f>
        <v>0.753</v>
      </c>
      <c r="E121" s="3408">
        <f>D121</f>
        <v>0.753</v>
      </c>
      <c r="F121" s="3408">
        <f>E121</f>
        <v>0.753</v>
      </c>
      <c r="G121" s="3408">
        <f>ROUND(0.6612-0.018*B116,4)</f>
        <v>0.66120000000000001</v>
      </c>
      <c r="H121" s="3408">
        <f>G121</f>
        <v>0.66120000000000001</v>
      </c>
      <c r="I121" s="3408">
        <f>ROUND(0.5905-0.019*B116,4)</f>
        <v>0.59050000000000002</v>
      </c>
      <c r="J121" s="3408">
        <f t="shared" si="35"/>
        <v>0.59050000000000002</v>
      </c>
      <c r="K121" s="3408">
        <f t="shared" si="35"/>
        <v>0.59050000000000002</v>
      </c>
      <c r="L121" s="3408">
        <f t="shared" si="35"/>
        <v>0.59050000000000002</v>
      </c>
      <c r="M121" s="3409">
        <f t="shared" si="35"/>
        <v>0.59050000000000002</v>
      </c>
      <c r="N121" s="3393"/>
    </row>
    <row r="122" spans="1:14">
      <c r="A122" s="3410" t="s">
        <v>2606</v>
      </c>
      <c r="B122" s="3383">
        <f>ROUND(0.9404-0.0106*B116,4)</f>
        <v>0.94040000000000001</v>
      </c>
      <c r="C122" s="3383">
        <f>B122</f>
        <v>0.94040000000000001</v>
      </c>
      <c r="D122" s="3383">
        <f>ROUND(0.8955-0.0135*B116,4)</f>
        <v>0.89549999999999996</v>
      </c>
      <c r="E122" s="3383">
        <f t="shared" ref="E122:H122" si="37">D122</f>
        <v>0.89549999999999996</v>
      </c>
      <c r="F122" s="3383">
        <f t="shared" si="37"/>
        <v>0.89549999999999996</v>
      </c>
      <c r="G122" s="3383">
        <f t="shared" si="37"/>
        <v>0.89549999999999996</v>
      </c>
      <c r="H122" s="3383">
        <f t="shared" si="37"/>
        <v>0.89549999999999996</v>
      </c>
      <c r="I122" s="3383">
        <f>ROUND(0.7632-0.0166*B116,4)</f>
        <v>0.76319999999999999</v>
      </c>
      <c r="J122" s="3383">
        <f t="shared" si="35"/>
        <v>0.76319999999999999</v>
      </c>
      <c r="K122" s="3383">
        <f t="shared" si="35"/>
        <v>0.76319999999999999</v>
      </c>
      <c r="L122" s="3383">
        <f t="shared" si="35"/>
        <v>0.76319999999999999</v>
      </c>
      <c r="M122" s="3406">
        <f t="shared" si="35"/>
        <v>0.76319999999999999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 priority="6" stopIfTrue="1" operator="notEqual">
      <formula>"——"</formula>
    </cfRule>
  </conditionalFormatting>
  <conditionalFormatting sqref="F61">
    <cfRule type="cellIs" dxfId="15" priority="5" stopIfTrue="1" operator="notEqual">
      <formula>"——"</formula>
    </cfRule>
  </conditionalFormatting>
  <conditionalFormatting sqref="F72">
    <cfRule type="cellIs" dxfId="14" priority="4" stopIfTrue="1" operator="notEqual">
      <formula>"——"</formula>
    </cfRule>
  </conditionalFormatting>
  <conditionalFormatting sqref="F83">
    <cfRule type="cellIs" dxfId="13" priority="3" stopIfTrue="1" operator="notEqual">
      <formula>"——"</formula>
    </cfRule>
  </conditionalFormatting>
  <conditionalFormatting sqref="H50:H58 H61:H69 H72:H80 H83:H91">
    <cfRule type="cellIs" dxfId="12" priority="2" operator="notEqual">
      <formula>"——"</formula>
    </cfRule>
  </conditionalFormatting>
  <conditionalFormatting sqref="H93:H101">
    <cfRule type="cellIs" dxfId="1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2588</v>
      </c>
      <c r="B1" s="3065" t="s">
        <v>2589</v>
      </c>
      <c r="C1" s="3065" t="s">
        <v>2590</v>
      </c>
      <c r="D1" s="3065" t="s">
        <v>2591</v>
      </c>
      <c r="E1" s="3065" t="s">
        <v>2592</v>
      </c>
      <c r="F1" s="3065" t="s">
        <v>2593</v>
      </c>
      <c r="G1" s="3065" t="s">
        <v>2594</v>
      </c>
      <c r="H1" s="3065" t="s">
        <v>2595</v>
      </c>
      <c r="I1" s="3065" t="s">
        <v>2596</v>
      </c>
      <c r="J1" s="3065" t="s">
        <v>2597</v>
      </c>
      <c r="K1" s="3065" t="s">
        <v>2598</v>
      </c>
      <c r="L1" s="3065" t="s">
        <v>2599</v>
      </c>
      <c r="M1" s="3066" t="s">
        <v>2600</v>
      </c>
    </row>
    <row r="2" spans="1:13" ht="19.5" customHeight="1">
      <c r="A2" s="3068" t="s">
        <v>2601</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2602</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2603</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2604</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2605</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2606</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2607</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2608</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2609</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2610</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2611</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2612</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2613</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2614</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2615</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2616</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2617</v>
      </c>
      <c r="B18" s="3090"/>
      <c r="C18" s="3091"/>
      <c r="D18" s="3091"/>
      <c r="E18" s="3090"/>
      <c r="F18" s="3091"/>
      <c r="G18" s="3091"/>
    </row>
    <row r="19" spans="1:13" ht="19.5" customHeight="1" thickBot="1">
      <c r="A19" s="3088" t="s">
        <v>2618</v>
      </c>
      <c r="B19" s="3093" t="s">
        <v>2619</v>
      </c>
      <c r="C19" s="3093" t="s">
        <v>2620</v>
      </c>
      <c r="D19" s="3094"/>
      <c r="E19" s="3088" t="s">
        <v>2621</v>
      </c>
      <c r="F19" s="3095"/>
      <c r="G19" s="3095"/>
    </row>
    <row r="20" spans="1:13" ht="19.5" customHeight="1">
      <c r="A20" s="3791" t="s">
        <v>2601</v>
      </c>
      <c r="B20" s="3784" t="s">
        <v>2622</v>
      </c>
      <c r="C20" s="3096" t="s">
        <v>2433</v>
      </c>
      <c r="D20" s="3097"/>
      <c r="E20" s="3098">
        <v>1</v>
      </c>
      <c r="F20" s="3099" t="s">
        <v>2434</v>
      </c>
      <c r="G20" s="3099"/>
    </row>
    <row r="21" spans="1:13" ht="19.5" customHeight="1">
      <c r="A21" s="3792"/>
      <c r="B21" s="3785"/>
      <c r="C21" s="3100" t="s">
        <v>2435</v>
      </c>
      <c r="D21" s="3101"/>
      <c r="E21" s="3102">
        <v>1</v>
      </c>
      <c r="F21" s="3099" t="s">
        <v>2436</v>
      </c>
      <c r="G21" s="3099"/>
    </row>
    <row r="22" spans="1:13" ht="19.5" customHeight="1">
      <c r="A22" s="3792"/>
      <c r="B22" s="3785"/>
      <c r="C22" s="3100" t="s">
        <v>2437</v>
      </c>
      <c r="D22" s="3101"/>
      <c r="E22" s="3102">
        <v>0.9</v>
      </c>
      <c r="F22" s="3099" t="s">
        <v>2438</v>
      </c>
      <c r="G22" s="3099"/>
    </row>
    <row r="23" spans="1:13" ht="19.5" customHeight="1">
      <c r="A23" s="3792"/>
      <c r="B23" s="3785"/>
      <c r="C23" s="3100" t="s">
        <v>2439</v>
      </c>
      <c r="D23" s="3101"/>
      <c r="E23" s="3102">
        <v>0.9</v>
      </c>
      <c r="F23" s="3099" t="s">
        <v>2440</v>
      </c>
      <c r="G23" s="3099"/>
    </row>
    <row r="24" spans="1:13" ht="19.5" customHeight="1">
      <c r="A24" s="3792"/>
      <c r="B24" s="3785"/>
      <c r="C24" s="3100" t="s">
        <v>2441</v>
      </c>
      <c r="D24" s="3101"/>
      <c r="E24" s="3102">
        <v>0.8</v>
      </c>
      <c r="F24" s="3099" t="s">
        <v>2442</v>
      </c>
      <c r="G24" s="3099"/>
    </row>
    <row r="25" spans="1:13" ht="19.5" customHeight="1" thickBot="1">
      <c r="A25" s="3793"/>
      <c r="B25" s="3786"/>
      <c r="C25" s="3103" t="s">
        <v>2443</v>
      </c>
      <c r="D25" s="3104"/>
      <c r="E25" s="3105">
        <v>0.8</v>
      </c>
      <c r="F25" s="3099" t="s">
        <v>2444</v>
      </c>
      <c r="G25" s="3099"/>
    </row>
    <row r="26" spans="1:13" ht="19.5" customHeight="1" thickBot="1">
      <c r="A26" s="3106" t="s">
        <v>2623</v>
      </c>
      <c r="B26" s="3107" t="s">
        <v>2622</v>
      </c>
      <c r="C26" s="3108" t="s">
        <v>2624</v>
      </c>
      <c r="D26" s="3109"/>
      <c r="E26" s="3110">
        <v>1</v>
      </c>
      <c r="F26" s="3099" t="s">
        <v>2445</v>
      </c>
      <c r="G26" s="3099"/>
    </row>
    <row r="27" spans="1:13" ht="19.5" customHeight="1">
      <c r="A27" s="3787" t="s">
        <v>2625</v>
      </c>
      <c r="B27" s="3784" t="s">
        <v>2606</v>
      </c>
      <c r="C27" s="3096" t="s">
        <v>2446</v>
      </c>
      <c r="D27" s="3097"/>
      <c r="E27" s="3098">
        <v>1</v>
      </c>
      <c r="F27" s="3099" t="s">
        <v>2447</v>
      </c>
      <c r="G27" s="3099"/>
    </row>
    <row r="28" spans="1:13" ht="19.5" customHeight="1">
      <c r="A28" s="3788"/>
      <c r="B28" s="3785"/>
      <c r="C28" s="3100" t="s">
        <v>2448</v>
      </c>
      <c r="D28" s="3101"/>
      <c r="E28" s="3102">
        <v>1</v>
      </c>
      <c r="F28" s="3099" t="s">
        <v>2449</v>
      </c>
      <c r="G28" s="3099"/>
    </row>
    <row r="29" spans="1:13" ht="19.5" customHeight="1">
      <c r="A29" s="3788"/>
      <c r="B29" s="3785"/>
      <c r="C29" s="3100" t="s">
        <v>2450</v>
      </c>
      <c r="D29" s="3101"/>
      <c r="E29" s="3102">
        <v>0.8</v>
      </c>
      <c r="F29" s="3099" t="s">
        <v>2451</v>
      </c>
      <c r="G29" s="3099"/>
    </row>
    <row r="30" spans="1:13" ht="19.5" customHeight="1">
      <c r="A30" s="3788"/>
      <c r="B30" s="3785"/>
      <c r="C30" s="3100" t="s">
        <v>2452</v>
      </c>
      <c r="D30" s="3101"/>
      <c r="E30" s="3102">
        <v>0.8</v>
      </c>
      <c r="F30" s="3099" t="s">
        <v>2453</v>
      </c>
      <c r="G30" s="3099"/>
    </row>
    <row r="31" spans="1:13" ht="19.5" customHeight="1">
      <c r="A31" s="3788"/>
      <c r="B31" s="3785"/>
      <c r="C31" s="3100" t="s">
        <v>2454</v>
      </c>
      <c r="D31" s="3101"/>
      <c r="E31" s="3102">
        <v>0.8</v>
      </c>
      <c r="F31" s="3099" t="s">
        <v>2455</v>
      </c>
      <c r="G31" s="3099"/>
    </row>
    <row r="32" spans="1:13" ht="19.5" customHeight="1">
      <c r="A32" s="3788"/>
      <c r="B32" s="3785"/>
      <c r="C32" s="3100" t="s">
        <v>2456</v>
      </c>
      <c r="D32" s="3101"/>
      <c r="E32" s="3102">
        <v>0.7</v>
      </c>
      <c r="F32" s="3099" t="s">
        <v>2457</v>
      </c>
      <c r="G32" s="3099"/>
    </row>
    <row r="33" spans="1:7" ht="19.5" customHeight="1">
      <c r="A33" s="3788"/>
      <c r="B33" s="3785"/>
      <c r="C33" s="3100" t="s">
        <v>2458</v>
      </c>
      <c r="D33" s="3101"/>
      <c r="E33" s="3102">
        <v>0.8</v>
      </c>
      <c r="F33" s="3099" t="s">
        <v>2459</v>
      </c>
      <c r="G33" s="3099"/>
    </row>
    <row r="34" spans="1:7" ht="19.5" customHeight="1">
      <c r="A34" s="3788"/>
      <c r="B34" s="3785"/>
      <c r="C34" s="3100" t="s">
        <v>2460</v>
      </c>
      <c r="D34" s="3101"/>
      <c r="E34" s="3102">
        <v>0.6</v>
      </c>
      <c r="F34" s="3099" t="s">
        <v>2461</v>
      </c>
      <c r="G34" s="3099"/>
    </row>
    <row r="35" spans="1:7" ht="19.5" customHeight="1">
      <c r="A35" s="3788"/>
      <c r="B35" s="3785"/>
      <c r="C35" s="3100" t="s">
        <v>2462</v>
      </c>
      <c r="D35" s="3101"/>
      <c r="E35" s="3102">
        <v>0.2</v>
      </c>
      <c r="F35" s="3099" t="s">
        <v>2463</v>
      </c>
      <c r="G35" s="3099"/>
    </row>
    <row r="36" spans="1:7" ht="19.5" customHeight="1">
      <c r="A36" s="3788"/>
      <c r="B36" s="3785"/>
      <c r="C36" s="3100" t="s">
        <v>2464</v>
      </c>
      <c r="D36" s="3101"/>
      <c r="E36" s="3102">
        <v>0.2</v>
      </c>
      <c r="F36" s="3099" t="s">
        <v>2465</v>
      </c>
      <c r="G36" s="3099"/>
    </row>
    <row r="37" spans="1:7" ht="19.5" customHeight="1">
      <c r="A37" s="3788"/>
      <c r="B37" s="3790" t="s">
        <v>2626</v>
      </c>
      <c r="C37" s="3100" t="s">
        <v>2466</v>
      </c>
      <c r="D37" s="3101"/>
      <c r="E37" s="3102">
        <v>0.6</v>
      </c>
      <c r="F37" s="3099" t="s">
        <v>2467</v>
      </c>
      <c r="G37" s="3099"/>
    </row>
    <row r="38" spans="1:7" ht="19.5" customHeight="1">
      <c r="A38" s="3788"/>
      <c r="B38" s="3785"/>
      <c r="C38" s="3100" t="s">
        <v>2468</v>
      </c>
      <c r="D38" s="3101"/>
      <c r="E38" s="3102">
        <v>0.6</v>
      </c>
      <c r="F38" s="3099" t="s">
        <v>2469</v>
      </c>
      <c r="G38" s="3099"/>
    </row>
    <row r="39" spans="1:7" ht="19.5" customHeight="1" thickBot="1">
      <c r="A39" s="3789"/>
      <c r="B39" s="3786"/>
      <c r="C39" s="3103" t="s">
        <v>2470</v>
      </c>
      <c r="D39" s="3104"/>
      <c r="E39" s="3105">
        <v>0.6</v>
      </c>
      <c r="F39" s="3099" t="s">
        <v>2471</v>
      </c>
      <c r="G39" s="3099"/>
    </row>
    <row r="40" spans="1:7" ht="19.5" customHeight="1" thickBot="1">
      <c r="A40" s="3106" t="s">
        <v>2603</v>
      </c>
      <c r="B40" s="3107" t="s">
        <v>2603</v>
      </c>
      <c r="C40" s="3108" t="s">
        <v>2627</v>
      </c>
      <c r="D40" s="3109"/>
      <c r="E40" s="3110">
        <v>1</v>
      </c>
      <c r="F40" s="3099" t="s">
        <v>2472</v>
      </c>
      <c r="G40" s="3099"/>
    </row>
    <row r="41" spans="1:7" ht="19.5" customHeight="1">
      <c r="A41" s="3791" t="s">
        <v>2604</v>
      </c>
      <c r="B41" s="3784" t="s">
        <v>2628</v>
      </c>
      <c r="C41" s="3096" t="s">
        <v>2473</v>
      </c>
      <c r="D41" s="3097"/>
      <c r="E41" s="3098">
        <v>1</v>
      </c>
      <c r="F41" s="3099" t="s">
        <v>2474</v>
      </c>
      <c r="G41" s="3099"/>
    </row>
    <row r="42" spans="1:7" ht="19.5" customHeight="1">
      <c r="A42" s="3792"/>
      <c r="B42" s="3785"/>
      <c r="C42" s="3100" t="s">
        <v>2475</v>
      </c>
      <c r="D42" s="3101"/>
      <c r="E42" s="3102">
        <v>1</v>
      </c>
      <c r="F42" s="3099" t="s">
        <v>2476</v>
      </c>
      <c r="G42" s="3099"/>
    </row>
    <row r="43" spans="1:7" ht="19.5" customHeight="1">
      <c r="A43" s="3792"/>
      <c r="B43" s="3794"/>
      <c r="C43" s="3100" t="s">
        <v>2477</v>
      </c>
      <c r="D43" s="3101"/>
      <c r="E43" s="3102">
        <v>1.5</v>
      </c>
      <c r="F43" s="3099" t="s">
        <v>2478</v>
      </c>
      <c r="G43" s="3099"/>
    </row>
    <row r="44" spans="1:7" ht="19.5" customHeight="1">
      <c r="A44" s="3792"/>
      <c r="B44" s="3111" t="s">
        <v>2629</v>
      </c>
      <c r="C44" s="3100" t="s">
        <v>2630</v>
      </c>
      <c r="D44" s="3101"/>
      <c r="E44" s="3102">
        <v>2</v>
      </c>
      <c r="F44" s="3099" t="s">
        <v>2479</v>
      </c>
      <c r="G44" s="3099"/>
    </row>
    <row r="45" spans="1:7" ht="19.5" customHeight="1">
      <c r="A45" s="3792"/>
      <c r="B45" s="3790" t="s">
        <v>2631</v>
      </c>
      <c r="C45" s="3100" t="s">
        <v>2480</v>
      </c>
      <c r="D45" s="3101"/>
      <c r="E45" s="3102">
        <v>1</v>
      </c>
      <c r="F45" s="3099" t="s">
        <v>2481</v>
      </c>
      <c r="G45" s="3099"/>
    </row>
    <row r="46" spans="1:7" ht="19.5" customHeight="1">
      <c r="A46" s="3792"/>
      <c r="B46" s="3785"/>
      <c r="C46" s="3100" t="s">
        <v>2482</v>
      </c>
      <c r="D46" s="3101"/>
      <c r="E46" s="3102">
        <v>1</v>
      </c>
      <c r="F46" s="3099" t="s">
        <v>2483</v>
      </c>
      <c r="G46" s="3099"/>
    </row>
    <row r="47" spans="1:7" ht="19.5" customHeight="1">
      <c r="A47" s="3792"/>
      <c r="B47" s="3785"/>
      <c r="C47" s="3100" t="s">
        <v>2484</v>
      </c>
      <c r="D47" s="3101"/>
      <c r="E47" s="3102">
        <v>1</v>
      </c>
      <c r="F47" s="3099" t="s">
        <v>2485</v>
      </c>
      <c r="G47" s="3099"/>
    </row>
    <row r="48" spans="1:7" ht="19.5" customHeight="1">
      <c r="A48" s="3792"/>
      <c r="B48" s="3785"/>
      <c r="C48" s="3100" t="s">
        <v>2486</v>
      </c>
      <c r="D48" s="3101"/>
      <c r="E48" s="3102">
        <v>1</v>
      </c>
      <c r="F48" s="3099" t="s">
        <v>2487</v>
      </c>
      <c r="G48" s="3099"/>
    </row>
    <row r="49" spans="1:7" ht="19.5" customHeight="1">
      <c r="A49" s="3792"/>
      <c r="B49" s="3785"/>
      <c r="C49" s="3100" t="s">
        <v>2488</v>
      </c>
      <c r="D49" s="3101"/>
      <c r="E49" s="3102">
        <v>1</v>
      </c>
      <c r="F49" s="3099" t="s">
        <v>2489</v>
      </c>
      <c r="G49" s="3099"/>
    </row>
    <row r="50" spans="1:7" ht="19.5" customHeight="1">
      <c r="A50" s="3792"/>
      <c r="B50" s="3785"/>
      <c r="C50" s="3100" t="s">
        <v>2490</v>
      </c>
      <c r="D50" s="3101"/>
      <c r="E50" s="3102">
        <v>1</v>
      </c>
      <c r="F50" s="3099" t="s">
        <v>2491</v>
      </c>
      <c r="G50" s="3099"/>
    </row>
    <row r="51" spans="1:7" ht="19.5" customHeight="1" thickBot="1">
      <c r="A51" s="3793"/>
      <c r="B51" s="3786"/>
      <c r="C51" s="3103" t="s">
        <v>2492</v>
      </c>
      <c r="D51" s="3104"/>
      <c r="E51" s="3105">
        <v>1</v>
      </c>
      <c r="F51" s="3099" t="s">
        <v>2493</v>
      </c>
      <c r="G51" s="3099"/>
    </row>
    <row r="52" spans="1:7" ht="19.5" customHeight="1">
      <c r="A52" s="3112"/>
      <c r="B52" s="3112"/>
      <c r="C52" s="3112"/>
      <c r="D52" s="3112"/>
      <c r="E52" s="3112"/>
      <c r="F52" s="3112"/>
      <c r="G52" s="3112"/>
    </row>
    <row r="54" spans="1:7" ht="19.5" customHeight="1">
      <c r="A54" s="3113"/>
      <c r="B54" s="3085" t="s">
        <v>2632</v>
      </c>
      <c r="C54" s="3085" t="s">
        <v>2632</v>
      </c>
      <c r="D54" s="3085" t="s">
        <v>2632</v>
      </c>
      <c r="E54" s="3088" t="s">
        <v>2632</v>
      </c>
      <c r="F54" s="3088" t="s">
        <v>2633</v>
      </c>
      <c r="G54" s="3088" t="s">
        <v>2634</v>
      </c>
    </row>
    <row r="55" spans="1:7" ht="19.5" customHeight="1">
      <c r="A55" s="3114"/>
      <c r="B55" s="3088" t="s">
        <v>2601</v>
      </c>
      <c r="C55" s="3088" t="s">
        <v>2601</v>
      </c>
      <c r="D55" s="3088" t="s">
        <v>2601</v>
      </c>
      <c r="E55" s="3085" t="s">
        <v>2602</v>
      </c>
      <c r="F55" s="3085" t="s">
        <v>2604</v>
      </c>
      <c r="G55" s="3085" t="s">
        <v>2635</v>
      </c>
    </row>
    <row r="56" spans="1:7" ht="19.5" customHeight="1">
      <c r="A56" s="3115"/>
      <c r="B56" s="3085">
        <v>1</v>
      </c>
      <c r="C56" s="3085">
        <v>2</v>
      </c>
      <c r="D56" s="3085">
        <v>3</v>
      </c>
      <c r="E56" s="3116" t="s">
        <v>2636</v>
      </c>
      <c r="F56" s="3116" t="s">
        <v>2636</v>
      </c>
      <c r="G56" s="3116" t="s">
        <v>2636</v>
      </c>
    </row>
    <row r="57" spans="1:7" ht="19.5" customHeight="1">
      <c r="A57" s="3117" t="s">
        <v>2589</v>
      </c>
      <c r="B57" s="3085">
        <v>0.7</v>
      </c>
      <c r="C57" s="3085">
        <v>0.4</v>
      </c>
      <c r="D57" s="3085">
        <v>0.3</v>
      </c>
      <c r="E57" s="3116">
        <v>0.3</v>
      </c>
      <c r="F57" s="3085">
        <v>0.3</v>
      </c>
      <c r="G57" s="3085">
        <v>0.2</v>
      </c>
    </row>
    <row r="58" spans="1:7" ht="19.5" customHeight="1">
      <c r="A58" s="3117" t="s">
        <v>2590</v>
      </c>
      <c r="B58" s="3085">
        <v>0.7</v>
      </c>
      <c r="C58" s="3085">
        <v>0.4</v>
      </c>
      <c r="D58" s="3085">
        <v>0.3</v>
      </c>
      <c r="E58" s="3085">
        <v>0.3</v>
      </c>
      <c r="F58" s="3085">
        <v>0.3</v>
      </c>
      <c r="G58" s="3085">
        <v>0.2</v>
      </c>
    </row>
    <row r="59" spans="1:7" ht="19.5" customHeight="1">
      <c r="A59" s="3117" t="s">
        <v>2591</v>
      </c>
      <c r="B59" s="3085">
        <v>0.6</v>
      </c>
      <c r="C59" s="3085">
        <v>0.3</v>
      </c>
      <c r="D59" s="3085">
        <v>0.25</v>
      </c>
      <c r="E59" s="3085">
        <v>0.25</v>
      </c>
      <c r="F59" s="3085">
        <v>0.25</v>
      </c>
      <c r="G59" s="3085">
        <v>0.15</v>
      </c>
    </row>
    <row r="60" spans="1:7" ht="19.5" customHeight="1">
      <c r="A60" s="3117" t="s">
        <v>2592</v>
      </c>
      <c r="B60" s="3085">
        <v>0.6</v>
      </c>
      <c r="C60" s="3085">
        <v>0.3</v>
      </c>
      <c r="D60" s="3085">
        <v>0.25</v>
      </c>
      <c r="E60" s="3085">
        <v>0.25</v>
      </c>
      <c r="F60" s="3085">
        <v>0.25</v>
      </c>
      <c r="G60" s="3085">
        <v>0.15</v>
      </c>
    </row>
    <row r="61" spans="1:7" ht="19.5" customHeight="1">
      <c r="A61" s="3117" t="s">
        <v>2593</v>
      </c>
      <c r="B61" s="3085">
        <v>0.6</v>
      </c>
      <c r="C61" s="3085">
        <v>0.3</v>
      </c>
      <c r="D61" s="3085">
        <v>0.25</v>
      </c>
      <c r="E61" s="3085">
        <v>0.25</v>
      </c>
      <c r="F61" s="3085">
        <v>0.25</v>
      </c>
      <c r="G61" s="3085">
        <v>0.15</v>
      </c>
    </row>
    <row r="62" spans="1:7" ht="19.5" customHeight="1">
      <c r="A62" s="3117" t="s">
        <v>2594</v>
      </c>
      <c r="B62" s="3085">
        <v>0.6</v>
      </c>
      <c r="C62" s="3085">
        <v>0.3</v>
      </c>
      <c r="D62" s="3085">
        <v>0.25</v>
      </c>
      <c r="E62" s="3085">
        <v>0.25</v>
      </c>
      <c r="F62" s="3085">
        <v>0.25</v>
      </c>
      <c r="G62" s="3085">
        <v>0.15</v>
      </c>
    </row>
    <row r="63" spans="1:7" ht="19.5" customHeight="1">
      <c r="A63" s="3117" t="s">
        <v>2595</v>
      </c>
      <c r="B63" s="3085">
        <v>0.6</v>
      </c>
      <c r="C63" s="3085">
        <v>0.3</v>
      </c>
      <c r="D63" s="3085">
        <v>0.25</v>
      </c>
      <c r="E63" s="3085">
        <v>0.25</v>
      </c>
      <c r="F63" s="3085">
        <v>0.25</v>
      </c>
      <c r="G63" s="3085">
        <v>0.15</v>
      </c>
    </row>
    <row r="64" spans="1:7" ht="19.5" customHeight="1">
      <c r="A64" s="3117" t="s">
        <v>2596</v>
      </c>
      <c r="B64" s="3085">
        <v>0.5</v>
      </c>
      <c r="C64" s="3085">
        <v>0.2</v>
      </c>
      <c r="D64" s="3085">
        <v>0.2</v>
      </c>
      <c r="E64" s="3085">
        <v>0.2</v>
      </c>
      <c r="F64" s="3085">
        <v>0.2</v>
      </c>
      <c r="G64" s="3085">
        <v>0.1</v>
      </c>
    </row>
    <row r="65" spans="1:7" ht="19.5" customHeight="1">
      <c r="A65" s="3117" t="s">
        <v>2597</v>
      </c>
      <c r="B65" s="3085">
        <v>0.5</v>
      </c>
      <c r="C65" s="3085">
        <v>0.2</v>
      </c>
      <c r="D65" s="3085">
        <v>0.2</v>
      </c>
      <c r="E65" s="3085">
        <v>0.2</v>
      </c>
      <c r="F65" s="3085">
        <v>0.2</v>
      </c>
      <c r="G65" s="3085">
        <v>0.1</v>
      </c>
    </row>
    <row r="66" spans="1:7" ht="19.5" customHeight="1">
      <c r="A66" s="3117" t="s">
        <v>2598</v>
      </c>
      <c r="B66" s="3085">
        <v>0.5</v>
      </c>
      <c r="C66" s="3085">
        <v>0.2</v>
      </c>
      <c r="D66" s="3085">
        <v>0.2</v>
      </c>
      <c r="E66" s="3085">
        <v>0.2</v>
      </c>
      <c r="F66" s="3085">
        <v>0.2</v>
      </c>
      <c r="G66" s="3085">
        <v>0.1</v>
      </c>
    </row>
    <row r="67" spans="1:7" ht="19.5" customHeight="1">
      <c r="A67" s="3117" t="s">
        <v>2599</v>
      </c>
      <c r="B67" s="3085">
        <v>0.5</v>
      </c>
      <c r="C67" s="3085">
        <v>0.2</v>
      </c>
      <c r="D67" s="3085">
        <v>0.2</v>
      </c>
      <c r="E67" s="3085">
        <v>0.2</v>
      </c>
      <c r="F67" s="3085">
        <v>0.2</v>
      </c>
      <c r="G67" s="3085">
        <v>0.1</v>
      </c>
    </row>
    <row r="68" spans="1:7" ht="19.5" customHeight="1">
      <c r="A68" s="3117" t="s">
        <v>2600</v>
      </c>
      <c r="B68" s="3085">
        <v>0.5</v>
      </c>
      <c r="C68" s="3085">
        <v>0.2</v>
      </c>
      <c r="D68" s="3085">
        <v>0.2</v>
      </c>
      <c r="E68" s="3085">
        <v>0.2</v>
      </c>
      <c r="F68" s="3085">
        <v>0.2</v>
      </c>
      <c r="G68" s="3085">
        <v>0.1</v>
      </c>
    </row>
    <row r="70" spans="1:7" ht="19.5" customHeight="1">
      <c r="A70" s="3118"/>
      <c r="B70" s="3119"/>
      <c r="C70" s="3119"/>
      <c r="D70" s="3119" t="s">
        <v>2637</v>
      </c>
      <c r="E70" s="3119"/>
      <c r="F70" s="3119"/>
    </row>
    <row r="71" spans="1:7" ht="19.5" customHeight="1">
      <c r="A71" s="3111" t="s">
        <v>2638</v>
      </c>
      <c r="B71" s="3111" t="s">
        <v>2639</v>
      </c>
      <c r="C71" s="3111" t="s">
        <v>2640</v>
      </c>
      <c r="D71" s="3111" t="s">
        <v>2641</v>
      </c>
      <c r="E71" s="3111" t="s">
        <v>2642</v>
      </c>
      <c r="F71" s="3111" t="s">
        <v>2643</v>
      </c>
    </row>
    <row r="72" spans="1:7" ht="13.5">
      <c r="A72" s="3111"/>
      <c r="B72" s="3111"/>
      <c r="C72" s="3111" t="s">
        <v>2644</v>
      </c>
      <c r="D72" s="3111"/>
      <c r="E72" s="3111" t="s">
        <v>2615</v>
      </c>
      <c r="F72" s="3111" t="s">
        <v>2615</v>
      </c>
    </row>
    <row r="73" spans="1:7" ht="13.5">
      <c r="A73" s="3111">
        <v>1</v>
      </c>
      <c r="B73" s="3790" t="s">
        <v>2645</v>
      </c>
      <c r="C73" s="3085" t="s">
        <v>2646</v>
      </c>
      <c r="D73" s="3085" t="s">
        <v>2647</v>
      </c>
      <c r="E73" s="3111">
        <v>0.2</v>
      </c>
      <c r="F73" s="3111">
        <v>25</v>
      </c>
    </row>
    <row r="74" spans="1:7" ht="24">
      <c r="A74" s="3111">
        <v>2</v>
      </c>
      <c r="B74" s="3785"/>
      <c r="C74" s="3085" t="s">
        <v>2648</v>
      </c>
      <c r="D74" s="3085" t="s">
        <v>2649</v>
      </c>
      <c r="E74" s="3111">
        <v>0.2</v>
      </c>
      <c r="F74" s="3111">
        <v>25</v>
      </c>
    </row>
    <row r="75" spans="1:7" ht="24">
      <c r="A75" s="3111">
        <v>3</v>
      </c>
      <c r="B75" s="3785"/>
      <c r="C75" s="3085" t="s">
        <v>2650</v>
      </c>
      <c r="D75" s="3085" t="s">
        <v>2651</v>
      </c>
      <c r="E75" s="3111">
        <v>0.2</v>
      </c>
      <c r="F75" s="3111">
        <v>25</v>
      </c>
    </row>
    <row r="76" spans="1:7" ht="13.5">
      <c r="A76" s="3111">
        <v>4</v>
      </c>
      <c r="B76" s="3785"/>
      <c r="C76" s="3085" t="s">
        <v>2652</v>
      </c>
      <c r="D76" s="3085" t="s">
        <v>2653</v>
      </c>
      <c r="E76" s="3111">
        <v>0.15</v>
      </c>
      <c r="F76" s="3111">
        <v>20</v>
      </c>
    </row>
    <row r="77" spans="1:7" ht="24">
      <c r="A77" s="3111">
        <v>5</v>
      </c>
      <c r="B77" s="3785"/>
      <c r="C77" s="3085" t="s">
        <v>2654</v>
      </c>
      <c r="D77" s="3085" t="s">
        <v>2655</v>
      </c>
      <c r="E77" s="3111">
        <v>0.15</v>
      </c>
      <c r="F77" s="3111">
        <v>20</v>
      </c>
    </row>
    <row r="78" spans="1:7" ht="24">
      <c r="A78" s="3111">
        <v>6</v>
      </c>
      <c r="B78" s="3785"/>
      <c r="C78" s="3085" t="s">
        <v>2656</v>
      </c>
      <c r="D78" s="3085" t="s">
        <v>2657</v>
      </c>
      <c r="E78" s="3111">
        <v>0.15</v>
      </c>
      <c r="F78" s="3111">
        <v>20</v>
      </c>
    </row>
    <row r="79" spans="1:7" ht="24">
      <c r="A79" s="3111">
        <v>7</v>
      </c>
      <c r="B79" s="3785"/>
      <c r="C79" s="3085" t="s">
        <v>2658</v>
      </c>
      <c r="D79" s="3085" t="s">
        <v>2659</v>
      </c>
      <c r="E79" s="3111">
        <v>0.15</v>
      </c>
      <c r="F79" s="3111">
        <v>20</v>
      </c>
    </row>
    <row r="80" spans="1:7" ht="24">
      <c r="A80" s="3111">
        <v>8</v>
      </c>
      <c r="B80" s="3785"/>
      <c r="C80" s="3085" t="s">
        <v>2660</v>
      </c>
      <c r="D80" s="3085" t="s">
        <v>2661</v>
      </c>
      <c r="E80" s="3111">
        <v>0.1</v>
      </c>
      <c r="F80" s="3111">
        <v>15</v>
      </c>
    </row>
    <row r="81" spans="1:6" ht="24">
      <c r="A81" s="3111">
        <v>9</v>
      </c>
      <c r="B81" s="3785"/>
      <c r="C81" s="3085" t="s">
        <v>2662</v>
      </c>
      <c r="D81" s="3085" t="s">
        <v>2663</v>
      </c>
      <c r="E81" s="3111">
        <v>0.1</v>
      </c>
      <c r="F81" s="3111">
        <v>15</v>
      </c>
    </row>
    <row r="82" spans="1:6" ht="24">
      <c r="A82" s="3111">
        <v>10</v>
      </c>
      <c r="B82" s="3785"/>
      <c r="C82" s="3085" t="s">
        <v>2664</v>
      </c>
      <c r="D82" s="3085" t="s">
        <v>2665</v>
      </c>
      <c r="E82" s="3111">
        <v>0.1</v>
      </c>
      <c r="F82" s="3111">
        <v>15</v>
      </c>
    </row>
    <row r="83" spans="1:6" ht="24">
      <c r="A83" s="3111">
        <v>11</v>
      </c>
      <c r="B83" s="3785"/>
      <c r="C83" s="3085" t="s">
        <v>2666</v>
      </c>
      <c r="D83" s="3085" t="s">
        <v>2667</v>
      </c>
      <c r="E83" s="3111">
        <v>0.1</v>
      </c>
      <c r="F83" s="3111">
        <v>15</v>
      </c>
    </row>
    <row r="84" spans="1:6" ht="24">
      <c r="A84" s="3111">
        <v>12</v>
      </c>
      <c r="B84" s="3785"/>
      <c r="C84" s="3085" t="s">
        <v>2668</v>
      </c>
      <c r="D84" s="3085" t="s">
        <v>2669</v>
      </c>
      <c r="E84" s="3111">
        <v>0.1</v>
      </c>
      <c r="F84" s="3111">
        <v>15</v>
      </c>
    </row>
    <row r="85" spans="1:6" ht="13.5">
      <c r="A85" s="3111">
        <v>13</v>
      </c>
      <c r="B85" s="3785"/>
      <c r="C85" s="3085" t="s">
        <v>2670</v>
      </c>
      <c r="D85" s="3085" t="s">
        <v>2671</v>
      </c>
      <c r="E85" s="3111">
        <v>0.1</v>
      </c>
      <c r="F85" s="3111">
        <v>15</v>
      </c>
    </row>
    <row r="86" spans="1:6" ht="13.5">
      <c r="A86" s="3111">
        <v>14</v>
      </c>
      <c r="B86" s="3785"/>
      <c r="C86" s="3085" t="s">
        <v>2672</v>
      </c>
      <c r="D86" s="3085" t="s">
        <v>2673</v>
      </c>
      <c r="E86" s="3111">
        <v>0.1</v>
      </c>
      <c r="F86" s="3111">
        <v>15</v>
      </c>
    </row>
    <row r="87" spans="1:6" ht="13.5">
      <c r="A87" s="3111">
        <v>15</v>
      </c>
      <c r="B87" s="3785"/>
      <c r="C87" s="3085" t="s">
        <v>2674</v>
      </c>
      <c r="D87" s="3085" t="s">
        <v>2675</v>
      </c>
      <c r="E87" s="3111">
        <v>0.1</v>
      </c>
      <c r="F87" s="3111">
        <v>15</v>
      </c>
    </row>
    <row r="88" spans="1:6" ht="24">
      <c r="A88" s="3111">
        <v>16</v>
      </c>
      <c r="B88" s="3785"/>
      <c r="C88" s="3085" t="s">
        <v>2676</v>
      </c>
      <c r="D88" s="3085" t="s">
        <v>2677</v>
      </c>
      <c r="E88" s="3111">
        <v>0.1</v>
      </c>
      <c r="F88" s="3111">
        <v>15</v>
      </c>
    </row>
    <row r="89" spans="1:6" ht="24">
      <c r="A89" s="3111">
        <v>17</v>
      </c>
      <c r="B89" s="3794"/>
      <c r="C89" s="3085" t="s">
        <v>2678</v>
      </c>
      <c r="D89" s="3085" t="s">
        <v>2679</v>
      </c>
      <c r="E89" s="3111">
        <v>0.1</v>
      </c>
      <c r="F89" s="3111">
        <v>15</v>
      </c>
    </row>
    <row r="90" spans="1:6" ht="13.5">
      <c r="A90" s="3111">
        <v>18</v>
      </c>
      <c r="B90" s="3790" t="s">
        <v>2680</v>
      </c>
      <c r="C90" s="3085" t="s">
        <v>2681</v>
      </c>
      <c r="D90" s="3085" t="s">
        <v>2682</v>
      </c>
      <c r="E90" s="3111">
        <v>0.2</v>
      </c>
      <c r="F90" s="3111">
        <v>25</v>
      </c>
    </row>
    <row r="91" spans="1:6" ht="24">
      <c r="A91" s="3111">
        <v>19</v>
      </c>
      <c r="B91" s="3785"/>
      <c r="C91" s="3085" t="s">
        <v>2683</v>
      </c>
      <c r="D91" s="3085" t="s">
        <v>2684</v>
      </c>
      <c r="E91" s="3111">
        <v>0.2</v>
      </c>
      <c r="F91" s="3111">
        <v>25</v>
      </c>
    </row>
    <row r="92" spans="1:6" ht="13.5">
      <c r="A92" s="3111">
        <v>20</v>
      </c>
      <c r="B92" s="3785"/>
      <c r="C92" s="3085" t="s">
        <v>2685</v>
      </c>
      <c r="D92" s="3085" t="s">
        <v>2686</v>
      </c>
      <c r="E92" s="3111">
        <v>0.15</v>
      </c>
      <c r="F92" s="3111">
        <v>20</v>
      </c>
    </row>
    <row r="93" spans="1:6" ht="13.5">
      <c r="A93" s="3111">
        <v>21</v>
      </c>
      <c r="B93" s="3785"/>
      <c r="C93" s="3085" t="s">
        <v>2687</v>
      </c>
      <c r="D93" s="3085" t="s">
        <v>2688</v>
      </c>
      <c r="E93" s="3111">
        <v>0.15</v>
      </c>
      <c r="F93" s="3111">
        <v>20</v>
      </c>
    </row>
    <row r="94" spans="1:6" ht="13.5">
      <c r="A94" s="3111">
        <v>22</v>
      </c>
      <c r="B94" s="3785"/>
      <c r="C94" s="3085" t="s">
        <v>2689</v>
      </c>
      <c r="D94" s="3085" t="s">
        <v>2690</v>
      </c>
      <c r="E94" s="3111">
        <v>0.15</v>
      </c>
      <c r="F94" s="3111">
        <v>20</v>
      </c>
    </row>
    <row r="95" spans="1:6" ht="36">
      <c r="A95" s="3111">
        <v>23</v>
      </c>
      <c r="B95" s="3785"/>
      <c r="C95" s="3085" t="s">
        <v>2691</v>
      </c>
      <c r="D95" s="3085" t="s">
        <v>2692</v>
      </c>
      <c r="E95" s="3111">
        <v>0.15</v>
      </c>
      <c r="F95" s="3111">
        <v>20</v>
      </c>
    </row>
    <row r="96" spans="1:6" ht="13.5">
      <c r="A96" s="3111">
        <v>24</v>
      </c>
      <c r="B96" s="3785"/>
      <c r="C96" s="3085" t="s">
        <v>2693</v>
      </c>
      <c r="D96" s="3085" t="s">
        <v>2694</v>
      </c>
      <c r="E96" s="3111">
        <v>0.1</v>
      </c>
      <c r="F96" s="3111">
        <v>15</v>
      </c>
    </row>
    <row r="97" spans="1:6" ht="13.5">
      <c r="A97" s="3111">
        <v>25</v>
      </c>
      <c r="B97" s="3785"/>
      <c r="C97" s="3085" t="s">
        <v>2695</v>
      </c>
      <c r="D97" s="3085" t="s">
        <v>2696</v>
      </c>
      <c r="E97" s="3111">
        <v>0.1</v>
      </c>
      <c r="F97" s="3111">
        <v>15</v>
      </c>
    </row>
    <row r="98" spans="1:6" ht="24">
      <c r="A98" s="3111">
        <v>26</v>
      </c>
      <c r="B98" s="3785"/>
      <c r="C98" s="3085" t="s">
        <v>2697</v>
      </c>
      <c r="D98" s="3085" t="s">
        <v>2698</v>
      </c>
      <c r="E98" s="3111">
        <v>0.1</v>
      </c>
      <c r="F98" s="3111">
        <v>15</v>
      </c>
    </row>
    <row r="99" spans="1:6" ht="24">
      <c r="A99" s="3111">
        <v>27</v>
      </c>
      <c r="B99" s="3785"/>
      <c r="C99" s="3085" t="s">
        <v>2699</v>
      </c>
      <c r="D99" s="3085" t="s">
        <v>2700</v>
      </c>
      <c r="E99" s="3111">
        <v>0.1</v>
      </c>
      <c r="F99" s="3111">
        <v>15</v>
      </c>
    </row>
    <row r="100" spans="1:6" ht="13.5">
      <c r="A100" s="3111">
        <v>28</v>
      </c>
      <c r="B100" s="3785"/>
      <c r="C100" s="3085" t="s">
        <v>2701</v>
      </c>
      <c r="D100" s="3085" t="s">
        <v>2702</v>
      </c>
      <c r="E100" s="3111">
        <v>0.1</v>
      </c>
      <c r="F100" s="3111">
        <v>15</v>
      </c>
    </row>
    <row r="101" spans="1:6" ht="13.5">
      <c r="A101" s="3111">
        <v>29</v>
      </c>
      <c r="B101" s="3785"/>
      <c r="C101" s="3085" t="s">
        <v>2703</v>
      </c>
      <c r="D101" s="3085" t="s">
        <v>2704</v>
      </c>
      <c r="E101" s="3111">
        <v>0.1</v>
      </c>
      <c r="F101" s="3111">
        <v>15</v>
      </c>
    </row>
    <row r="102" spans="1:6" ht="13.5">
      <c r="A102" s="3111">
        <v>30</v>
      </c>
      <c r="B102" s="3785"/>
      <c r="C102" s="3085" t="s">
        <v>2705</v>
      </c>
      <c r="D102" s="3085" t="s">
        <v>2706</v>
      </c>
      <c r="E102" s="3111">
        <v>0.1</v>
      </c>
      <c r="F102" s="3111">
        <v>15</v>
      </c>
    </row>
    <row r="103" spans="1:6" ht="24">
      <c r="A103" s="3111">
        <v>31</v>
      </c>
      <c r="B103" s="3785"/>
      <c r="C103" s="3085" t="s">
        <v>2707</v>
      </c>
      <c r="D103" s="3085" t="s">
        <v>2708</v>
      </c>
      <c r="E103" s="3111">
        <v>0.1</v>
      </c>
      <c r="F103" s="3111">
        <v>15</v>
      </c>
    </row>
    <row r="104" spans="1:6" ht="24">
      <c r="A104" s="3111">
        <v>32</v>
      </c>
      <c r="B104" s="3785"/>
      <c r="C104" s="3085" t="s">
        <v>2709</v>
      </c>
      <c r="D104" s="3085" t="s">
        <v>2710</v>
      </c>
      <c r="E104" s="3111">
        <v>0.1</v>
      </c>
      <c r="F104" s="3111">
        <v>15</v>
      </c>
    </row>
    <row r="105" spans="1:6" ht="24">
      <c r="A105" s="3111">
        <v>33</v>
      </c>
      <c r="B105" s="3785"/>
      <c r="C105" s="3085" t="s">
        <v>2711</v>
      </c>
      <c r="D105" s="3085" t="s">
        <v>2712</v>
      </c>
      <c r="E105" s="3111">
        <v>0.1</v>
      </c>
      <c r="F105" s="3111">
        <v>15</v>
      </c>
    </row>
    <row r="106" spans="1:6" ht="24">
      <c r="A106" s="3111">
        <v>34</v>
      </c>
      <c r="B106" s="3794"/>
      <c r="C106" s="3085" t="s">
        <v>2713</v>
      </c>
      <c r="D106" s="3085" t="s">
        <v>2714</v>
      </c>
      <c r="E106" s="3111">
        <v>0.1</v>
      </c>
      <c r="F106" s="3111">
        <v>15</v>
      </c>
    </row>
    <row r="107" spans="1:6" ht="24">
      <c r="A107" s="3111">
        <v>35</v>
      </c>
      <c r="B107" s="3790" t="s">
        <v>2715</v>
      </c>
      <c r="C107" s="3111" t="s">
        <v>2716</v>
      </c>
      <c r="D107" s="3085" t="s">
        <v>2717</v>
      </c>
      <c r="E107" s="3111">
        <v>0.15</v>
      </c>
      <c r="F107" s="3111">
        <v>20</v>
      </c>
    </row>
    <row r="108" spans="1:6" ht="13.5">
      <c r="A108" s="3111">
        <v>36</v>
      </c>
      <c r="B108" s="3785"/>
      <c r="C108" s="3111" t="s">
        <v>2718</v>
      </c>
      <c r="D108" s="3085" t="s">
        <v>2719</v>
      </c>
      <c r="E108" s="3111">
        <v>0.15</v>
      </c>
      <c r="F108" s="3111">
        <v>20</v>
      </c>
    </row>
    <row r="109" spans="1:6" ht="13.5">
      <c r="A109" s="3111">
        <v>37</v>
      </c>
      <c r="B109" s="3785"/>
      <c r="C109" s="3111" t="s">
        <v>2720</v>
      </c>
      <c r="D109" s="3085" t="s">
        <v>2721</v>
      </c>
      <c r="E109" s="3111">
        <v>0.15</v>
      </c>
      <c r="F109" s="3111">
        <v>20</v>
      </c>
    </row>
    <row r="110" spans="1:6" ht="13.5">
      <c r="A110" s="3111">
        <v>38</v>
      </c>
      <c r="B110" s="3785"/>
      <c r="C110" s="3111" t="s">
        <v>2722</v>
      </c>
      <c r="D110" s="3085" t="s">
        <v>2723</v>
      </c>
      <c r="E110" s="3111">
        <v>0.1</v>
      </c>
      <c r="F110" s="3111">
        <v>15</v>
      </c>
    </row>
    <row r="111" spans="1:6" ht="24">
      <c r="A111" s="3111">
        <v>39</v>
      </c>
      <c r="B111" s="3785"/>
      <c r="C111" s="3111" t="s">
        <v>2724</v>
      </c>
      <c r="D111" s="3085" t="s">
        <v>2725</v>
      </c>
      <c r="E111" s="3111">
        <v>0.1</v>
      </c>
      <c r="F111" s="3111">
        <v>15</v>
      </c>
    </row>
    <row r="112" spans="1:6" ht="24">
      <c r="A112" s="3111">
        <v>40</v>
      </c>
      <c r="B112" s="3794"/>
      <c r="C112" s="3111" t="s">
        <v>2726</v>
      </c>
      <c r="D112" s="3085" t="s">
        <v>2727</v>
      </c>
      <c r="E112" s="3111">
        <v>0.1</v>
      </c>
      <c r="F112" s="3111">
        <v>15</v>
      </c>
    </row>
    <row r="113" spans="1:6" ht="13.5">
      <c r="A113" s="3111">
        <v>41</v>
      </c>
      <c r="B113" s="3795" t="s">
        <v>2728</v>
      </c>
      <c r="C113" s="3111" t="s">
        <v>2729</v>
      </c>
      <c r="D113" s="3085" t="s">
        <v>2730</v>
      </c>
      <c r="E113" s="3111">
        <v>0.1</v>
      </c>
      <c r="F113" s="3111">
        <v>15</v>
      </c>
    </row>
    <row r="114" spans="1:6" ht="13.5">
      <c r="A114" s="3111">
        <v>42</v>
      </c>
      <c r="B114" s="3795"/>
      <c r="C114" s="3111" t="s">
        <v>2731</v>
      </c>
      <c r="D114" s="3085" t="s">
        <v>2732</v>
      </c>
      <c r="E114" s="3111">
        <v>0.1</v>
      </c>
      <c r="F114" s="3111">
        <v>15</v>
      </c>
    </row>
    <row r="115" spans="1:6" ht="24">
      <c r="A115" s="3111">
        <v>43</v>
      </c>
      <c r="B115" s="3795"/>
      <c r="C115" s="3111" t="s">
        <v>2733</v>
      </c>
      <c r="D115" s="3085" t="s">
        <v>2734</v>
      </c>
      <c r="E115" s="3111">
        <v>0.1</v>
      </c>
      <c r="F115" s="3111">
        <v>15</v>
      </c>
    </row>
    <row r="116" spans="1:6" ht="13.5">
      <c r="A116" s="3111">
        <v>44</v>
      </c>
      <c r="B116" s="3790" t="s">
        <v>2735</v>
      </c>
      <c r="C116" s="3111" t="s">
        <v>2736</v>
      </c>
      <c r="D116" s="3085" t="s">
        <v>2737</v>
      </c>
      <c r="E116" s="3111">
        <v>0.1</v>
      </c>
      <c r="F116" s="3111">
        <v>15</v>
      </c>
    </row>
    <row r="117" spans="1:6" ht="24">
      <c r="A117" s="3111">
        <v>45</v>
      </c>
      <c r="B117" s="3794"/>
      <c r="C117" s="3085" t="s">
        <v>2738</v>
      </c>
      <c r="D117" s="3085" t="s">
        <v>2739</v>
      </c>
      <c r="E117" s="3111">
        <v>0.1</v>
      </c>
      <c r="F117" s="3111">
        <v>15</v>
      </c>
    </row>
    <row r="118" spans="1:6" ht="24">
      <c r="A118" s="3111">
        <v>46</v>
      </c>
      <c r="B118" s="3790" t="s">
        <v>2740</v>
      </c>
      <c r="C118" s="3111" t="s">
        <v>2741</v>
      </c>
      <c r="D118" s="3085" t="s">
        <v>2742</v>
      </c>
      <c r="E118" s="3111">
        <v>0.1</v>
      </c>
      <c r="F118" s="3111">
        <v>15</v>
      </c>
    </row>
    <row r="119" spans="1:6" ht="24">
      <c r="A119" s="3111">
        <v>47</v>
      </c>
      <c r="B119" s="3794"/>
      <c r="C119" s="3111" t="s">
        <v>2743</v>
      </c>
      <c r="D119" s="3085" t="s">
        <v>2744</v>
      </c>
      <c r="E119" s="3111">
        <v>0.1</v>
      </c>
      <c r="F119" s="3111">
        <v>15</v>
      </c>
    </row>
    <row r="120" spans="1:6" ht="13.5">
      <c r="A120" s="3111">
        <v>48</v>
      </c>
      <c r="B120" s="3790" t="s">
        <v>2745</v>
      </c>
      <c r="C120" s="3111" t="s">
        <v>2746</v>
      </c>
      <c r="D120" s="3085" t="s">
        <v>2747</v>
      </c>
      <c r="E120" s="3111">
        <v>0.1</v>
      </c>
      <c r="F120" s="3111">
        <v>15</v>
      </c>
    </row>
    <row r="121" spans="1:6" ht="13.5">
      <c r="A121" s="3111">
        <v>49</v>
      </c>
      <c r="B121" s="3794"/>
      <c r="C121" s="3111" t="s">
        <v>2748</v>
      </c>
      <c r="D121" s="3085" t="s">
        <v>2749</v>
      </c>
      <c r="E121" s="3111">
        <v>0.1</v>
      </c>
      <c r="F121" s="3111">
        <v>15</v>
      </c>
    </row>
    <row r="122" spans="1:6" ht="24">
      <c r="A122" s="3111">
        <v>50</v>
      </c>
      <c r="B122" s="3795" t="s">
        <v>2750</v>
      </c>
      <c r="C122" s="3111" t="s">
        <v>2751</v>
      </c>
      <c r="D122" s="3085" t="s">
        <v>2752</v>
      </c>
      <c r="E122" s="3111">
        <v>0.1</v>
      </c>
      <c r="F122" s="3111">
        <v>15</v>
      </c>
    </row>
    <row r="123" spans="1:6" ht="24">
      <c r="A123" s="3111">
        <v>51</v>
      </c>
      <c r="B123" s="3795"/>
      <c r="C123" s="3111" t="s">
        <v>2753</v>
      </c>
      <c r="D123" s="3085" t="s">
        <v>2754</v>
      </c>
      <c r="E123" s="3111">
        <v>0.1</v>
      </c>
      <c r="F123" s="3111">
        <v>15</v>
      </c>
    </row>
    <row r="124" spans="1:6" ht="24">
      <c r="A124" s="3111">
        <v>52</v>
      </c>
      <c r="B124" s="3795" t="s">
        <v>2755</v>
      </c>
      <c r="C124" s="3111" t="s">
        <v>2756</v>
      </c>
      <c r="D124" s="3085" t="s">
        <v>2757</v>
      </c>
      <c r="E124" s="3111">
        <v>0.1</v>
      </c>
      <c r="F124" s="3111">
        <v>15</v>
      </c>
    </row>
    <row r="125" spans="1:6" ht="24">
      <c r="A125" s="3111">
        <v>53</v>
      </c>
      <c r="B125" s="3795"/>
      <c r="C125" s="3111" t="s">
        <v>2758</v>
      </c>
      <c r="D125" s="3085" t="s">
        <v>2759</v>
      </c>
      <c r="E125" s="3111">
        <v>0.1</v>
      </c>
      <c r="F125" s="3111">
        <v>15</v>
      </c>
    </row>
    <row r="126" spans="1:6" ht="13.5">
      <c r="A126" s="3111">
        <v>54</v>
      </c>
      <c r="B126" s="3111" t="s">
        <v>2760</v>
      </c>
      <c r="C126" s="3111" t="s">
        <v>2761</v>
      </c>
      <c r="D126" s="3085" t="s">
        <v>2762</v>
      </c>
      <c r="E126" s="3111">
        <v>0.1</v>
      </c>
      <c r="F126" s="3111">
        <v>15</v>
      </c>
    </row>
    <row r="127" spans="1:6" ht="13.5">
      <c r="A127" s="3111">
        <v>55</v>
      </c>
      <c r="B127" s="3795" t="s">
        <v>2763</v>
      </c>
      <c r="C127" s="3111" t="s">
        <v>2764</v>
      </c>
      <c r="D127" s="3085" t="s">
        <v>2765</v>
      </c>
      <c r="E127" s="3111">
        <v>0.1</v>
      </c>
      <c r="F127" s="3111">
        <v>15</v>
      </c>
    </row>
    <row r="128" spans="1:6" ht="13.5">
      <c r="A128" s="3111">
        <v>56</v>
      </c>
      <c r="B128" s="3795"/>
      <c r="C128" s="3111" t="s">
        <v>2766</v>
      </c>
      <c r="D128" s="3085" t="s">
        <v>2767</v>
      </c>
      <c r="E128" s="3111">
        <v>0.1</v>
      </c>
      <c r="F128" s="3111">
        <v>15</v>
      </c>
    </row>
    <row r="129" spans="1:6" ht="24">
      <c r="A129" s="3111">
        <v>57</v>
      </c>
      <c r="B129" s="3795"/>
      <c r="C129" s="3111" t="s">
        <v>2768</v>
      </c>
      <c r="D129" s="3085" t="s">
        <v>2769</v>
      </c>
      <c r="E129" s="3111">
        <v>0.1</v>
      </c>
      <c r="F129" s="3111">
        <v>15</v>
      </c>
    </row>
    <row r="130" spans="1:6" ht="24">
      <c r="A130" s="3111">
        <v>58</v>
      </c>
      <c r="B130" s="3795" t="s">
        <v>2770</v>
      </c>
      <c r="C130" s="3111" t="s">
        <v>2771</v>
      </c>
      <c r="D130" s="3085" t="s">
        <v>2772</v>
      </c>
      <c r="E130" s="3111">
        <v>0.1</v>
      </c>
      <c r="F130" s="3111">
        <v>15</v>
      </c>
    </row>
    <row r="131" spans="1:6" ht="13.5">
      <c r="A131" s="3111">
        <v>59</v>
      </c>
      <c r="B131" s="3795"/>
      <c r="C131" s="3111" t="s">
        <v>2773</v>
      </c>
      <c r="D131" s="3085" t="s">
        <v>2774</v>
      </c>
      <c r="E131" s="3111">
        <v>0.1</v>
      </c>
      <c r="F131" s="3111">
        <v>15</v>
      </c>
    </row>
    <row r="132" spans="1:6" ht="13.5">
      <c r="A132" s="3111">
        <v>60</v>
      </c>
      <c r="B132" s="3790" t="s">
        <v>2775</v>
      </c>
      <c r="C132" s="3111" t="s">
        <v>2776</v>
      </c>
      <c r="D132" s="3085" t="s">
        <v>2777</v>
      </c>
      <c r="E132" s="3111">
        <v>0.1</v>
      </c>
      <c r="F132" s="3111">
        <v>15</v>
      </c>
    </row>
    <row r="133" spans="1:6" ht="13.5">
      <c r="A133" s="3111">
        <v>61</v>
      </c>
      <c r="B133" s="3794"/>
      <c r="C133" s="3111" t="s">
        <v>2778</v>
      </c>
      <c r="D133" s="3085" t="s">
        <v>2779</v>
      </c>
      <c r="E133" s="3111">
        <v>0.1</v>
      </c>
      <c r="F133" s="3111">
        <v>15</v>
      </c>
    </row>
    <row r="134" spans="1:6" ht="24">
      <c r="A134" s="3111">
        <v>62</v>
      </c>
      <c r="B134" s="3111" t="s">
        <v>2780</v>
      </c>
      <c r="C134" s="3111" t="s">
        <v>2781</v>
      </c>
      <c r="D134" s="3085" t="s">
        <v>2782</v>
      </c>
      <c r="E134" s="3111">
        <v>0.1</v>
      </c>
      <c r="F134" s="3111">
        <v>15</v>
      </c>
    </row>
    <row r="135" spans="1:6" ht="13.5">
      <c r="A135" s="3111">
        <v>63</v>
      </c>
      <c r="B135" s="3795" t="s">
        <v>2783</v>
      </c>
      <c r="C135" s="3111" t="s">
        <v>2784</v>
      </c>
      <c r="D135" s="3085" t="s">
        <v>2785</v>
      </c>
      <c r="E135" s="3111">
        <v>0.1</v>
      </c>
      <c r="F135" s="3111">
        <v>15</v>
      </c>
    </row>
    <row r="136" spans="1:6" ht="13.5">
      <c r="A136" s="3111">
        <v>64</v>
      </c>
      <c r="B136" s="3795"/>
      <c r="C136" s="3111" t="s">
        <v>2786</v>
      </c>
      <c r="D136" s="3085" t="s">
        <v>2787</v>
      </c>
      <c r="E136" s="3111">
        <v>0.1</v>
      </c>
      <c r="F136" s="3111">
        <v>15</v>
      </c>
    </row>
    <row r="137" spans="1:6" ht="13.5">
      <c r="A137" s="3111">
        <v>65</v>
      </c>
      <c r="B137" s="3111" t="s">
        <v>2788</v>
      </c>
      <c r="C137" s="3111" t="s">
        <v>2789</v>
      </c>
      <c r="D137" s="3085" t="s">
        <v>2790</v>
      </c>
      <c r="E137" s="3111">
        <v>0.1</v>
      </c>
      <c r="F137" s="3111">
        <v>15</v>
      </c>
    </row>
    <row r="138" spans="1:6" ht="13.5">
      <c r="A138" s="3111"/>
      <c r="B138" s="3111"/>
      <c r="C138" s="3111"/>
      <c r="D138" s="3111"/>
      <c r="E138" s="3111" t="s">
        <v>2791</v>
      </c>
      <c r="F138" s="3111"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8"/>
  </cols>
  <sheetData>
    <row r="1" spans="1:20" ht="15" thickBot="1">
      <c r="A1" s="3120" t="s">
        <v>2792</v>
      </c>
      <c r="B1" s="3120"/>
      <c r="C1" s="3120"/>
      <c r="D1" s="3120"/>
      <c r="E1" s="3120"/>
      <c r="F1" s="3120"/>
      <c r="G1" s="3120"/>
      <c r="H1" s="3120"/>
      <c r="I1" s="3120"/>
      <c r="J1" s="3120"/>
      <c r="K1" s="3120"/>
      <c r="L1" s="3120"/>
      <c r="M1" s="3120"/>
      <c r="N1" s="747"/>
    </row>
    <row r="2" spans="1:20">
      <c r="A2" s="3121" t="s">
        <v>2793</v>
      </c>
      <c r="B2" s="3122" t="s">
        <v>2589</v>
      </c>
      <c r="C2" s="3122" t="s">
        <v>2590</v>
      </c>
      <c r="D2" s="3122" t="s">
        <v>2591</v>
      </c>
      <c r="E2" s="3122" t="s">
        <v>2592</v>
      </c>
      <c r="F2" s="3122" t="s">
        <v>2593</v>
      </c>
      <c r="G2" s="3122" t="s">
        <v>2594</v>
      </c>
      <c r="H2" s="3123" t="s">
        <v>2595</v>
      </c>
      <c r="I2" s="3123" t="s">
        <v>2596</v>
      </c>
      <c r="J2" s="3124" t="s">
        <v>2597</v>
      </c>
      <c r="K2" s="3124" t="s">
        <v>2598</v>
      </c>
      <c r="L2" s="3124" t="s">
        <v>2599</v>
      </c>
      <c r="M2" s="3125" t="s">
        <v>2600</v>
      </c>
      <c r="Q2" s="3135" t="s">
        <v>2798</v>
      </c>
      <c r="R2" s="3135" t="s">
        <v>2799</v>
      </c>
      <c r="S2" s="3135" t="s">
        <v>2800</v>
      </c>
      <c r="T2" s="3135" t="s">
        <v>2801</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9"/>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9"/>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9"/>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2794</v>
      </c>
      <c r="B93" s="3120"/>
      <c r="C93" s="3120"/>
      <c r="D93" s="3120"/>
      <c r="E93" s="3120"/>
      <c r="F93" s="3120"/>
      <c r="G93" s="3120"/>
      <c r="H93" s="3120"/>
      <c r="I93" s="3120"/>
      <c r="J93" s="3120"/>
      <c r="K93" s="3120"/>
      <c r="L93" s="3120"/>
      <c r="M93" s="3120"/>
    </row>
    <row r="94" spans="1:20">
      <c r="A94" s="3121" t="s">
        <v>2793</v>
      </c>
      <c r="B94" s="3122" t="s">
        <v>2589</v>
      </c>
      <c r="C94" s="3122" t="s">
        <v>2590</v>
      </c>
      <c r="D94" s="3122" t="s">
        <v>2591</v>
      </c>
      <c r="E94" s="3122" t="s">
        <v>2592</v>
      </c>
      <c r="F94" s="3122" t="s">
        <v>2593</v>
      </c>
      <c r="G94" s="3122" t="s">
        <v>2594</v>
      </c>
      <c r="H94" s="3123" t="s">
        <v>2595</v>
      </c>
      <c r="I94" s="3123" t="s">
        <v>2596</v>
      </c>
      <c r="J94" s="3124" t="s">
        <v>2597</v>
      </c>
      <c r="K94" s="3124" t="s">
        <v>2598</v>
      </c>
      <c r="L94" s="3124" t="s">
        <v>2599</v>
      </c>
      <c r="M94" s="3125" t="s">
        <v>2600</v>
      </c>
      <c r="N94" s="748">
        <f>SUMPRODUCT((A95:A184=ROUNDDOWN(基准地价修正!G3,1))*(B94:M94=基准地价修正!G2)*(B95:M184))</f>
        <v>0</v>
      </c>
      <c r="Q94" s="3135" t="s">
        <v>2798</v>
      </c>
      <c r="R94" s="3135" t="s">
        <v>2799</v>
      </c>
      <c r="S94" s="3135" t="s">
        <v>2800</v>
      </c>
      <c r="T94" s="3135" t="s">
        <v>2801</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7"/>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7"/>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2795</v>
      </c>
      <c r="B185" s="3120"/>
      <c r="C185" s="3120"/>
      <c r="D185" s="3120"/>
      <c r="E185" s="3120"/>
      <c r="F185" s="3120"/>
      <c r="G185" s="3120"/>
      <c r="H185" s="3120"/>
      <c r="I185" s="3120"/>
      <c r="J185" s="3120"/>
      <c r="K185" s="3120"/>
      <c r="L185" s="3120"/>
      <c r="M185" s="3120"/>
    </row>
    <row r="186" spans="1:20">
      <c r="A186" s="3121" t="s">
        <v>2793</v>
      </c>
      <c r="B186" s="3122" t="s">
        <v>2589</v>
      </c>
      <c r="C186" s="3122" t="s">
        <v>2590</v>
      </c>
      <c r="D186" s="3122" t="s">
        <v>2591</v>
      </c>
      <c r="E186" s="3122" t="s">
        <v>2592</v>
      </c>
      <c r="F186" s="3122" t="s">
        <v>2593</v>
      </c>
      <c r="G186" s="3122" t="s">
        <v>2594</v>
      </c>
      <c r="H186" s="3123" t="s">
        <v>2595</v>
      </c>
      <c r="I186" s="3123" t="s">
        <v>2596</v>
      </c>
      <c r="J186" s="3124" t="s">
        <v>2597</v>
      </c>
      <c r="K186" s="3124" t="s">
        <v>2598</v>
      </c>
      <c r="L186" s="3124" t="s">
        <v>2599</v>
      </c>
      <c r="M186" s="3125" t="s">
        <v>2600</v>
      </c>
      <c r="Q186" s="3135" t="s">
        <v>2798</v>
      </c>
      <c r="R186" s="3135" t="s">
        <v>2799</v>
      </c>
      <c r="S186" s="3135" t="s">
        <v>2800</v>
      </c>
      <c r="T186" s="3135" t="s">
        <v>2801</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2796</v>
      </c>
      <c r="B277" s="3120"/>
      <c r="C277" s="3120"/>
      <c r="D277" s="3120"/>
      <c r="E277" s="3120"/>
      <c r="F277" s="3120"/>
      <c r="G277" s="3120"/>
      <c r="H277" s="3120"/>
      <c r="I277" s="3120"/>
      <c r="J277" s="3120"/>
      <c r="K277" s="3120"/>
      <c r="L277" s="3120"/>
      <c r="M277" s="3120"/>
    </row>
    <row r="278" spans="1:21">
      <c r="A278" s="3121" t="s">
        <v>2793</v>
      </c>
      <c r="B278" s="3122" t="s">
        <v>2589</v>
      </c>
      <c r="C278" s="3122" t="s">
        <v>2590</v>
      </c>
      <c r="D278" s="3122" t="s">
        <v>2591</v>
      </c>
      <c r="E278" s="3122" t="s">
        <v>2592</v>
      </c>
      <c r="F278" s="3122" t="s">
        <v>2593</v>
      </c>
      <c r="G278" s="3122" t="s">
        <v>2594</v>
      </c>
      <c r="H278" s="3123" t="s">
        <v>2595</v>
      </c>
      <c r="I278" s="3123" t="s">
        <v>2596</v>
      </c>
      <c r="J278" s="3124" t="s">
        <v>2597</v>
      </c>
      <c r="K278" s="3124" t="s">
        <v>2598</v>
      </c>
      <c r="L278" s="3124" t="s">
        <v>2599</v>
      </c>
      <c r="M278" s="3125" t="s">
        <v>2600</v>
      </c>
      <c r="Q278" s="3135" t="s">
        <v>2798</v>
      </c>
      <c r="R278" s="3135" t="s">
        <v>2799</v>
      </c>
      <c r="S278" s="3135" t="s">
        <v>2802</v>
      </c>
      <c r="T278" s="3135" t="s">
        <v>2803</v>
      </c>
      <c r="U278" s="3135" t="s">
        <v>2801</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2797</v>
      </c>
      <c r="B369" s="3133"/>
      <c r="C369" s="3133"/>
      <c r="D369" s="3133"/>
      <c r="E369" s="3133"/>
      <c r="F369" s="3133"/>
      <c r="G369" s="3133"/>
      <c r="H369" s="3133"/>
      <c r="I369" s="3133"/>
      <c r="J369" s="3133"/>
      <c r="K369" s="3133"/>
      <c r="L369" s="3133"/>
      <c r="M369" s="3133"/>
    </row>
    <row r="370" spans="1:20">
      <c r="A370" s="3121" t="s">
        <v>2793</v>
      </c>
      <c r="B370" s="3122" t="s">
        <v>2589</v>
      </c>
      <c r="C370" s="3122" t="s">
        <v>2590</v>
      </c>
      <c r="D370" s="3122" t="s">
        <v>2591</v>
      </c>
      <c r="E370" s="3122" t="s">
        <v>2592</v>
      </c>
      <c r="F370" s="3122" t="s">
        <v>2593</v>
      </c>
      <c r="G370" s="3122" t="s">
        <v>2594</v>
      </c>
      <c r="H370" s="3123" t="s">
        <v>2595</v>
      </c>
      <c r="I370" s="3123" t="s">
        <v>2596</v>
      </c>
      <c r="J370" s="3124" t="s">
        <v>2597</v>
      </c>
      <c r="K370" s="3124" t="s">
        <v>2598</v>
      </c>
      <c r="L370" s="3124" t="s">
        <v>2599</v>
      </c>
      <c r="M370" s="3125" t="s">
        <v>2600</v>
      </c>
      <c r="N370" s="748">
        <f>SUMPRODUCT((A371:A460=ROUNDDOWN(基准地价修正!G3,1))*(B370:M370=基准地价修正!G2)*(B371:M460))</f>
        <v>0</v>
      </c>
      <c r="Q370" s="3135" t="s">
        <v>2798</v>
      </c>
      <c r="R370" s="3135" t="s">
        <v>2799</v>
      </c>
      <c r="S370" s="3135" t="s">
        <v>2800</v>
      </c>
      <c r="T370" s="3135" t="s">
        <v>2801</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29104</v>
      </c>
      <c r="C2" s="2" t="s">
        <v>106</v>
      </c>
      <c r="D2" s="199"/>
      <c r="E2" s="199"/>
      <c r="F2" s="199"/>
      <c r="G2" s="199"/>
    </row>
    <row r="3" spans="1:7" s="200" customFormat="1" ht="18" customHeight="1" thickBot="1">
      <c r="A3" s="203" t="s">
        <v>58</v>
      </c>
      <c r="B3" s="204">
        <f ca="1">ROUND(B2*10000/'数据-汇总表'!E3,0)</f>
        <v>84220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69</v>
      </c>
      <c r="D10" s="843">
        <f>'数据-汇总表'!E6</f>
        <v>3455.7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69</v>
      </c>
      <c r="D19" s="847">
        <f>'数据-汇总表'!E3</f>
        <v>3455.7</v>
      </c>
      <c r="E19" s="211">
        <f>'数据-取费表'!B31</f>
        <v>200</v>
      </c>
      <c r="F19" s="231"/>
      <c r="G19" s="1" t="s">
        <v>436</v>
      </c>
    </row>
    <row r="20" spans="1:7" s="214" customFormat="1" ht="13.5" customHeight="1">
      <c r="A20" s="775" t="s">
        <v>419</v>
      </c>
      <c r="B20" s="210" t="s">
        <v>77</v>
      </c>
      <c r="C20" s="232">
        <f>ROUND((C5+C19)*F20,0)</f>
        <v>310</v>
      </c>
      <c r="D20" s="232"/>
      <c r="E20" s="232"/>
      <c r="F20" s="233">
        <f>'数据-取费表'!B37</f>
        <v>1.4999999999999999E-2</v>
      </c>
      <c r="G20" s="1065" t="s">
        <v>430</v>
      </c>
    </row>
    <row r="21" spans="1:7" s="214" customFormat="1" ht="13.5" customHeight="1">
      <c r="A21" s="775" t="s">
        <v>421</v>
      </c>
      <c r="B21" s="210" t="s">
        <v>78</v>
      </c>
      <c r="C21" s="235">
        <f>F21</f>
        <v>1.4999999999999999E-2</v>
      </c>
      <c r="D21" s="236" t="s">
        <v>99</v>
      </c>
      <c r="E21" s="232"/>
      <c r="F21" s="233">
        <f>'数据-取费表'!B38</f>
        <v>1.4999999999999999E-2</v>
      </c>
      <c r="G21" s="234" t="s">
        <v>79</v>
      </c>
    </row>
    <row r="22" spans="1:7" s="214" customFormat="1" ht="13.5" customHeight="1">
      <c r="A22" s="775" t="s">
        <v>341</v>
      </c>
      <c r="B22" s="210" t="s">
        <v>80</v>
      </c>
      <c r="C22" s="1102">
        <f ca="1">ROUND(SUM(C23:C25),0)</f>
        <v>1765</v>
      </c>
      <c r="D22" s="235">
        <f ca="1">C26</f>
        <v>5.9999999999999995E-4</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1746</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6</v>
      </c>
      <c r="D24" s="238"/>
      <c r="E24" s="238"/>
      <c r="F24" s="239"/>
      <c r="G24" s="240" t="s">
        <v>82</v>
      </c>
    </row>
    <row r="25" spans="1:7" s="214" customFormat="1" ht="24">
      <c r="A25" s="778" t="s">
        <v>348</v>
      </c>
      <c r="B25" s="215" t="s">
        <v>420</v>
      </c>
      <c r="C25" s="1103">
        <f ca="1">ROUND(IF('数据-取费表'!B22&lt;=1,C20*F22*'数据-取费表'!B23/2,C20*(POWER((1+F22),'数据-取费表'!B23/2)-1)),0)</f>
        <v>13</v>
      </c>
      <c r="D25" s="238"/>
      <c r="E25" s="241"/>
      <c r="F25" s="239"/>
      <c r="G25" s="242" t="s">
        <v>83</v>
      </c>
    </row>
    <row r="26" spans="1:7" s="214" customFormat="1">
      <c r="A26" s="778" t="s">
        <v>350</v>
      </c>
      <c r="B26" s="215" t="s">
        <v>422</v>
      </c>
      <c r="C26" s="238">
        <f ca="1">ROUND(IF('数据-取费表'!B22&lt;=1,F21*F22*'数据-取费表'!B23/2,F21*(POWER((1+F22),'数据-取费表'!B23/2)-1)),4)</f>
        <v>5.9999999999999995E-4</v>
      </c>
      <c r="D26" s="238"/>
      <c r="E26" s="241"/>
      <c r="F26" s="239"/>
      <c r="G26" s="243"/>
    </row>
    <row r="27" spans="1:7" s="214" customFormat="1" ht="24.75">
      <c r="A27" s="775" t="s">
        <v>342</v>
      </c>
      <c r="B27" s="244" t="s">
        <v>85</v>
      </c>
      <c r="C27" s="245">
        <f>C28</f>
        <v>3148</v>
      </c>
      <c r="D27" s="235">
        <f>C29</f>
        <v>2.3E-3</v>
      </c>
      <c r="E27" s="236" t="s">
        <v>99</v>
      </c>
      <c r="F27" s="246">
        <f>'数据-取费表'!Q16</f>
        <v>0.15</v>
      </c>
      <c r="G27" s="247" t="s">
        <v>431</v>
      </c>
    </row>
    <row r="28" spans="1:7" s="214" customFormat="1" ht="13.5" customHeight="1">
      <c r="A28" s="778" t="s">
        <v>349</v>
      </c>
      <c r="B28" s="248" t="s">
        <v>424</v>
      </c>
      <c r="C28" s="249">
        <f>ROUND((C5+C19+C20)*F27*'数据-取费表'!B21/'数据-取费表'!B20,0)</f>
        <v>3148</v>
      </c>
      <c r="D28" s="235"/>
      <c r="E28" s="236"/>
      <c r="F28" s="246"/>
      <c r="G28" s="247"/>
    </row>
    <row r="29" spans="1:7" s="214" customFormat="1" ht="13.5" customHeight="1">
      <c r="A29" s="778" t="s">
        <v>347</v>
      </c>
      <c r="B29" s="248" t="s">
        <v>425</v>
      </c>
      <c r="C29" s="238">
        <f>ROUND(C21*F27*'数据-取费表'!B21/'数据-取费表'!B20,4)</f>
        <v>2.3E-3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1332</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1209</v>
      </c>
      <c r="D34" s="217"/>
      <c r="E34" s="220"/>
      <c r="F34" s="257">
        <f>IF('数据-取费表'!B24=0,1,'数据-取费表'!N16)</f>
        <v>1</v>
      </c>
      <c r="G34" s="219" t="s">
        <v>89</v>
      </c>
    </row>
    <row r="35" spans="1:7" ht="13.5" customHeight="1">
      <c r="A35" s="778" t="s">
        <v>351</v>
      </c>
      <c r="B35" s="215" t="s">
        <v>33</v>
      </c>
      <c r="C35" s="220">
        <f>ROUND(C34*F35,0)</f>
        <v>36</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69</v>
      </c>
      <c r="D37" s="217">
        <f>'数据-汇总表'!E3</f>
        <v>3455.7</v>
      </c>
      <c r="E37" s="249">
        <f>'数据-取费表'!B35</f>
        <v>200</v>
      </c>
      <c r="F37" s="259"/>
      <c r="G37" s="261" t="s">
        <v>92</v>
      </c>
    </row>
    <row r="38" spans="1:7" ht="13.5" customHeight="1">
      <c r="A38" s="778" t="s">
        <v>354</v>
      </c>
      <c r="B38" s="215" t="s">
        <v>36</v>
      </c>
      <c r="C38" s="220">
        <f>ROUND(C34*F38,0)</f>
        <v>18</v>
      </c>
      <c r="D38" s="220"/>
      <c r="E38" s="220"/>
      <c r="F38" s="259">
        <f>'数据-取费表'!B36</f>
        <v>1.4999999999999999E-2</v>
      </c>
      <c r="G38" s="219" t="s">
        <v>90</v>
      </c>
    </row>
    <row r="39" spans="1:7" s="214" customFormat="1" ht="13.5" customHeight="1">
      <c r="A39" s="775" t="s">
        <v>338</v>
      </c>
      <c r="B39" s="210" t="s">
        <v>77</v>
      </c>
      <c r="C39" s="232">
        <f>ROUND(C33*F20,0)</f>
        <v>20</v>
      </c>
      <c r="D39" s="232"/>
      <c r="E39" s="232"/>
      <c r="F39" s="233"/>
      <c r="G39" s="1065" t="s">
        <v>433</v>
      </c>
    </row>
    <row r="40" spans="1:7" s="214" customFormat="1" ht="13.5" customHeight="1">
      <c r="A40" s="775" t="s">
        <v>339</v>
      </c>
      <c r="B40" s="210" t="s">
        <v>78</v>
      </c>
      <c r="C40" s="262">
        <f>F21</f>
        <v>1.4999999999999999E-2</v>
      </c>
      <c r="D40" s="236" t="s">
        <v>102</v>
      </c>
      <c r="E40" s="232"/>
      <c r="F40" s="233"/>
      <c r="G40" s="234" t="s">
        <v>93</v>
      </c>
    </row>
    <row r="41" spans="1:7" s="214" customFormat="1" ht="13.5" customHeight="1">
      <c r="A41" s="775" t="s">
        <v>340</v>
      </c>
      <c r="B41" s="210" t="s">
        <v>80</v>
      </c>
      <c r="C41" s="232">
        <f ca="1">ROUND(SUM(C42:C43),0)</f>
        <v>56</v>
      </c>
      <c r="D41" s="235">
        <f ca="1">C44</f>
        <v>5.9999999999999995E-4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55</v>
      </c>
      <c r="D42" s="238"/>
      <c r="E42" s="238"/>
      <c r="F42" s="239"/>
      <c r="G42" s="3670" t="s">
        <v>94</v>
      </c>
    </row>
    <row r="43" spans="1:7" ht="13.5" customHeight="1">
      <c r="A43" s="778" t="s">
        <v>347</v>
      </c>
      <c r="B43" s="215" t="s">
        <v>426</v>
      </c>
      <c r="C43" s="238">
        <f ca="1">ROUND(IF('数据-取费表'!B22&lt;=1,C39*F22*'数据-取费表'!B21/2,C39*(POWER((1+F22),'数据-取费表'!B21/2)-1)),0)</f>
        <v>1</v>
      </c>
      <c r="D43" s="238"/>
      <c r="E43" s="238"/>
      <c r="F43" s="239"/>
      <c r="G43" s="3671"/>
    </row>
    <row r="44" spans="1:7" ht="13.5" customHeight="1">
      <c r="A44" s="778" t="s">
        <v>348</v>
      </c>
      <c r="B44" s="215" t="s">
        <v>428</v>
      </c>
      <c r="C44" s="238">
        <f ca="1">ROUND(IF('数据-取费表'!B22&lt;=1,C40*F22*'数据-取费表'!B21/2,C40*(POWER((1+F22),'数据-取费表'!B21/2)-1)),4)</f>
        <v>5.9999999999999995E-4</v>
      </c>
      <c r="D44" s="238"/>
      <c r="E44" s="238"/>
      <c r="F44" s="239"/>
      <c r="G44" s="3672"/>
    </row>
    <row r="45" spans="1:7" s="214" customFormat="1" ht="13.5" customHeight="1">
      <c r="A45" s="775" t="s">
        <v>341</v>
      </c>
      <c r="B45" s="244" t="s">
        <v>85</v>
      </c>
      <c r="C45" s="245">
        <f>C46</f>
        <v>203</v>
      </c>
      <c r="D45" s="235">
        <f>C47</f>
        <v>2.3E-3</v>
      </c>
      <c r="E45" s="236" t="s">
        <v>102</v>
      </c>
      <c r="F45" s="246"/>
      <c r="G45" s="247" t="s">
        <v>434</v>
      </c>
    </row>
    <row r="46" spans="1:7" s="214" customFormat="1" ht="13.5" customHeight="1">
      <c r="A46" s="778" t="s">
        <v>349</v>
      </c>
      <c r="B46" s="248" t="s">
        <v>427</v>
      </c>
      <c r="C46" s="249">
        <f>ROUND((C33+C39)*F27,0)</f>
        <v>203</v>
      </c>
      <c r="D46" s="263"/>
      <c r="E46" s="236"/>
      <c r="F46" s="246"/>
      <c r="G46" s="247"/>
    </row>
    <row r="47" spans="1:7" s="214" customFormat="1" ht="13.5" customHeight="1">
      <c r="A47" s="778" t="s">
        <v>347</v>
      </c>
      <c r="B47" s="248" t="s">
        <v>429</v>
      </c>
      <c r="C47" s="238">
        <f>ROUND(C40*F27,4)</f>
        <v>2.3E-3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1735</v>
      </c>
      <c r="D49" s="232"/>
      <c r="E49" s="232"/>
      <c r="F49" s="264"/>
      <c r="G49" s="234" t="s">
        <v>435</v>
      </c>
    </row>
    <row r="50" spans="1:7" s="258" customFormat="1" ht="24">
      <c r="A50" s="775" t="s">
        <v>344</v>
      </c>
      <c r="B50" s="210" t="s">
        <v>97</v>
      </c>
      <c r="C50" s="232"/>
      <c r="D50" s="232"/>
      <c r="E50" s="232"/>
      <c r="F50" s="264">
        <f>IF('数据-取费表'!B24=0,'数据-取费表'!N16,1)</f>
        <v>0.7</v>
      </c>
      <c r="G50" s="247" t="s">
        <v>98</v>
      </c>
    </row>
    <row r="51" spans="1:7" ht="16.5" customHeight="1">
      <c r="A51" s="775" t="s">
        <v>345</v>
      </c>
      <c r="B51" s="210" t="s">
        <v>105</v>
      </c>
      <c r="C51" s="232">
        <f ca="1">ROUND(C49*F50,0)</f>
        <v>1215</v>
      </c>
      <c r="D51" s="232"/>
      <c r="E51" s="232"/>
      <c r="F51" s="264"/>
      <c r="G51" s="234" t="s">
        <v>37</v>
      </c>
    </row>
    <row r="52" spans="1:7" s="208" customFormat="1" ht="16.5" thickBot="1">
      <c r="A52" s="265" t="s">
        <v>38</v>
      </c>
      <c r="B52" s="266"/>
      <c r="C52" s="267">
        <f ca="1">C31+C51</f>
        <v>29104</v>
      </c>
      <c r="D52" s="266"/>
      <c r="E52" s="266"/>
      <c r="F52" s="266"/>
      <c r="G52" s="268"/>
    </row>
    <row r="55" spans="1:7" ht="15">
      <c r="B55" s="270" t="s">
        <v>39</v>
      </c>
      <c r="C55" s="271"/>
    </row>
    <row r="56" spans="1:7">
      <c r="B56" s="273" t="s">
        <v>40</v>
      </c>
      <c r="C56" s="274">
        <f ca="1">ROUND(C51/C52,3)</f>
        <v>4.2000000000000003E-2</v>
      </c>
    </row>
    <row r="57" spans="1:7">
      <c r="B57" s="273" t="s">
        <v>41</v>
      </c>
      <c r="C57" s="275">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5" zoomScale="85" zoomScaleNormal="70" zoomScaleSheetLayoutView="85" workbookViewId="0">
      <selection activeCell="C75" sqref="C7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9832</v>
      </c>
      <c r="C2" s="1385" t="s">
        <v>805</v>
      </c>
      <c r="D2" s="1385"/>
      <c r="E2" s="1386"/>
      <c r="F2" s="1387"/>
      <c r="G2" s="2699"/>
      <c r="H2" s="2688"/>
      <c r="I2" s="2688"/>
      <c r="J2" s="2688"/>
      <c r="K2" s="2689"/>
      <c r="L2" s="2688"/>
      <c r="M2" s="2688"/>
    </row>
    <row r="3" spans="1:37" ht="18" customHeight="1" thickBot="1">
      <c r="A3" s="1388" t="s">
        <v>806</v>
      </c>
      <c r="B3" s="1389">
        <f ca="1">IF(ISERROR(B2*10000/F43),0,ROUND(B2*10000/F43,0))</f>
        <v>28452</v>
      </c>
      <c r="C3" s="1385" t="s">
        <v>807</v>
      </c>
      <c r="D3" s="1385"/>
      <c r="E3" s="1386"/>
      <c r="F3" s="1387"/>
      <c r="G3" s="2699"/>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773</v>
      </c>
      <c r="D5" s="1362" t="s">
        <v>693</v>
      </c>
      <c r="E5" s="1069"/>
      <c r="F5" s="1070"/>
      <c r="G5" s="1382"/>
      <c r="H5" s="299">
        <v>1</v>
      </c>
      <c r="I5" s="300" t="s">
        <v>692</v>
      </c>
      <c r="J5" s="1068">
        <f ca="1">J6+J10+J12</f>
        <v>0</v>
      </c>
      <c r="K5" s="1362" t="s">
        <v>693</v>
      </c>
      <c r="L5" s="1069"/>
      <c r="M5" s="1070"/>
    </row>
    <row r="6" spans="1:37" ht="18" customHeight="1">
      <c r="A6" s="1067" t="s">
        <v>398</v>
      </c>
      <c r="B6" s="3798" t="s">
        <v>694</v>
      </c>
      <c r="C6" s="1072">
        <f ca="1">ROUND(F6*F8*F7*(1-F9)/10000,0)</f>
        <v>772</v>
      </c>
      <c r="D6" s="155" t="s">
        <v>2104</v>
      </c>
      <c r="E6" s="302" t="s">
        <v>696</v>
      </c>
      <c r="F6" s="303">
        <f ca="1">INDIRECT("'数据-取费表'!u"&amp;$G$1)</f>
        <v>6.8</v>
      </c>
      <c r="G6" s="1382"/>
      <c r="H6" s="1067" t="s">
        <v>398</v>
      </c>
      <c r="I6" s="3798" t="s">
        <v>694</v>
      </c>
      <c r="J6" s="301">
        <f ca="1">ROUND(M6*M8*M7*(1-M9)/10000,0)</f>
        <v>0</v>
      </c>
      <c r="K6" s="155" t="s">
        <v>2103</v>
      </c>
      <c r="L6" s="302" t="s">
        <v>696</v>
      </c>
      <c r="M6" s="303">
        <f ca="1">INDIRECT("'数据-取费表'!z"&amp;$G$1)</f>
        <v>0</v>
      </c>
    </row>
    <row r="7" spans="1:37" ht="18" customHeight="1">
      <c r="A7" s="1071"/>
      <c r="B7" s="3799"/>
      <c r="C7" s="1073"/>
      <c r="D7" s="307"/>
      <c r="E7" s="1074" t="s">
        <v>697</v>
      </c>
      <c r="F7" s="303">
        <f ca="1">IF(INDIRECT("'数据-取费表'!ah"&amp;$G$1)="",INDIRECT("'数据-取费表'!k"&amp;$G$1),INDIRECT("'数据-取费表'!ah"&amp;$G$1))</f>
        <v>3455.7</v>
      </c>
      <c r="G7" s="1382"/>
      <c r="H7" s="304"/>
      <c r="I7" s="3799"/>
      <c r="J7" s="306"/>
      <c r="K7" s="307"/>
      <c r="L7" s="302" t="s">
        <v>697</v>
      </c>
      <c r="M7" s="303">
        <f ca="1">F7</f>
        <v>3455.7</v>
      </c>
    </row>
    <row r="8" spans="1:37" ht="18" customHeight="1">
      <c r="A8" s="304"/>
      <c r="B8" s="3799"/>
      <c r="C8" s="306"/>
      <c r="D8" s="307"/>
      <c r="E8" s="302" t="s">
        <v>698</v>
      </c>
      <c r="F8" s="303">
        <f ca="1">INDIRECT("'数据-取费表'!ai"&amp;$G$1)</f>
        <v>365</v>
      </c>
      <c r="G8" s="1382"/>
      <c r="H8" s="304"/>
      <c r="I8" s="3799"/>
      <c r="J8" s="306"/>
      <c r="K8" s="307"/>
      <c r="L8" s="302" t="s">
        <v>698</v>
      </c>
      <c r="M8" s="303">
        <f ca="1">INDIRECT("'数据-取费表'!ai"&amp;$G$1)</f>
        <v>365</v>
      </c>
    </row>
    <row r="9" spans="1:37" ht="18" customHeight="1">
      <c r="A9" s="304"/>
      <c r="B9" s="3800"/>
      <c r="C9" s="306"/>
      <c r="D9" s="307"/>
      <c r="E9" s="302" t="s">
        <v>699</v>
      </c>
      <c r="F9" s="312">
        <f ca="1">INDIRECT("'数据-取费表'!w"&amp;$G$1)</f>
        <v>0.1</v>
      </c>
      <c r="G9" s="1382"/>
      <c r="H9" s="304"/>
      <c r="I9" s="3800"/>
      <c r="J9" s="306"/>
      <c r="K9" s="307"/>
      <c r="L9" s="313" t="s">
        <v>699</v>
      </c>
      <c r="M9" s="314">
        <f ca="1">INDIRECT("'数据-取费表'!ab"&amp;$G$1)</f>
        <v>0</v>
      </c>
    </row>
    <row r="10" spans="1:37" ht="18" customHeight="1">
      <c r="A10" s="1067" t="s">
        <v>402</v>
      </c>
      <c r="B10" s="1363" t="s">
        <v>700</v>
      </c>
      <c r="C10" s="316">
        <f ca="1">ROUND(IF(F10="押一",C6/12*F11,IF(F10="押二",C6/12*2*F11,IF(F10="押三",C6/12*3*F11,C11*F11))),0)</f>
        <v>1</v>
      </c>
      <c r="D10" s="1364" t="s">
        <v>2112</v>
      </c>
      <c r="E10" s="313" t="s">
        <v>701</v>
      </c>
      <c r="F10" s="1114" t="s">
        <v>3389</v>
      </c>
      <c r="G10" s="1382"/>
      <c r="H10" s="1067" t="s">
        <v>402</v>
      </c>
      <c r="I10" s="1363" t="s">
        <v>700</v>
      </c>
      <c r="J10" s="301">
        <f ca="1">ROUND(IF(M10="押一",J6/12*M11,IF(M10="押二",J6/12*2*M11,IF(M10="押三",J6/12*3*M11,J11*M11))),0)</f>
        <v>0</v>
      </c>
      <c r="K10" s="1364" t="s">
        <v>2111</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1214</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1209</v>
      </c>
      <c r="D14" s="1343" t="s">
        <v>708</v>
      </c>
      <c r="E14" s="1340"/>
      <c r="F14" s="319"/>
      <c r="G14" s="1382"/>
      <c r="H14" s="980" t="s">
        <v>398</v>
      </c>
      <c r="I14" s="302" t="s">
        <v>709</v>
      </c>
      <c r="J14" s="21">
        <f ca="1">C29</f>
        <v>1734</v>
      </c>
      <c r="K14" s="12"/>
      <c r="L14" s="805"/>
      <c r="M14" s="806"/>
    </row>
    <row r="15" spans="1:37" s="1395" customFormat="1" ht="18" customHeight="1" thickBot="1">
      <c r="A15" s="980" t="s">
        <v>399</v>
      </c>
      <c r="B15" s="302" t="s">
        <v>710</v>
      </c>
      <c r="C15" s="21">
        <f ca="1">ROUND(C14*F15,0)</f>
        <v>36</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19</v>
      </c>
      <c r="K16" s="1085" t="s">
        <v>715</v>
      </c>
      <c r="L16" s="1086"/>
      <c r="M16" s="1070"/>
    </row>
    <row r="17" spans="1:37" s="1395" customFormat="1" ht="18" customHeight="1">
      <c r="A17" s="980" t="s">
        <v>681</v>
      </c>
      <c r="B17" s="302" t="s">
        <v>716</v>
      </c>
      <c r="C17" s="21">
        <f ca="1">ROUND(F17*(F43+INDIRECT("'数据-取费表'!S"&amp;$G$1))/10000,0)</f>
        <v>69</v>
      </c>
      <c r="D17" s="302" t="s">
        <v>717</v>
      </c>
      <c r="E17" s="302" t="s">
        <v>718</v>
      </c>
      <c r="F17" s="23">
        <f>'数据-取费表'!B35</f>
        <v>200</v>
      </c>
      <c r="G17" s="1394"/>
      <c r="H17" s="980" t="s">
        <v>398</v>
      </c>
      <c r="I17" s="302" t="s">
        <v>719</v>
      </c>
      <c r="J17" s="2314">
        <f ca="1">ROUND(IF(AND(项目基本情况!B11="自然人",项目基本情况!B10="北京市"),J6*M17/(1+'数据-取费表'!C42),J18+J19+J20),2)</f>
        <v>1.19</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18</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1332</v>
      </c>
      <c r="D19" s="131" t="s">
        <v>726</v>
      </c>
      <c r="E19" s="1358"/>
      <c r="F19" s="23"/>
      <c r="G19" s="1382"/>
      <c r="H19" s="980" t="s">
        <v>399</v>
      </c>
      <c r="I19" s="302" t="s">
        <v>727</v>
      </c>
      <c r="J19" s="21">
        <f ca="1">IF(K19="按租金收入计税",ROUND(J6*M19/(1+'数据-取费表'!C42),2),ROUND(C29*M19*0.7,2))</f>
        <v>0</v>
      </c>
      <c r="K19" s="1368" t="s">
        <v>3336</v>
      </c>
      <c r="L19" s="302" t="s">
        <v>712</v>
      </c>
      <c r="M19" s="322">
        <f>IF(K19="按租金收入计税",'数据-取费表'!B51,'数据-取费表'!B50)</f>
        <v>0.12</v>
      </c>
    </row>
    <row r="20" spans="1:37" s="1395" customFormat="1" ht="18" customHeight="1">
      <c r="A20" s="980" t="s">
        <v>402</v>
      </c>
      <c r="B20" s="302" t="s">
        <v>728</v>
      </c>
      <c r="C20" s="21">
        <f ca="1">ROUND(C19*F20,0)</f>
        <v>20</v>
      </c>
      <c r="D20" s="323" t="s">
        <v>729</v>
      </c>
      <c r="E20" s="302" t="s">
        <v>712</v>
      </c>
      <c r="F20" s="322">
        <f>'数据-取费表'!B37</f>
        <v>1.4999999999999999E-2</v>
      </c>
      <c r="G20" s="1394"/>
      <c r="H20" s="980" t="s">
        <v>680</v>
      </c>
      <c r="I20" s="155" t="s">
        <v>730</v>
      </c>
      <c r="J20" s="22">
        <f ca="1">ROUND(M20*M21/10000,2)</f>
        <v>1.19</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1.4999999999999999E-2</v>
      </c>
      <c r="G21" s="1394"/>
      <c r="H21" s="326"/>
      <c r="I21" s="311"/>
      <c r="J21" s="26"/>
      <c r="K21" s="327"/>
      <c r="L21" s="302" t="s">
        <v>736</v>
      </c>
      <c r="M21" s="303">
        <f ca="1">INDIRECT("'数据-取费表'!r"&amp;$G$1)</f>
        <v>396.01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17.34</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-19</v>
      </c>
      <c r="K25" s="1093" t="s">
        <v>753</v>
      </c>
      <c r="L25" s="1094"/>
      <c r="M25" s="1095"/>
    </row>
    <row r="26" spans="1:37">
      <c r="A26" s="980" t="s">
        <v>397</v>
      </c>
      <c r="B26" s="302" t="s">
        <v>754</v>
      </c>
      <c r="C26" s="21">
        <f ca="1">ROUND((C19+C20)*F26,0)</f>
        <v>203</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1734</v>
      </c>
      <c r="D29" s="1090"/>
      <c r="E29" s="1088"/>
      <c r="F29" s="1091"/>
      <c r="G29" s="1394"/>
      <c r="H29" s="334" t="s">
        <v>396</v>
      </c>
      <c r="I29" s="335" t="s">
        <v>768</v>
      </c>
      <c r="J29" s="336">
        <f ca="1">ROUND(J26/(1+F40)^F41,0)</f>
        <v>0</v>
      </c>
      <c r="K29" s="337" t="s">
        <v>769</v>
      </c>
      <c r="L29" s="338"/>
      <c r="M29" s="339">
        <f ca="1">INDIRECT("'数据-取费表'!k"&amp;$G$1)</f>
        <v>3455.7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157</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ROUND(IF(AND(项目基本情况!B11="自然人",项目基本情况!B10="北京市"),C6*F31/(1+'数据-取费表'!C42),C32+C33+C34),2)</f>
        <v>130.59</v>
      </c>
      <c r="D31" s="1343" t="s">
        <v>720</v>
      </c>
      <c r="E31" s="1342" t="s">
        <v>770</v>
      </c>
      <c r="F31" s="2313" t="str">
        <f>IF(项目基本情况!B11="企业","——",IF(M47="住宅",IF(F6*F7*F8/12/(1+'数据-取费表'!F30)&gt;100000,4%,2.5%),IF(F6*F7*F8/12/(1+'数据-取费表'!F30)&gt;100000,12%,7%)))</f>
        <v>——</v>
      </c>
      <c r="G31" s="1382"/>
      <c r="H31" s="2801" t="s">
        <v>2301</v>
      </c>
      <c r="I31" s="1396"/>
      <c r="J31" s="1397"/>
      <c r="K31" s="2469"/>
      <c r="L31" s="2691"/>
      <c r="M31" s="2692"/>
    </row>
    <row r="32" spans="1:37" ht="18" customHeight="1">
      <c r="A32" s="980" t="s">
        <v>397</v>
      </c>
      <c r="B32" s="302" t="s">
        <v>723</v>
      </c>
      <c r="C32" s="21">
        <f ca="1">IF(项目基本情况!B11="自然人","——",ROUND(C6*F32/(1+'数据-取费表'!C42),2))</f>
        <v>41.17</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IF(项目基本情况!B11="自然人","——",IF(D33="按租金收入计税",ROUND(C6*F33/(1+'数据-取费表'!C42),2),IF(D33="按房产原值计税",ROUND(C29*F33*0.7,2),INDIRECT("'数据-取费表'!Aj"&amp;$G$1))))</f>
        <v>88.23</v>
      </c>
      <c r="D33" s="1368" t="s">
        <v>3336</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IF(项目基本情况!B11="自然人","——",ROUND(F34*F35/10000,2))</f>
        <v>1.19</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396.01</v>
      </c>
      <c r="G35" s="1382"/>
      <c r="H35" s="2690"/>
      <c r="I35" s="1396"/>
      <c r="J35" s="1397"/>
      <c r="K35" s="2694"/>
      <c r="L35" s="2693"/>
      <c r="M35" s="2693"/>
    </row>
    <row r="36" spans="1:18" ht="18" customHeight="1">
      <c r="A36" s="1100" t="s">
        <v>402</v>
      </c>
      <c r="B36" s="302" t="s">
        <v>738</v>
      </c>
      <c r="C36" s="21">
        <f ca="1">ROUND(C29*F36,2)</f>
        <v>17.34</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ROUND(C13*F37,2)</f>
        <v>1.82</v>
      </c>
      <c r="D37" s="1342" t="s">
        <v>743</v>
      </c>
      <c r="E37" s="302" t="s">
        <v>744</v>
      </c>
      <c r="F37" s="330">
        <f ca="1">INDIRECT("'数据-取费表'!Al"&amp;$G$1)</f>
        <v>1.5E-3</v>
      </c>
      <c r="G37" s="1382"/>
      <c r="H37" s="2693"/>
      <c r="I37" s="1396"/>
      <c r="J37" s="1397"/>
      <c r="K37" s="2538"/>
      <c r="L37" s="2693"/>
      <c r="M37" s="2693"/>
    </row>
    <row r="38" spans="1:18" ht="18" customHeight="1" thickBot="1">
      <c r="A38" s="1087" t="s">
        <v>684</v>
      </c>
      <c r="B38" s="1088" t="s">
        <v>728</v>
      </c>
      <c r="C38" s="1089">
        <f ca="1">ROUND(C5*F38,2)</f>
        <v>7.73</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616</v>
      </c>
      <c r="D39" s="1093" t="s">
        <v>773</v>
      </c>
      <c r="E39" s="1094"/>
      <c r="F39" s="1095"/>
      <c r="G39" s="1382"/>
      <c r="H39" s="2693"/>
      <c r="I39" s="1396"/>
      <c r="J39" s="1397"/>
      <c r="K39" s="2697"/>
      <c r="L39" s="2693"/>
      <c r="M39" s="2693"/>
    </row>
    <row r="40" spans="1:18" ht="18" customHeight="1">
      <c r="A40" s="299" t="s">
        <v>395</v>
      </c>
      <c r="B40" s="300" t="s">
        <v>774</v>
      </c>
      <c r="C40" s="301">
        <f ca="1">ROUND(C39*(1-((1+F42)/(1+F40))^F41)/(F40-F42),0)</f>
        <v>9678</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20.8</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ROUND(C40*10000/F43,0)</f>
        <v>28006</v>
      </c>
      <c r="D43" s="337" t="s">
        <v>777</v>
      </c>
      <c r="E43" s="338" t="s">
        <v>778</v>
      </c>
      <c r="F43" s="339">
        <f ca="1">INDIRECT("'数据-取费表'!k"&amp;$G$1)</f>
        <v>3455.7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-9922</v>
      </c>
      <c r="D46" s="1404" t="str">
        <f>C2</f>
        <v>万元</v>
      </c>
      <c r="E46" s="1398"/>
      <c r="F46" s="1398"/>
      <c r="I46" s="1405" t="s">
        <v>810</v>
      </c>
      <c r="J46" s="1406"/>
      <c r="K46" s="1407"/>
      <c r="L46" s="1408">
        <f ca="1">IF(M47="住宅",0,IF(L48&gt;J51,L60,J60))</f>
        <v>154</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3390</v>
      </c>
      <c r="K47" s="1414" t="s">
        <v>816</v>
      </c>
      <c r="L47" s="1415">
        <f ca="1">INDIRECT("'数据-取费表'!d"&amp;$G$1)</f>
        <v>50</v>
      </c>
      <c r="M47" s="1378" t="str">
        <f>IF(ISNUMBER(FIND("住宅",C1)),"住宅","非住宅")</f>
        <v>非住宅</v>
      </c>
      <c r="O47" s="1416" t="s">
        <v>403</v>
      </c>
      <c r="P47" s="1417" t="s">
        <v>817</v>
      </c>
      <c r="Q47" s="1418">
        <f ca="1">C40+J29</f>
        <v>9678</v>
      </c>
      <c r="R47" s="1418" t="s">
        <v>818</v>
      </c>
    </row>
    <row r="48" spans="1:18" s="1382" customFormat="1" ht="28.5" thickBot="1">
      <c r="A48" s="1108" t="s">
        <v>438</v>
      </c>
      <c r="B48" s="300" t="s">
        <v>692</v>
      </c>
      <c r="C48" s="1357">
        <f ca="1">C49+C53+C55</f>
        <v>0</v>
      </c>
      <c r="D48" s="1110"/>
      <c r="E48" s="1111"/>
      <c r="F48" s="960"/>
      <c r="G48" s="720"/>
      <c r="H48" s="721"/>
      <c r="I48" s="1419" t="s">
        <v>819</v>
      </c>
      <c r="J48" s="1420" t="s">
        <v>3391</v>
      </c>
      <c r="K48" s="1421" t="s">
        <v>820</v>
      </c>
      <c r="L48" s="1422">
        <f ca="1">INDIRECT("'数据-取费表'!f"&amp;$G$1)</f>
        <v>20.8</v>
      </c>
      <c r="O48" s="1416" t="s">
        <v>404</v>
      </c>
      <c r="P48" s="1417" t="s">
        <v>821</v>
      </c>
      <c r="Q48" s="1418">
        <f ca="1">J60</f>
        <v>154</v>
      </c>
      <c r="R48" s="1418" t="s">
        <v>822</v>
      </c>
    </row>
    <row r="49" spans="1:18" s="1382" customFormat="1" ht="13.5" thickBot="1">
      <c r="A49" s="973" t="s">
        <v>439</v>
      </c>
      <c r="B49" s="1369" t="s">
        <v>779</v>
      </c>
      <c r="C49" s="1112">
        <f ca="1">ROUND(F49*F51*F50*(1-F52)/10000,0)</f>
        <v>0</v>
      </c>
      <c r="D49" s="1053" t="s">
        <v>2105</v>
      </c>
      <c r="E49" s="1370" t="s">
        <v>780</v>
      </c>
      <c r="F49" s="1058"/>
      <c r="G49" s="1423"/>
      <c r="H49" s="721"/>
      <c r="I49" s="1419" t="s">
        <v>823</v>
      </c>
      <c r="J49" s="1424">
        <v>1996</v>
      </c>
      <c r="K49" s="1421" t="s">
        <v>824</v>
      </c>
      <c r="L49" s="1425"/>
      <c r="O49" s="1426" t="s">
        <v>405</v>
      </c>
      <c r="P49" s="1417" t="s">
        <v>825</v>
      </c>
      <c r="Q49" s="1418">
        <f ca="1">C29</f>
        <v>1734</v>
      </c>
      <c r="R49" s="1418" t="s">
        <v>818</v>
      </c>
    </row>
    <row r="50" spans="1:18" s="1382" customFormat="1" ht="13.5" thickBot="1">
      <c r="A50" s="974"/>
      <c r="B50" s="977"/>
      <c r="C50" s="1116"/>
      <c r="D50" s="951"/>
      <c r="E50" s="1054" t="s">
        <v>697</v>
      </c>
      <c r="F50" s="1055">
        <f ca="1">F7</f>
        <v>3455.7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33</v>
      </c>
      <c r="K51" s="1432" t="s">
        <v>830</v>
      </c>
      <c r="L51" s="1433">
        <f ca="1">ROUND(-PV(INDIRECT("'数据-取费表'!h"&amp;$G$1),J51,(C39-C13*C76),0),0)</f>
        <v>8303</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20.8</v>
      </c>
      <c r="R52" s="1418" t="s">
        <v>835</v>
      </c>
    </row>
    <row r="53" spans="1:18" s="1382" customFormat="1" ht="24.75" thickBot="1">
      <c r="A53" s="1150" t="s">
        <v>440</v>
      </c>
      <c r="B53" s="1371" t="s">
        <v>700</v>
      </c>
      <c r="C53" s="316">
        <f ca="1">ROUND(IF(F53="押一",C49/12*F11,IF(F53="押二",C49/12*2*F11,IF(F53="押三",C49/12*3*F11,C54*F11))),0)</f>
        <v>0</v>
      </c>
      <c r="D53" s="1364" t="s">
        <v>2111</v>
      </c>
      <c r="E53" s="313" t="s">
        <v>701</v>
      </c>
      <c r="F53" s="1114"/>
      <c r="I53" s="1437" t="s">
        <v>836</v>
      </c>
      <c r="J53" s="2166">
        <f ca="1">IF(M47="住宅",IF(D1="——",MAX(J51,L48),MAX(J51,L48-'数据-取费表'!B24)),IF(D1="——",MIN(J51,L48),MIN(J51,L48-'数据-取费表'!B24)))</f>
        <v>20.8</v>
      </c>
      <c r="K53" s="3796" t="s">
        <v>837</v>
      </c>
      <c r="L53" s="3797"/>
      <c r="O53" s="1416" t="s">
        <v>409</v>
      </c>
      <c r="P53" s="1417" t="s">
        <v>838</v>
      </c>
      <c r="Q53" s="1418">
        <f ca="1">Q47+Q48</f>
        <v>9832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0.20300000000000001</v>
      </c>
      <c r="K55" s="1443" t="s">
        <v>841</v>
      </c>
      <c r="L55" s="1444"/>
      <c r="O55" s="1409" t="s">
        <v>811</v>
      </c>
      <c r="P55" s="1410" t="s">
        <v>812</v>
      </c>
      <c r="Q55" s="1411" t="s">
        <v>813</v>
      </c>
      <c r="R55" s="1411" t="s">
        <v>814</v>
      </c>
    </row>
    <row r="56" spans="1:18" s="1382" customFormat="1" ht="25.5" thickTop="1" thickBot="1">
      <c r="A56" s="955">
        <v>2</v>
      </c>
      <c r="B56" s="956" t="s">
        <v>704</v>
      </c>
      <c r="C56" s="232">
        <f ca="1">C13</f>
        <v>1214</v>
      </c>
      <c r="D56" s="1445"/>
      <c r="E56" s="1446"/>
      <c r="F56" s="1438"/>
      <c r="I56" s="1447" t="s">
        <v>842</v>
      </c>
      <c r="J56" s="1448" t="s">
        <v>3369</v>
      </c>
      <c r="K56" s="1419" t="s">
        <v>843</v>
      </c>
      <c r="L56" s="1422" t="str">
        <f ca="1">IF(L48&lt;J51,"——",L48-J53)</f>
        <v>——</v>
      </c>
      <c r="O56" s="1416" t="s">
        <v>403</v>
      </c>
      <c r="P56" s="1417" t="s">
        <v>817</v>
      </c>
      <c r="Q56" s="1418">
        <f ca="1">C40+J29</f>
        <v>9678</v>
      </c>
      <c r="R56" s="1418" t="s">
        <v>818</v>
      </c>
    </row>
    <row r="57" spans="1:18" s="1382" customFormat="1" ht="24.75" thickBot="1">
      <c r="A57" s="1449"/>
      <c r="B57" s="948" t="s">
        <v>767</v>
      </c>
      <c r="C57" s="238">
        <f ca="1">C29</f>
        <v>1734</v>
      </c>
      <c r="D57" s="1450"/>
      <c r="E57" s="1451"/>
      <c r="F57" s="1452"/>
      <c r="I57" s="1453" t="s">
        <v>844</v>
      </c>
      <c r="J57" s="1454">
        <f ca="1">IF(OR(M47="住宅",J51&lt;L48,J56="是"),"——",J51-L48)</f>
        <v>12.2</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6" t="s">
        <v>714</v>
      </c>
      <c r="C58" s="316">
        <f ca="1">ROUND(C59+C64+C65+C66,0)</f>
        <v>20</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694</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154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1.19</v>
      </c>
      <c r="D62" s="963" t="s">
        <v>786</v>
      </c>
      <c r="E62" s="948" t="s">
        <v>787</v>
      </c>
      <c r="F62" s="325">
        <f t="shared" si="0"/>
        <v>30</v>
      </c>
      <c r="I62" s="1460" t="s">
        <v>858</v>
      </c>
      <c r="J62" s="1461" t="s">
        <v>859</v>
      </c>
      <c r="K62" s="1461" t="s">
        <v>860</v>
      </c>
      <c r="L62" s="1461" t="s">
        <v>861</v>
      </c>
      <c r="M62" s="1462" t="s">
        <v>862</v>
      </c>
      <c r="O62" s="1416" t="s">
        <v>409</v>
      </c>
      <c r="P62" s="1417" t="s">
        <v>863</v>
      </c>
      <c r="Q62" s="1418">
        <f ca="1">Q56+Q57</f>
        <v>9678</v>
      </c>
      <c r="R62" s="1418" t="s">
        <v>410</v>
      </c>
    </row>
    <row r="63" spans="1:18" s="1382" customFormat="1" ht="13.5" thickBot="1">
      <c r="A63" s="326"/>
      <c r="B63" s="954"/>
      <c r="C63" s="26"/>
      <c r="D63" s="964"/>
      <c r="E63" s="948" t="s">
        <v>788</v>
      </c>
      <c r="F63" s="303">
        <f t="shared" ca="1" si="0"/>
        <v>396.01</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17.34</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1.82</v>
      </c>
      <c r="D65" s="962" t="s">
        <v>743</v>
      </c>
      <c r="E65" s="948" t="s">
        <v>744</v>
      </c>
      <c r="F65" s="330">
        <f t="shared" ca="1" si="0"/>
        <v>1.5E-3</v>
      </c>
      <c r="I65" s="1460" t="s">
        <v>867</v>
      </c>
      <c r="J65" s="1461">
        <v>40</v>
      </c>
      <c r="K65" s="1461">
        <v>30</v>
      </c>
      <c r="L65" s="1461">
        <v>50</v>
      </c>
      <c r="M65" s="1463">
        <v>0.02</v>
      </c>
      <c r="O65" s="1416" t="s">
        <v>403</v>
      </c>
      <c r="P65" s="1417" t="s">
        <v>868</v>
      </c>
      <c r="Q65" s="1418">
        <f ca="1">C40+J29</f>
        <v>9678</v>
      </c>
      <c r="R65" s="1418" t="s">
        <v>818</v>
      </c>
    </row>
    <row r="66" spans="1:18" s="1382" customFormat="1" ht="16.5" thickBot="1">
      <c r="A66" s="980" t="s">
        <v>793</v>
      </c>
      <c r="B66" s="948" t="s">
        <v>728</v>
      </c>
      <c r="C66" s="21">
        <f ca="1">ROUND(C48*F66,2)</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-20</v>
      </c>
      <c r="D67" s="961" t="s">
        <v>753</v>
      </c>
      <c r="E67" s="966"/>
      <c r="F67" s="967"/>
      <c r="O67" s="1426" t="s">
        <v>405</v>
      </c>
      <c r="P67" s="1417" t="s">
        <v>850</v>
      </c>
      <c r="Q67" s="1464">
        <f ca="1">L51</f>
        <v>8303</v>
      </c>
      <c r="R67" s="1418" t="s">
        <v>870</v>
      </c>
    </row>
    <row r="68" spans="1:18" s="1382" customFormat="1" ht="16.5" thickBot="1">
      <c r="A68" s="945" t="s">
        <v>395</v>
      </c>
      <c r="B68" s="946" t="s">
        <v>774</v>
      </c>
      <c r="C68" s="301">
        <f ca="1">ROUND(C67*(1-((1+F70)/(1+F68))^F69)/(F68-F70),0)</f>
        <v>-244</v>
      </c>
      <c r="D68" s="963" t="s">
        <v>758</v>
      </c>
      <c r="E68" s="948" t="s">
        <v>759</v>
      </c>
      <c r="F68" s="312">
        <f ca="1">F40</f>
        <v>5.5E-2</v>
      </c>
      <c r="O68" s="1426" t="s">
        <v>406</v>
      </c>
      <c r="P68" s="1465" t="s">
        <v>871</v>
      </c>
      <c r="Q68" s="1418">
        <f ca="1">ROUND(Q69-Q70*Q71,0)</f>
        <v>519</v>
      </c>
      <c r="R68" s="1418" t="s">
        <v>414</v>
      </c>
    </row>
    <row r="69" spans="1:18" s="1382" customFormat="1" ht="13.5" thickBot="1">
      <c r="A69" s="949"/>
      <c r="B69" s="950"/>
      <c r="C69" s="306"/>
      <c r="D69" s="968" t="s">
        <v>762</v>
      </c>
      <c r="E69" s="948" t="s">
        <v>763</v>
      </c>
      <c r="F69" s="333">
        <f ca="1">F41</f>
        <v>20.8</v>
      </c>
      <c r="O69" s="1426" t="s">
        <v>411</v>
      </c>
      <c r="P69" s="1465" t="s">
        <v>872</v>
      </c>
      <c r="Q69" s="1418">
        <f ca="1">C39</f>
        <v>616</v>
      </c>
      <c r="R69" s="1418" t="s">
        <v>818</v>
      </c>
    </row>
    <row r="70" spans="1:18" s="1382" customFormat="1" ht="13.5" thickBot="1">
      <c r="A70" s="952"/>
      <c r="B70" s="953"/>
      <c r="C70" s="310"/>
      <c r="D70" s="964"/>
      <c r="E70" s="948" t="s">
        <v>766</v>
      </c>
      <c r="F70" s="1052"/>
      <c r="O70" s="1426" t="s">
        <v>412</v>
      </c>
      <c r="P70" s="1465" t="s">
        <v>873</v>
      </c>
      <c r="Q70" s="1418">
        <f ca="1">C13</f>
        <v>1214</v>
      </c>
      <c r="R70" s="1418" t="s">
        <v>818</v>
      </c>
    </row>
    <row r="71" spans="1:18" s="1382" customFormat="1" ht="13.5" thickBot="1">
      <c r="A71" s="969" t="s">
        <v>396</v>
      </c>
      <c r="B71" s="970" t="s">
        <v>776</v>
      </c>
      <c r="C71" s="336">
        <f ca="1">ROUND(C68*10000/F71,0)</f>
        <v>-706</v>
      </c>
      <c r="D71" s="971" t="s">
        <v>777</v>
      </c>
      <c r="E71" s="972" t="s">
        <v>778</v>
      </c>
      <c r="F71" s="339">
        <f ca="1">F43</f>
        <v>3455.7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97</v>
      </c>
      <c r="D75" s="1382"/>
      <c r="E75" s="1382"/>
      <c r="F75" s="1382"/>
      <c r="K75" s="1400"/>
      <c r="L75" s="1382"/>
      <c r="O75" s="1416" t="s">
        <v>409</v>
      </c>
      <c r="P75" s="1417" t="s">
        <v>838</v>
      </c>
      <c r="Q75" s="1418">
        <f ca="1">Q65+Q66</f>
        <v>9678</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0.875</v>
      </c>
    </row>
    <row r="83" spans="2:3">
      <c r="B83" s="273" t="s">
        <v>803</v>
      </c>
      <c r="C83" s="274">
        <f ca="1">ROUND(C13/C40,3)</f>
        <v>0.125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0" priority="56">
      <formula>$L$48&gt;$J$51</formula>
    </cfRule>
  </conditionalFormatting>
  <conditionalFormatting sqref="I55 I60">
    <cfRule type="expression" dxfId="9" priority="57">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0" zoomScaleNormal="70" zoomScaleSheetLayoutView="80" workbookViewId="0">
      <selection activeCell="J52" sqref="J5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20.8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0">
        <f ca="1">ROUND(D2/10000,4)</f>
        <v>9849.5195000000003</v>
      </c>
      <c r="C2" s="1385" t="s">
        <v>879</v>
      </c>
      <c r="D2" s="1469">
        <f ca="1">C40+J29+L46</f>
        <v>98495195</v>
      </c>
      <c r="E2" s="1386" t="s">
        <v>880</v>
      </c>
      <c r="F2" s="1387"/>
      <c r="G2" s="2699"/>
      <c r="H2" s="2688"/>
      <c r="I2" s="2688"/>
      <c r="J2" s="2688"/>
      <c r="K2" s="2689"/>
      <c r="L2" s="2688"/>
      <c r="M2" s="2688"/>
    </row>
    <row r="3" spans="1:37" ht="18" customHeight="1" thickBot="1">
      <c r="A3" s="1388" t="s">
        <v>881</v>
      </c>
      <c r="B3" s="1389">
        <f ca="1">IF(ISERROR(D2/F43),0,ROUND(D2/F43,0))</f>
        <v>28502</v>
      </c>
      <c r="C3" s="1385" t="s">
        <v>882</v>
      </c>
      <c r="D3" s="1385"/>
      <c r="E3" s="1386"/>
      <c r="F3" s="1387"/>
      <c r="G3" s="2699"/>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7728992</v>
      </c>
      <c r="D5" s="1362" t="s">
        <v>889</v>
      </c>
      <c r="E5" s="1069"/>
      <c r="F5" s="1070"/>
      <c r="G5" s="1382"/>
      <c r="H5" s="299">
        <v>1</v>
      </c>
      <c r="I5" s="300" t="s">
        <v>888</v>
      </c>
      <c r="J5" s="1068">
        <f ca="1">J6+J10+J12</f>
        <v>0</v>
      </c>
      <c r="K5" s="1362" t="s">
        <v>889</v>
      </c>
      <c r="L5" s="1069"/>
      <c r="M5" s="1070"/>
    </row>
    <row r="6" spans="1:37" ht="18" customHeight="1">
      <c r="A6" s="1067" t="s">
        <v>398</v>
      </c>
      <c r="B6" s="3798" t="s">
        <v>694</v>
      </c>
      <c r="C6" s="1072">
        <f ca="1">ROUND(F6*F8*F7*(1-F9),0)</f>
        <v>7719343</v>
      </c>
      <c r="D6" s="155" t="s">
        <v>2101</v>
      </c>
      <c r="E6" s="302" t="s">
        <v>696</v>
      </c>
      <c r="F6" s="303">
        <f ca="1">INDIRECT("'数据-取费表'!u"&amp;$G$1)</f>
        <v>6.8</v>
      </c>
      <c r="G6" s="1382"/>
      <c r="H6" s="1067" t="s">
        <v>398</v>
      </c>
      <c r="I6" s="3798" t="s">
        <v>694</v>
      </c>
      <c r="J6" s="301">
        <f ca="1">ROUND(M6*M8*M7*(1-M9),0)</f>
        <v>0</v>
      </c>
      <c r="K6" s="1374" t="s">
        <v>2102</v>
      </c>
      <c r="L6" s="302" t="s">
        <v>696</v>
      </c>
      <c r="M6" s="303">
        <f ca="1">INDIRECT("'数据-取费表'!z"&amp;$G$1)</f>
        <v>0</v>
      </c>
    </row>
    <row r="7" spans="1:37" ht="18" customHeight="1">
      <c r="A7" s="1071"/>
      <c r="B7" s="3799"/>
      <c r="C7" s="1073"/>
      <c r="D7" s="307"/>
      <c r="E7" s="1074" t="s">
        <v>697</v>
      </c>
      <c r="F7" s="303">
        <f ca="1">IF(INDIRECT("'数据-取费表'!ah"&amp;$G$1)="",INDIRECT("'数据-取费表'!k"&amp;$G$1),INDIRECT("'数据-取费表'!ah"&amp;$G$1))</f>
        <v>3455.7</v>
      </c>
      <c r="G7" s="1382"/>
      <c r="H7" s="304"/>
      <c r="I7" s="3799"/>
      <c r="J7" s="306"/>
      <c r="K7" s="307"/>
      <c r="L7" s="302" t="s">
        <v>697</v>
      </c>
      <c r="M7" s="303">
        <f ca="1">F7</f>
        <v>3455.7</v>
      </c>
    </row>
    <row r="8" spans="1:37" ht="18" customHeight="1">
      <c r="A8" s="304"/>
      <c r="B8" s="3799"/>
      <c r="C8" s="306"/>
      <c r="D8" s="307"/>
      <c r="E8" s="302" t="s">
        <v>698</v>
      </c>
      <c r="F8" s="303">
        <f ca="1">INDIRECT("'数据-取费表'!ai"&amp;$G$1)</f>
        <v>365</v>
      </c>
      <c r="G8" s="1382"/>
      <c r="H8" s="304"/>
      <c r="I8" s="3799"/>
      <c r="J8" s="306"/>
      <c r="K8" s="307"/>
      <c r="L8" s="302" t="s">
        <v>698</v>
      </c>
      <c r="M8" s="303">
        <f ca="1">INDIRECT("'数据-取费表'!ai"&amp;$G$1)</f>
        <v>365</v>
      </c>
    </row>
    <row r="9" spans="1:37" ht="18" customHeight="1">
      <c r="A9" s="304"/>
      <c r="B9" s="3800"/>
      <c r="C9" s="306"/>
      <c r="D9" s="307"/>
      <c r="E9" s="302" t="s">
        <v>699</v>
      </c>
      <c r="F9" s="312">
        <f ca="1">INDIRECT("'数据-取费表'!w"&amp;$G$1)</f>
        <v>0.1</v>
      </c>
      <c r="G9" s="1382"/>
      <c r="H9" s="304"/>
      <c r="I9" s="3800"/>
      <c r="J9" s="306"/>
      <c r="K9" s="307"/>
      <c r="L9" s="313" t="s">
        <v>699</v>
      </c>
      <c r="M9" s="314">
        <f ca="1">INDIRECT("'数据-取费表'!ab"&amp;$G$1)</f>
        <v>0</v>
      </c>
    </row>
    <row r="10" spans="1:37" ht="18" customHeight="1">
      <c r="A10" s="1067" t="s">
        <v>402</v>
      </c>
      <c r="B10" s="1363" t="s">
        <v>700</v>
      </c>
      <c r="C10" s="316">
        <f ca="1">ROUND(IF(F10="押一",C6/12*F11,IF(F10="押二",C6/12*2*F11,IF(F10="押三",C6/12*3*F11,C11*F11))),0)</f>
        <v>9649</v>
      </c>
      <c r="D10" s="1364" t="s">
        <v>2111</v>
      </c>
      <c r="E10" s="313" t="s">
        <v>701</v>
      </c>
      <c r="F10" s="1114" t="s">
        <v>3389</v>
      </c>
      <c r="G10" s="1382"/>
      <c r="H10" s="1067" t="s">
        <v>402</v>
      </c>
      <c r="I10" s="1363" t="s">
        <v>700</v>
      </c>
      <c r="J10" s="301">
        <f ca="1">ROUND(IF(M10="押一",J6/12*M11,IF(M10="押二",J6/12*2*M11,IF(M10="押三",J6/12*3*M11,J11*M11))),0)</f>
        <v>0</v>
      </c>
      <c r="K10" s="1375" t="s">
        <v>2113</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12150045</v>
      </c>
      <c r="D13" s="1079" t="s">
        <v>705</v>
      </c>
      <c r="E13" s="1079" t="s">
        <v>706</v>
      </c>
      <c r="F13" s="1080">
        <f ca="1">INDIRECT("'数据-取费表'!y"&amp;$G$1)</f>
        <v>0.7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12094950</v>
      </c>
      <c r="D14" s="1343" t="s">
        <v>708</v>
      </c>
      <c r="E14" s="1340"/>
      <c r="F14" s="319"/>
      <c r="G14" s="1382"/>
      <c r="H14" s="980" t="s">
        <v>398</v>
      </c>
      <c r="I14" s="302" t="s">
        <v>709</v>
      </c>
      <c r="J14" s="21">
        <f ca="1">C29</f>
        <v>17357207</v>
      </c>
      <c r="K14" s="12"/>
      <c r="L14" s="805"/>
      <c r="M14" s="806"/>
    </row>
    <row r="15" spans="1:37" s="1395" customFormat="1" ht="18" customHeight="1" thickBot="1">
      <c r="A15" s="980" t="s">
        <v>399</v>
      </c>
      <c r="B15" s="302" t="s">
        <v>710</v>
      </c>
      <c r="C15" s="21">
        <f ca="1">ROUND(C14*F15,0)</f>
        <v>362849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185452</v>
      </c>
      <c r="K16" s="1085" t="s">
        <v>715</v>
      </c>
      <c r="L16" s="1086"/>
      <c r="M16" s="1070"/>
    </row>
    <row r="17" spans="1:37" s="1395" customFormat="1" ht="18" customHeight="1">
      <c r="A17" s="980" t="s">
        <v>681</v>
      </c>
      <c r="B17" s="302" t="s">
        <v>716</v>
      </c>
      <c r="C17" s="21">
        <f ca="1">ROUND(F17*(F43+INDIRECT("'数据-取费表'!S"&amp;$G$1)),0)</f>
        <v>691140</v>
      </c>
      <c r="D17" s="302" t="s">
        <v>717</v>
      </c>
      <c r="E17" s="302" t="s">
        <v>718</v>
      </c>
      <c r="F17" s="23">
        <f>'数据-取费表'!B35</f>
        <v>200</v>
      </c>
      <c r="G17" s="1394"/>
      <c r="H17" s="980" t="s">
        <v>398</v>
      </c>
      <c r="I17" s="302" t="s">
        <v>719</v>
      </c>
      <c r="J17" s="2314">
        <f ca="1">ROUND(IF(AND(项目基本情况!B11="自然人",项目基本情况!B10="北京市"),J6*M17/(1+'数据-取费表'!C42),J18+J19+J20),0)</f>
        <v>11880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181424</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13330363</v>
      </c>
      <c r="D19" s="131" t="s">
        <v>726</v>
      </c>
      <c r="E19" s="1358"/>
      <c r="F19" s="23"/>
      <c r="G19" s="1382"/>
      <c r="H19" s="980" t="s">
        <v>399</v>
      </c>
      <c r="I19" s="302" t="s">
        <v>727</v>
      </c>
      <c r="J19" s="21">
        <f ca="1">IF(K19="按租金收入计税",ROUND(J6*M19/(1+'数据-取费表'!C42),0),ROUND(C29*M19*0.7,0))</f>
        <v>0</v>
      </c>
      <c r="K19" s="1368" t="s">
        <v>3336</v>
      </c>
      <c r="L19" s="302" t="s">
        <v>712</v>
      </c>
      <c r="M19" s="322">
        <f>IF(K19="按租金收入计税",'数据-取费表'!B51,'数据-取费表'!B50)</f>
        <v>0.12</v>
      </c>
    </row>
    <row r="20" spans="1:37" s="1395" customFormat="1" ht="18" customHeight="1">
      <c r="A20" s="980" t="s">
        <v>402</v>
      </c>
      <c r="B20" s="302" t="s">
        <v>728</v>
      </c>
      <c r="C20" s="21">
        <f ca="1">ROUND(C19*F20,0)</f>
        <v>199955</v>
      </c>
      <c r="D20" s="323" t="s">
        <v>729</v>
      </c>
      <c r="E20" s="302" t="s">
        <v>712</v>
      </c>
      <c r="F20" s="322">
        <f>'数据-取费表'!B37</f>
        <v>1.4999999999999999E-2</v>
      </c>
      <c r="G20" s="1394"/>
      <c r="H20" s="980" t="s">
        <v>680</v>
      </c>
      <c r="I20" s="155" t="s">
        <v>730</v>
      </c>
      <c r="J20" s="22">
        <f ca="1">ROUND(M20*M21,0)</f>
        <v>11880</v>
      </c>
      <c r="K20" s="324" t="s">
        <v>731</v>
      </c>
      <c r="L20" s="302" t="s">
        <v>732</v>
      </c>
      <c r="M20" s="325">
        <f>'数据-取费表'!B52</f>
        <v>30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1.4999999999999999E-2</v>
      </c>
      <c r="G21" s="1394"/>
      <c r="H21" s="326"/>
      <c r="I21" s="311"/>
      <c r="J21" s="26"/>
      <c r="K21" s="327"/>
      <c r="L21" s="302" t="s">
        <v>736</v>
      </c>
      <c r="M21" s="303">
        <f ca="1">INDIRECT("'数据-取费表'!r"&amp;$G$1)</f>
        <v>396.01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173572</v>
      </c>
      <c r="K22" s="1342"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561508</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-185452</v>
      </c>
      <c r="K25" s="1093" t="s">
        <v>753</v>
      </c>
      <c r="L25" s="1094"/>
      <c r="M25" s="1095"/>
    </row>
    <row r="26" spans="1:37" ht="18" customHeight="1">
      <c r="A26" s="980" t="s">
        <v>397</v>
      </c>
      <c r="B26" s="302" t="s">
        <v>754</v>
      </c>
      <c r="C26" s="21">
        <f ca="1">ROUND((C19+C20)*F26,0)</f>
        <v>2029548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2.3E-3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17357207</v>
      </c>
      <c r="D29" s="1090"/>
      <c r="E29" s="1088"/>
      <c r="F29" s="1091"/>
      <c r="G29" s="1394"/>
      <c r="H29" s="334" t="s">
        <v>396</v>
      </c>
      <c r="I29" s="335" t="s">
        <v>768</v>
      </c>
      <c r="J29" s="336">
        <f ca="1">ROUND(J26/(1+F40)^F41,0)</f>
        <v>0</v>
      </c>
      <c r="K29" s="337" t="s">
        <v>769</v>
      </c>
      <c r="L29" s="338"/>
      <c r="M29" s="339">
        <f ca="1">INDIRECT("'数据-取费表'!k"&amp;$G$1)</f>
        <v>3455.7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1574876</v>
      </c>
      <c r="D30" s="1085" t="s">
        <v>715</v>
      </c>
      <c r="E30" s="1086"/>
      <c r="F30" s="1070"/>
      <c r="G30" s="1382"/>
      <c r="H30" s="2690"/>
      <c r="I30" s="1396"/>
      <c r="J30" s="1397"/>
      <c r="K30" s="2469"/>
      <c r="L30" s="2691"/>
      <c r="M30" s="2692"/>
    </row>
    <row r="31" spans="1:37" ht="18" customHeight="1">
      <c r="A31" s="980" t="s">
        <v>398</v>
      </c>
      <c r="B31" s="302" t="s">
        <v>719</v>
      </c>
      <c r="C31" s="2314">
        <f ca="1">ROUND(IF(AND(项目基本情况!B11="自然人",项目基本情况!B10="北京市"),C6*F31/(1+'数据-取费表'!C42),C32+C33+C34),0)</f>
        <v>1305789</v>
      </c>
      <c r="D31" s="1343" t="s">
        <v>720</v>
      </c>
      <c r="E31" s="1342" t="s">
        <v>770</v>
      </c>
      <c r="F31" s="2313" t="str">
        <f>IF(项目基本情况!B11="企业","——",IF(M47="住宅",IF(F6*F7*F8/12/(1+'数据-取费表'!F30)&gt;100000,4%,2.5%),IF(F6*F7*F8/12/(1+'数据-取费表'!F30)&gt;100000,12%,7%)))</f>
        <v>——</v>
      </c>
      <c r="G31" s="1382"/>
      <c r="H31" s="2801" t="s">
        <v>2301</v>
      </c>
      <c r="I31" s="1396"/>
      <c r="J31" s="1397"/>
      <c r="K31" s="2469"/>
      <c r="L31" s="2691"/>
      <c r="M31" s="2692"/>
    </row>
    <row r="32" spans="1:37" ht="18" customHeight="1">
      <c r="A32" s="980" t="s">
        <v>397</v>
      </c>
      <c r="B32" s="302" t="s">
        <v>723</v>
      </c>
      <c r="C32" s="21">
        <f ca="1">IF(项目基本情况!B11="自然人","——",ROUND(C6*F32/(1+'数据-取费表'!C42),0))</f>
        <v>411698</v>
      </c>
      <c r="D32" s="1342" t="s">
        <v>724</v>
      </c>
      <c r="E32" s="302" t="s">
        <v>712</v>
      </c>
      <c r="F32" s="331">
        <f>'数据-取费表'!B41</f>
        <v>5.6000000000000001E-2</v>
      </c>
      <c r="G32" s="1382"/>
      <c r="H32" s="2690"/>
      <c r="I32" s="1396"/>
      <c r="J32" s="1397"/>
      <c r="K32" s="2469"/>
      <c r="L32" s="2691"/>
      <c r="M32" s="2692"/>
    </row>
    <row r="33" spans="1:18" ht="18" customHeight="1">
      <c r="A33" s="980" t="s">
        <v>399</v>
      </c>
      <c r="B33" s="302" t="s">
        <v>727</v>
      </c>
      <c r="C33" s="21">
        <f ca="1">IF(项目基本情况!B11="自然人","——",IF(D33="按租金收入计税",ROUND(C6*F33/(1+'数据-取费表'!C42),0),IF(D33="按房产原值计税",ROUND(C29*F33*0.7,0),INDIRECT("'数据-取费表'!Aj"&amp;$G$1))))</f>
        <v>882211</v>
      </c>
      <c r="D33" s="1368" t="s">
        <v>3336</v>
      </c>
      <c r="E33" s="302" t="s">
        <v>712</v>
      </c>
      <c r="F33" s="322">
        <f>IF(D33="按票据","——",IF(D33="按租金收入计税",'数据-取费表'!B51,'数据-取费表'!B50))</f>
        <v>0.12</v>
      </c>
      <c r="G33" s="1382"/>
      <c r="H33" s="2693"/>
      <c r="I33" s="1396"/>
      <c r="J33" s="1397"/>
      <c r="K33" s="2694"/>
      <c r="L33" s="2693"/>
      <c r="M33" s="2693"/>
    </row>
    <row r="34" spans="1:18" ht="18" customHeight="1">
      <c r="A34" s="1067" t="s">
        <v>680</v>
      </c>
      <c r="B34" s="155" t="s">
        <v>730</v>
      </c>
      <c r="C34" s="22">
        <f ca="1">IF(项目基本情况!B11="自然人","——",ROUND(F34*F35,0))</f>
        <v>11880</v>
      </c>
      <c r="D34" s="324" t="s">
        <v>731</v>
      </c>
      <c r="E34" s="302" t="s">
        <v>732</v>
      </c>
      <c r="F34" s="325">
        <f>'数据-取费表'!B52</f>
        <v>30</v>
      </c>
      <c r="G34" s="1382"/>
      <c r="H34" s="2690"/>
      <c r="I34" s="1396"/>
      <c r="J34" s="1397"/>
      <c r="K34" s="2695"/>
      <c r="L34" s="2696"/>
      <c r="M34" s="2696"/>
    </row>
    <row r="35" spans="1:18" ht="18" customHeight="1">
      <c r="A35" s="1101"/>
      <c r="B35" s="1099"/>
      <c r="C35" s="26"/>
      <c r="D35" s="327"/>
      <c r="E35" s="302" t="s">
        <v>736</v>
      </c>
      <c r="F35" s="303">
        <f ca="1">INDIRECT("'数据-取费表'!r"&amp;$G$1)</f>
        <v>396.01</v>
      </c>
      <c r="G35" s="1382"/>
      <c r="H35" s="2690"/>
      <c r="I35" s="1396"/>
      <c r="J35" s="1397"/>
      <c r="K35" s="2694"/>
      <c r="L35" s="2693"/>
      <c r="M35" s="2693"/>
    </row>
    <row r="36" spans="1:18" ht="18" customHeight="1">
      <c r="A36" s="1100" t="s">
        <v>402</v>
      </c>
      <c r="B36" s="302" t="s">
        <v>738</v>
      </c>
      <c r="C36" s="21">
        <f ca="1">ROUND(C29*F36,0)</f>
        <v>173572</v>
      </c>
      <c r="D36" s="1342" t="s">
        <v>771</v>
      </c>
      <c r="E36" s="302" t="s">
        <v>712</v>
      </c>
      <c r="F36" s="328">
        <f ca="1">INDIRECT("'数据-取费表'!Ak"&amp;$G$1)</f>
        <v>0.01</v>
      </c>
      <c r="G36" s="1382"/>
      <c r="H36" s="2693"/>
      <c r="I36" s="1396"/>
      <c r="J36" s="1397"/>
      <c r="K36" s="2538"/>
      <c r="L36" s="2693"/>
      <c r="M36" s="2693"/>
    </row>
    <row r="37" spans="1:18" ht="18" customHeight="1">
      <c r="A37" s="980" t="s">
        <v>437</v>
      </c>
      <c r="B37" s="302" t="s">
        <v>742</v>
      </c>
      <c r="C37" s="21">
        <f ca="1">ROUND(C13*F37,0)</f>
        <v>18225</v>
      </c>
      <c r="D37" s="1342" t="s">
        <v>743</v>
      </c>
      <c r="E37" s="302" t="s">
        <v>744</v>
      </c>
      <c r="F37" s="330">
        <f ca="1">INDIRECT("'数据-取费表'!Al"&amp;$G$1)</f>
        <v>1.5E-3</v>
      </c>
      <c r="G37" s="1382"/>
      <c r="H37" s="2693"/>
      <c r="I37" s="1396"/>
      <c r="J37" s="1397"/>
      <c r="K37" s="2538"/>
      <c r="L37" s="2693"/>
      <c r="M37" s="2693"/>
    </row>
    <row r="38" spans="1:18" ht="18" customHeight="1" thickBot="1">
      <c r="A38" s="1087" t="s">
        <v>684</v>
      </c>
      <c r="B38" s="1088" t="s">
        <v>728</v>
      </c>
      <c r="C38" s="1089">
        <f ca="1">ROUND(C5*F38,0)</f>
        <v>77290</v>
      </c>
      <c r="D38" s="1090" t="s">
        <v>748</v>
      </c>
      <c r="E38" s="1088" t="s">
        <v>744</v>
      </c>
      <c r="F38" s="1084">
        <f ca="1">INDIRECT("'数据-取费表'!Am"&amp;$G$1)</f>
        <v>0.01</v>
      </c>
      <c r="G38" s="1382"/>
      <c r="H38" s="2693"/>
      <c r="I38" s="1396"/>
      <c r="J38" s="1397"/>
      <c r="K38" s="2697"/>
      <c r="L38" s="2693"/>
      <c r="M38" s="2693"/>
    </row>
    <row r="39" spans="1:18" ht="24.6" customHeight="1" thickTop="1">
      <c r="A39" s="1077" t="s">
        <v>394</v>
      </c>
      <c r="B39" s="1092" t="s">
        <v>772</v>
      </c>
      <c r="C39" s="310">
        <f ca="1">C5-C30</f>
        <v>6154116</v>
      </c>
      <c r="D39" s="1093" t="s">
        <v>773</v>
      </c>
      <c r="E39" s="1094"/>
      <c r="F39" s="1095"/>
      <c r="G39" s="1382"/>
      <c r="H39" s="2693"/>
      <c r="I39" s="1396"/>
      <c r="J39" s="1397"/>
      <c r="K39" s="2697"/>
      <c r="L39" s="2693"/>
      <c r="M39" s="2693"/>
    </row>
    <row r="40" spans="1:18" ht="18" customHeight="1">
      <c r="A40" s="299" t="s">
        <v>395</v>
      </c>
      <c r="B40" s="300" t="s">
        <v>774</v>
      </c>
      <c r="C40" s="301">
        <f ca="1">ROUND(C39*(1-((1+F42)/(1+F40))^F41)/(F40-F42),0)</f>
        <v>96682680</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20.8</v>
      </c>
      <c r="G41" s="1382"/>
      <c r="H41" s="1189"/>
      <c r="I41" s="1396"/>
      <c r="J41" s="1397"/>
      <c r="K41" s="2538"/>
      <c r="L41" s="1189"/>
      <c r="M41" s="1189"/>
    </row>
    <row r="42" spans="1:18" ht="18" customHeight="1">
      <c r="A42" s="308"/>
      <c r="B42" s="309"/>
      <c r="C42" s="310"/>
      <c r="D42" s="327"/>
      <c r="E42" s="302" t="s">
        <v>766</v>
      </c>
      <c r="F42" s="312">
        <f ca="1">INDIRECT("'数据-取费表'!v"&amp;$G$1)</f>
        <v>0.03</v>
      </c>
      <c r="G42" s="1382"/>
      <c r="H42" s="1189"/>
      <c r="I42" s="1396"/>
      <c r="J42" s="1397"/>
      <c r="K42" s="2538"/>
      <c r="L42" s="1189"/>
      <c r="M42" s="1189"/>
    </row>
    <row r="43" spans="1:18" ht="18" customHeight="1" thickBot="1">
      <c r="A43" s="334" t="s">
        <v>396</v>
      </c>
      <c r="B43" s="335" t="s">
        <v>776</v>
      </c>
      <c r="C43" s="336">
        <f ca="1">ROUND(C40/F43,0)</f>
        <v>27978</v>
      </c>
      <c r="D43" s="337" t="s">
        <v>777</v>
      </c>
      <c r="E43" s="338" t="s">
        <v>778</v>
      </c>
      <c r="F43" s="339">
        <f ca="1">INDIRECT("'数据-取费表'!k"&amp;$G$1)</f>
        <v>3455.7</v>
      </c>
      <c r="G43" s="1382"/>
      <c r="H43" s="1189"/>
      <c r="I43" s="1189"/>
      <c r="J43" s="1189"/>
      <c r="K43" s="2538"/>
      <c r="L43" s="1189"/>
      <c r="M43" s="1189"/>
    </row>
    <row r="44" spans="1:18" s="1382" customFormat="1" ht="18" customHeight="1">
      <c r="A44" s="1398"/>
      <c r="B44" s="1398"/>
      <c r="C44" s="1399"/>
      <c r="D44" s="1398"/>
      <c r="E44" s="1398"/>
      <c r="F44" s="1398"/>
      <c r="K44" s="1400"/>
    </row>
    <row r="45" spans="1:18" s="1382" customFormat="1" ht="18" customHeight="1" thickBot="1">
      <c r="A45" s="3426" t="s">
        <v>3352</v>
      </c>
      <c r="B45" s="1398"/>
      <c r="C45" s="1470">
        <f ca="1">ROUND((C68-C40)/10000,4)</f>
        <v>-9916.9912999999997</v>
      </c>
      <c r="D45" s="3427" t="s">
        <v>3353</v>
      </c>
      <c r="E45" s="1398"/>
      <c r="F45" s="1398"/>
      <c r="O45" s="1401" t="s">
        <v>808</v>
      </c>
      <c r="P45" s="1459"/>
      <c r="Q45" s="1459"/>
      <c r="R45" s="1459"/>
    </row>
    <row r="46" spans="1:18" s="1382" customFormat="1" ht="13.5" thickBot="1">
      <c r="A46" s="1402" t="s">
        <v>809</v>
      </c>
      <c r="C46" s="1403">
        <f ca="1">ROUND(C45,0)</f>
        <v>-9917</v>
      </c>
      <c r="D46" s="1404" t="str">
        <f>C2</f>
        <v>万元</v>
      </c>
      <c r="I46" s="1405" t="s">
        <v>810</v>
      </c>
      <c r="J46" s="1406"/>
      <c r="K46" s="1407"/>
      <c r="L46" s="1408">
        <f ca="1">IF(M47="住宅",0,IF(L48&gt;J51,L60,J60))</f>
        <v>1812515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3390</v>
      </c>
      <c r="K47" s="1414" t="s">
        <v>816</v>
      </c>
      <c r="L47" s="1415">
        <f ca="1">INDIRECT("'数据-取费表'!d"&amp;$G$1)</f>
        <v>50</v>
      </c>
      <c r="M47" s="1378" t="str">
        <f>IF(ISNUMBER(FIND("住宅",C1)),"住宅","非住宅")</f>
        <v>非住宅</v>
      </c>
      <c r="O47" s="1416" t="s">
        <v>403</v>
      </c>
      <c r="P47" s="1417" t="s">
        <v>817</v>
      </c>
      <c r="Q47" s="1418">
        <f ca="1">C40+J29</f>
        <v>96682680</v>
      </c>
      <c r="R47" s="1418" t="s">
        <v>818</v>
      </c>
    </row>
    <row r="48" spans="1:18" s="1382" customFormat="1" ht="28.5" thickBot="1">
      <c r="A48" s="1108" t="s">
        <v>438</v>
      </c>
      <c r="B48" s="300" t="s">
        <v>692</v>
      </c>
      <c r="C48" s="1357">
        <f ca="1">C49+C53+C55</f>
        <v>0</v>
      </c>
      <c r="D48" s="1110"/>
      <c r="E48" s="1111"/>
      <c r="F48" s="960"/>
      <c r="G48" s="720"/>
      <c r="H48" s="721"/>
      <c r="I48" s="1419" t="s">
        <v>819</v>
      </c>
      <c r="J48" s="1420" t="s">
        <v>3391</v>
      </c>
      <c r="K48" s="1421" t="s">
        <v>820</v>
      </c>
      <c r="L48" s="1422">
        <f ca="1">INDIRECT("'数据-取费表'!f"&amp;$G$1)</f>
        <v>20.8</v>
      </c>
      <c r="O48" s="1416" t="s">
        <v>404</v>
      </c>
      <c r="P48" s="1417" t="s">
        <v>821</v>
      </c>
      <c r="Q48" s="1418">
        <f ca="1">J60</f>
        <v>1812515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v>2012</v>
      </c>
      <c r="K49" s="1421" t="s">
        <v>824</v>
      </c>
      <c r="L49" s="1425"/>
      <c r="O49" s="1426" t="s">
        <v>405</v>
      </c>
      <c r="P49" s="1417" t="s">
        <v>825</v>
      </c>
      <c r="Q49" s="1418">
        <f ca="1">C29</f>
        <v>17357207</v>
      </c>
      <c r="R49" s="1418" t="s">
        <v>818</v>
      </c>
    </row>
    <row r="50" spans="1:18" s="1382" customFormat="1" ht="13.5" thickBot="1">
      <c r="A50" s="974"/>
      <c r="B50" s="977"/>
      <c r="C50" s="978"/>
      <c r="D50" s="951"/>
      <c r="E50" s="1054" t="s">
        <v>697</v>
      </c>
      <c r="F50" s="1055">
        <f ca="1">F7</f>
        <v>3455.7</v>
      </c>
      <c r="H50" s="721"/>
      <c r="I50" s="1419" t="s">
        <v>826</v>
      </c>
      <c r="J50" s="1427">
        <f>SUMPRODUCT((I63:I65=J47)*(J62:L62=J48)*(J63:L65))</f>
        <v>60</v>
      </c>
      <c r="K50" s="1421" t="s">
        <v>827</v>
      </c>
      <c r="L50" s="1425"/>
      <c r="M50" s="1428"/>
      <c r="O50" s="1426" t="s">
        <v>406</v>
      </c>
      <c r="P50" s="1417" t="s">
        <v>828</v>
      </c>
      <c r="Q50" s="1429">
        <f ca="1">J58</f>
        <v>0.47</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94152358</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20.8</v>
      </c>
      <c r="R52" s="1418" t="s">
        <v>835</v>
      </c>
    </row>
    <row r="53" spans="1:18" s="1382" customFormat="1" ht="30.75" customHeight="1" thickBot="1">
      <c r="A53" s="1109" t="s">
        <v>440</v>
      </c>
      <c r="B53" s="323"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20.8</v>
      </c>
      <c r="K53" s="3796" t="s">
        <v>837</v>
      </c>
      <c r="L53" s="3797"/>
      <c r="O53" s="1416" t="s">
        <v>409</v>
      </c>
      <c r="P53" s="1417" t="s">
        <v>838</v>
      </c>
      <c r="Q53" s="1418">
        <f ca="1">Q47+Q48</f>
        <v>98495195</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0.47</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12150045</v>
      </c>
      <c r="D56" s="1445"/>
      <c r="E56" s="1446"/>
      <c r="F56" s="1438"/>
      <c r="I56" s="1447" t="s">
        <v>842</v>
      </c>
      <c r="J56" s="1448" t="s">
        <v>3369</v>
      </c>
      <c r="K56" s="1419" t="s">
        <v>843</v>
      </c>
      <c r="L56" s="1422" t="str">
        <f ca="1">IF(L48&lt;J51,"——",L48-J51)</f>
        <v>——</v>
      </c>
      <c r="O56" s="1416" t="s">
        <v>403</v>
      </c>
      <c r="P56" s="1417" t="s">
        <v>817</v>
      </c>
      <c r="Q56" s="1418">
        <f ca="1">C40+J29</f>
        <v>96682680</v>
      </c>
      <c r="R56" s="1418" t="s">
        <v>818</v>
      </c>
    </row>
    <row r="57" spans="1:18" s="1382" customFormat="1" ht="24.75" thickBot="1">
      <c r="A57" s="1449"/>
      <c r="B57" s="948" t="s">
        <v>767</v>
      </c>
      <c r="C57" s="238">
        <f ca="1">C29</f>
        <v>17357207</v>
      </c>
      <c r="D57" s="1450"/>
      <c r="E57" s="1451"/>
      <c r="F57" s="1452"/>
      <c r="I57" s="1453" t="s">
        <v>844</v>
      </c>
      <c r="J57" s="1454">
        <f ca="1">IF(OR(M47="住宅",J51&lt;L48,J56="是"),"——",J51-L48)</f>
        <v>28.2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203677</v>
      </c>
      <c r="D58" s="958" t="s">
        <v>715</v>
      </c>
      <c r="E58" s="959"/>
      <c r="F58" s="960"/>
      <c r="I58" s="1453" t="s">
        <v>848</v>
      </c>
      <c r="J58" s="1455">
        <f ca="1">IF(J55&lt;0.4,0.4,J55)</f>
        <v>0.47</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11880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8157887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1812515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3336</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11880</v>
      </c>
      <c r="D62" s="963" t="s">
        <v>786</v>
      </c>
      <c r="E62" s="948" t="s">
        <v>787</v>
      </c>
      <c r="F62" s="325">
        <f t="shared" si="0"/>
        <v>30</v>
      </c>
      <c r="I62" s="1460" t="s">
        <v>858</v>
      </c>
      <c r="J62" s="1461" t="s">
        <v>859</v>
      </c>
      <c r="K62" s="1461" t="s">
        <v>860</v>
      </c>
      <c r="L62" s="1461" t="s">
        <v>861</v>
      </c>
      <c r="M62" s="1462" t="s">
        <v>862</v>
      </c>
      <c r="O62" s="1416" t="s">
        <v>409</v>
      </c>
      <c r="P62" s="1417" t="s">
        <v>863</v>
      </c>
      <c r="Q62" s="1418">
        <f ca="1">Q56+Q57</f>
        <v>96682680</v>
      </c>
      <c r="R62" s="1418" t="s">
        <v>410</v>
      </c>
    </row>
    <row r="63" spans="1:18" s="1382" customFormat="1" ht="13.5" thickBot="1">
      <c r="A63" s="326"/>
      <c r="B63" s="954"/>
      <c r="C63" s="26"/>
      <c r="D63" s="964"/>
      <c r="E63" s="948" t="s">
        <v>788</v>
      </c>
      <c r="F63" s="303">
        <f t="shared" ca="1" si="0"/>
        <v>396.01</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173572</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18225</v>
      </c>
      <c r="D65" s="962" t="s">
        <v>743</v>
      </c>
      <c r="E65" s="948" t="s">
        <v>744</v>
      </c>
      <c r="F65" s="330">
        <f t="shared" ca="1" si="0"/>
        <v>1.5E-3</v>
      </c>
      <c r="I65" s="1460" t="s">
        <v>867</v>
      </c>
      <c r="J65" s="1461">
        <v>40</v>
      </c>
      <c r="K65" s="1461">
        <v>30</v>
      </c>
      <c r="L65" s="1461">
        <v>50</v>
      </c>
      <c r="M65" s="1463">
        <v>0.02</v>
      </c>
      <c r="O65" s="1416" t="s">
        <v>403</v>
      </c>
      <c r="P65" s="1417" t="s">
        <v>868</v>
      </c>
      <c r="Q65" s="1418">
        <f ca="1">C40+J29</f>
        <v>96682680</v>
      </c>
      <c r="R65" s="1418" t="s">
        <v>818</v>
      </c>
    </row>
    <row r="66" spans="1:18" s="1382" customFormat="1" ht="16.5" thickBot="1">
      <c r="A66" s="980" t="s">
        <v>793</v>
      </c>
      <c r="B66" s="948" t="s">
        <v>728</v>
      </c>
      <c r="C66" s="21">
        <f ca="1">ROUND(C48*F66,0)</f>
        <v>0</v>
      </c>
      <c r="D66" s="962" t="s">
        <v>794</v>
      </c>
      <c r="E66" s="948" t="s">
        <v>712</v>
      </c>
      <c r="F66" s="312">
        <f t="shared" ca="1" si="0"/>
        <v>0.01</v>
      </c>
      <c r="O66" s="1416" t="s">
        <v>404</v>
      </c>
      <c r="P66" s="1417" t="s">
        <v>846</v>
      </c>
      <c r="Q66" s="1418">
        <f ca="1">L60</f>
        <v>0</v>
      </c>
      <c r="R66" s="1418" t="s">
        <v>869</v>
      </c>
    </row>
    <row r="67" spans="1:18" s="1382" customFormat="1" ht="16.5" thickBot="1">
      <c r="A67" s="955" t="s">
        <v>394</v>
      </c>
      <c r="B67" s="965" t="s">
        <v>752</v>
      </c>
      <c r="C67" s="316">
        <f ca="1">C48-C58</f>
        <v>-203677</v>
      </c>
      <c r="D67" s="961" t="s">
        <v>753</v>
      </c>
      <c r="E67" s="966"/>
      <c r="F67" s="967"/>
      <c r="O67" s="1426" t="s">
        <v>405</v>
      </c>
      <c r="P67" s="1417" t="s">
        <v>850</v>
      </c>
      <c r="Q67" s="1464">
        <f ca="1">L51</f>
        <v>94152358</v>
      </c>
      <c r="R67" s="1418" t="s">
        <v>870</v>
      </c>
    </row>
    <row r="68" spans="1:18" s="1382" customFormat="1" ht="16.5" thickBot="1">
      <c r="A68" s="945" t="s">
        <v>395</v>
      </c>
      <c r="B68" s="946" t="s">
        <v>774</v>
      </c>
      <c r="C68" s="301">
        <f ca="1">ROUND(C67*(1-((1+F70)/(1+F68))^F69)/(F68-F70),0)</f>
        <v>-2487233</v>
      </c>
      <c r="D68" s="963" t="s">
        <v>758</v>
      </c>
      <c r="E68" s="948" t="s">
        <v>759</v>
      </c>
      <c r="F68" s="312">
        <f ca="1">F40</f>
        <v>5.5E-2</v>
      </c>
      <c r="O68" s="1426" t="s">
        <v>406</v>
      </c>
      <c r="P68" s="1465" t="s">
        <v>871</v>
      </c>
      <c r="Q68" s="1418">
        <f ca="1">ROUND(Q69-Q70*Q71,0)</f>
        <v>5182112</v>
      </c>
      <c r="R68" s="1418" t="s">
        <v>414</v>
      </c>
    </row>
    <row r="69" spans="1:18" s="1382" customFormat="1" ht="13.5" thickBot="1">
      <c r="A69" s="949"/>
      <c r="B69" s="950"/>
      <c r="C69" s="306"/>
      <c r="D69" s="968" t="s">
        <v>762</v>
      </c>
      <c r="E69" s="948" t="s">
        <v>763</v>
      </c>
      <c r="F69" s="333">
        <f ca="1">F41</f>
        <v>20.8</v>
      </c>
      <c r="O69" s="1426" t="s">
        <v>411</v>
      </c>
      <c r="P69" s="1465" t="s">
        <v>872</v>
      </c>
      <c r="Q69" s="1418">
        <f ca="1">C39</f>
        <v>6154116</v>
      </c>
      <c r="R69" s="1418" t="s">
        <v>818</v>
      </c>
    </row>
    <row r="70" spans="1:18" s="1382" customFormat="1" ht="13.5" thickBot="1">
      <c r="A70" s="952"/>
      <c r="B70" s="953"/>
      <c r="C70" s="310"/>
      <c r="D70" s="964"/>
      <c r="E70" s="948" t="s">
        <v>766</v>
      </c>
      <c r="F70" s="1052"/>
      <c r="O70" s="1426" t="s">
        <v>412</v>
      </c>
      <c r="P70" s="1465" t="s">
        <v>873</v>
      </c>
      <c r="Q70" s="1418">
        <f ca="1">C13</f>
        <v>12150045</v>
      </c>
      <c r="R70" s="1418" t="s">
        <v>818</v>
      </c>
    </row>
    <row r="71" spans="1:18" s="1382" customFormat="1" ht="13.5" thickBot="1">
      <c r="A71" s="969" t="s">
        <v>396</v>
      </c>
      <c r="B71" s="970" t="s">
        <v>776</v>
      </c>
      <c r="C71" s="336">
        <f ca="1">ROUND(C68/F71,0)</f>
        <v>-720</v>
      </c>
      <c r="D71" s="971" t="s">
        <v>777</v>
      </c>
      <c r="E71" s="972" t="s">
        <v>778</v>
      </c>
      <c r="F71" s="339">
        <f ca="1">F43</f>
        <v>3455.7</v>
      </c>
      <c r="O71" s="1426" t="s">
        <v>413</v>
      </c>
      <c r="P71" s="1465" t="s">
        <v>874</v>
      </c>
      <c r="Q71" s="1429">
        <f ca="1">C76</f>
        <v>0.08</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972004</v>
      </c>
      <c r="D75" s="1382"/>
      <c r="E75" s="1382"/>
      <c r="F75" s="1382"/>
      <c r="K75" s="1400"/>
      <c r="L75" s="1382"/>
      <c r="O75" s="1416" t="s">
        <v>409</v>
      </c>
      <c r="P75" s="1417" t="s">
        <v>838</v>
      </c>
      <c r="Q75" s="1418">
        <f ca="1">Q65+Q66</f>
        <v>96682680</v>
      </c>
      <c r="R75" s="1418" t="s">
        <v>410</v>
      </c>
    </row>
    <row r="76" spans="1:18">
      <c r="B76" s="342" t="s">
        <v>796</v>
      </c>
      <c r="C76" s="343">
        <f ca="1">INDIRECT("'数据-取费表'!j"&amp;$G$1)</f>
        <v>0.08</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0.84199999999999997</v>
      </c>
    </row>
    <row r="80" spans="1:18">
      <c r="B80" s="340" t="s">
        <v>800</v>
      </c>
      <c r="C80" s="274">
        <f ca="1">ROUND(C75/C39,3)</f>
        <v>0.158</v>
      </c>
    </row>
    <row r="81" spans="2:3">
      <c r="B81" s="270" t="s">
        <v>801</v>
      </c>
      <c r="C81" s="238"/>
    </row>
    <row r="82" spans="2:3">
      <c r="B82" s="273" t="s">
        <v>802</v>
      </c>
      <c r="C82" s="275">
        <f ca="1">1-C83</f>
        <v>0.874</v>
      </c>
    </row>
    <row r="83" spans="2:3">
      <c r="B83" s="273" t="s">
        <v>803</v>
      </c>
      <c r="C83" s="274">
        <f ca="1">ROUND(C13/C40,3)</f>
        <v>0.126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1"/>
      <c r="C2" s="3481"/>
      <c r="D2" s="3481"/>
      <c r="E2" s="3481"/>
    </row>
    <row r="3" spans="1:5" ht="18">
      <c r="A3" s="3482" t="str">
        <f>IF(项目基本情况!B9="房地产市场价值","估价结果一览表（市场价值不需“结果表-1”）","估价结果一览表")</f>
        <v>估价结果一览表</v>
      </c>
      <c r="B3" s="3482"/>
      <c r="C3" s="3482"/>
      <c r="D3" s="3482"/>
      <c r="E3" s="3482"/>
    </row>
    <row r="4" spans="1:5" ht="19.5" thickBot="1">
      <c r="A4" s="1491"/>
      <c r="B4" s="3480" t="s">
        <v>917</v>
      </c>
      <c r="C4" s="3480"/>
      <c r="D4" s="3480"/>
      <c r="E4" s="1491"/>
    </row>
    <row r="5" spans="1:5" ht="16.5" thickTop="1">
      <c r="A5" s="1489"/>
      <c r="B5" s="3478" t="s">
        <v>909</v>
      </c>
      <c r="C5" s="1492" t="s">
        <v>910</v>
      </c>
      <c r="D5" s="848">
        <f ca="1">结果表!H101</f>
        <v>12008</v>
      </c>
      <c r="E5" s="1489"/>
    </row>
    <row r="6" spans="1:5" ht="15.75">
      <c r="A6" s="1489"/>
      <c r="B6" s="3478"/>
      <c r="C6" s="1492" t="s">
        <v>911</v>
      </c>
      <c r="D6" s="848" t="str">
        <f ca="1">NUMBERSTRING(INT(D5*10000),2)&amp;"元整"</f>
        <v>壹亿贰仟零捌万元整</v>
      </c>
      <c r="E6" s="1489"/>
    </row>
    <row r="7" spans="1:5" ht="15.75">
      <c r="A7" s="1489"/>
      <c r="B7" s="3483"/>
      <c r="C7" s="1493" t="s">
        <v>912</v>
      </c>
      <c r="D7" s="849">
        <f ca="1">结果表!H102</f>
        <v>34749</v>
      </c>
      <c r="E7" s="1489"/>
    </row>
    <row r="8" spans="1:5" ht="15.75">
      <c r="A8" s="1489"/>
      <c r="B8" s="3484" t="str">
        <f>结果表!E103</f>
        <v>2.估价师知悉的法定优先受偿款</v>
      </c>
      <c r="C8" s="1494" t="s">
        <v>913</v>
      </c>
      <c r="D8" s="849">
        <f>结果表!H103</f>
        <v>0</v>
      </c>
      <c r="E8" s="1489"/>
    </row>
    <row r="9" spans="1:5" ht="15.75">
      <c r="A9" s="1489"/>
      <c r="B9" s="3486"/>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77" t="str">
        <f>结果表!E107</f>
        <v>3.房地产抵押价值</v>
      </c>
      <c r="C13" s="1497" t="s">
        <v>910</v>
      </c>
      <c r="D13" s="851">
        <f ca="1">结果表!H107</f>
        <v>12008</v>
      </c>
      <c r="E13" s="1489"/>
    </row>
    <row r="14" spans="1:5" ht="15.75">
      <c r="A14" s="1489"/>
      <c r="B14" s="3478"/>
      <c r="C14" s="1492" t="s">
        <v>911</v>
      </c>
      <c r="D14" s="848" t="str">
        <f ca="1">NUMBERSTRING(INT(D13*10000),2)&amp;"元整"</f>
        <v>壹亿贰仟零捌万元整</v>
      </c>
      <c r="E14" s="1489"/>
    </row>
    <row r="15" spans="1:5" ht="15">
      <c r="A15" s="1489"/>
      <c r="B15" s="3483"/>
      <c r="C15" s="1493" t="s">
        <v>921</v>
      </c>
      <c r="D15" s="857">
        <f ca="1">结果表!H108</f>
        <v>34749</v>
      </c>
      <c r="E15" s="1489"/>
    </row>
    <row r="16" spans="1:5" ht="15">
      <c r="A16" s="1489"/>
      <c r="B16" s="3484" t="str">
        <f>结果表!E109</f>
        <v>——</v>
      </c>
      <c r="C16" s="1497" t="s">
        <v>922</v>
      </c>
      <c r="D16" s="1498" t="str">
        <f>结果表!H109</f>
        <v>——</v>
      </c>
      <c r="E16" s="1489"/>
    </row>
    <row r="17" spans="1:5" ht="15.75">
      <c r="A17" s="1489"/>
      <c r="B17" s="3485"/>
      <c r="C17" s="1492" t="s">
        <v>923</v>
      </c>
      <c r="D17" s="848" t="e">
        <f>NUMBERSTRING(INT(D16*10000),2)&amp;"元整"</f>
        <v>#VALUE!</v>
      </c>
      <c r="E17" s="1489"/>
    </row>
    <row r="18" spans="1:5" ht="15">
      <c r="A18" s="1489"/>
      <c r="B18" s="3486"/>
      <c r="C18" s="1493" t="s">
        <v>912</v>
      </c>
      <c r="D18" s="857" t="str">
        <f>结果表!H110</f>
        <v>——</v>
      </c>
      <c r="E18" s="1489"/>
    </row>
    <row r="19" spans="1:5" ht="15.75">
      <c r="A19" s="1489"/>
      <c r="B19" s="3477" t="str">
        <f>结果表!E111</f>
        <v>4.抵押净值</v>
      </c>
      <c r="C19" s="1497" t="s">
        <v>910</v>
      </c>
      <c r="D19" s="849">
        <f ca="1">结果表!H111</f>
        <v>9235</v>
      </c>
      <c r="E19" s="1489"/>
    </row>
    <row r="20" spans="1:5" ht="15.75">
      <c r="A20" s="1489"/>
      <c r="B20" s="3478"/>
      <c r="C20" s="1492" t="s">
        <v>923</v>
      </c>
      <c r="D20" s="848" t="str">
        <f ca="1">NUMBERSTRING(INT(D19*10000),2)&amp;"元整"</f>
        <v>玖仟贰佰叁拾伍万元整</v>
      </c>
      <c r="E20" s="1489"/>
    </row>
    <row r="21" spans="1:5" ht="15.75" thickBot="1">
      <c r="A21" s="1489"/>
      <c r="B21" s="3479"/>
      <c r="C21" s="1499" t="s">
        <v>921</v>
      </c>
      <c r="D21" s="858">
        <f ca="1">结果表!H112</f>
        <v>26724</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2080</v>
      </c>
      <c r="C1" s="3804" t="s">
        <v>2081</v>
      </c>
      <c r="D1" s="3805"/>
      <c r="E1" s="3805"/>
      <c r="F1" s="3805"/>
      <c r="G1" s="3805"/>
      <c r="H1" s="3805"/>
      <c r="I1" s="3805"/>
      <c r="J1" s="3805"/>
      <c r="K1" s="3805"/>
      <c r="L1" s="3805"/>
      <c r="M1" s="3805"/>
      <c r="N1" s="3805"/>
      <c r="O1" s="3805"/>
      <c r="P1" s="3805"/>
      <c r="Q1" s="3805"/>
      <c r="R1" s="3805"/>
      <c r="S1" s="3806"/>
      <c r="T1" s="981" t="s">
        <v>2082</v>
      </c>
    </row>
    <row r="2" spans="1:45" s="655" customFormat="1" ht="38.25">
      <c r="A2" s="982"/>
      <c r="B2" s="651" t="s">
        <v>2083</v>
      </c>
      <c r="C2" s="652" t="str">
        <f t="shared" ref="C2:L2" si="0">C3&amp;"(含)"&amp;"-"&amp;D3</f>
        <v>100(含)-300</v>
      </c>
      <c r="D2" s="653" t="str">
        <f t="shared" si="0"/>
        <v>300(含)-500</v>
      </c>
      <c r="E2" s="653" t="str">
        <f t="shared" si="0"/>
        <v>500(含)-700</v>
      </c>
      <c r="F2" s="653" t="str">
        <f t="shared" si="0"/>
        <v>700(含)-900</v>
      </c>
      <c r="G2" s="653" t="str">
        <f t="shared" si="0"/>
        <v>900(含)-1100</v>
      </c>
      <c r="H2" s="653" t="str">
        <f t="shared" si="0"/>
        <v>1100(含)-1300</v>
      </c>
      <c r="I2" s="653" t="str">
        <f t="shared" si="0"/>
        <v>1300(含)-1500</v>
      </c>
      <c r="J2" s="653" t="str">
        <f t="shared" si="0"/>
        <v>1500(含)-1700</v>
      </c>
      <c r="K2" s="653" t="str">
        <f t="shared" si="0"/>
        <v>1700(含)-2000</v>
      </c>
      <c r="L2" s="653" t="str">
        <f t="shared" si="0"/>
        <v>2000(含)-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3446">
        <v>100</v>
      </c>
      <c r="D3" s="3446">
        <v>300</v>
      </c>
      <c r="E3" s="3446">
        <v>500</v>
      </c>
      <c r="F3" s="3446">
        <v>700</v>
      </c>
      <c r="G3" s="3446">
        <v>900</v>
      </c>
      <c r="H3" s="3446">
        <v>1100</v>
      </c>
      <c r="I3" s="3446">
        <v>1300</v>
      </c>
      <c r="J3" s="1303">
        <v>1500</v>
      </c>
      <c r="K3" s="1303">
        <v>1700</v>
      </c>
      <c r="L3" s="1304">
        <v>2000</v>
      </c>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3447">
        <v>99</v>
      </c>
      <c r="D4" s="3447">
        <v>100</v>
      </c>
      <c r="E4" s="3447">
        <v>99</v>
      </c>
      <c r="F4" s="3447">
        <v>98</v>
      </c>
      <c r="G4" s="3447">
        <v>97</v>
      </c>
      <c r="H4" s="3447">
        <v>96</v>
      </c>
      <c r="I4" s="3447">
        <v>95</v>
      </c>
      <c r="J4" s="1307">
        <v>94</v>
      </c>
      <c r="K4" s="1307">
        <v>93</v>
      </c>
      <c r="L4" s="1307">
        <v>92</v>
      </c>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455" t="s">
        <v>3453</v>
      </c>
      <c r="C5" s="993" t="s">
        <v>3454</v>
      </c>
      <c r="D5" s="994" t="s">
        <v>3455</v>
      </c>
      <c r="E5" s="994" t="s">
        <v>3456</v>
      </c>
      <c r="F5" s="1310"/>
      <c r="G5" s="1310"/>
      <c r="H5" s="1310"/>
      <c r="I5" s="1310"/>
      <c r="J5" s="1310"/>
      <c r="K5" s="1310"/>
      <c r="L5" s="1311"/>
      <c r="M5" s="1312"/>
      <c r="N5" s="1312"/>
      <c r="O5" s="1310"/>
      <c r="P5" s="1310"/>
      <c r="Q5" s="1310"/>
      <c r="R5" s="1310"/>
      <c r="S5" s="1313"/>
      <c r="T5" s="996">
        <f>'比较法-办公'!K27</f>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98</v>
      </c>
      <c r="E6" s="900">
        <f t="shared" ref="E6:S6" si="7">D6-$T5</f>
        <v>96</v>
      </c>
      <c r="F6" s="1314">
        <f t="shared" si="7"/>
        <v>94</v>
      </c>
      <c r="G6" s="1314">
        <f t="shared" si="7"/>
        <v>92</v>
      </c>
      <c r="H6" s="1314">
        <f t="shared" si="7"/>
        <v>90</v>
      </c>
      <c r="I6" s="1314">
        <f t="shared" si="7"/>
        <v>88</v>
      </c>
      <c r="J6" s="1314">
        <f t="shared" si="7"/>
        <v>86</v>
      </c>
      <c r="K6" s="1314">
        <f t="shared" si="7"/>
        <v>84</v>
      </c>
      <c r="L6" s="1314">
        <f t="shared" si="7"/>
        <v>82</v>
      </c>
      <c r="M6" s="1314">
        <f t="shared" si="7"/>
        <v>80</v>
      </c>
      <c r="N6" s="1314">
        <f t="shared" si="7"/>
        <v>78</v>
      </c>
      <c r="O6" s="1314">
        <f t="shared" si="7"/>
        <v>76</v>
      </c>
      <c r="P6" s="1314">
        <f t="shared" si="7"/>
        <v>74</v>
      </c>
      <c r="Q6" s="1314">
        <f t="shared" si="7"/>
        <v>72</v>
      </c>
      <c r="R6" s="1314">
        <f t="shared" si="7"/>
        <v>70</v>
      </c>
      <c r="S6" s="1314">
        <f t="shared" si="7"/>
        <v>68</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2084</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2085</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2086</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2087</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2088</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2089</v>
      </c>
      <c r="B17" s="2147" t="s">
        <v>2090</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2091</v>
      </c>
      <c r="E19" s="1338"/>
      <c r="F19" s="1338"/>
      <c r="G19" s="1338"/>
      <c r="H19" s="1057"/>
      <c r="I19" s="159"/>
      <c r="J19" s="159"/>
      <c r="K19" s="159"/>
      <c r="L19" s="159"/>
      <c r="M19" s="159"/>
      <c r="N19" s="159"/>
      <c r="O19" s="159"/>
      <c r="P19" s="159"/>
      <c r="Q19" s="159"/>
      <c r="R19" s="716"/>
      <c r="S19" s="129"/>
    </row>
    <row r="20" spans="1:45" ht="16.5" thickBot="1">
      <c r="A20" s="660" t="s">
        <v>2092</v>
      </c>
      <c r="B20" s="294" t="e">
        <f ca="1">IF(D20="——",S22,S22-F20)</f>
        <v>#N/A</v>
      </c>
      <c r="C20" s="159"/>
      <c r="D20" s="2149" t="s">
        <v>43</v>
      </c>
      <c r="E20" s="1339"/>
      <c r="F20" s="981" t="e">
        <f ca="1">SUMIF(INDIRECT("'"&amp;H20&amp;"'"&amp;"!A:A"),"承租人权益价值",INDIRECT("'"&amp;H20&amp;"'"&amp;"!c:c"))</f>
        <v>#REF!</v>
      </c>
      <c r="G20" s="981" t="s">
        <v>2093</v>
      </c>
      <c r="H20" s="2150"/>
      <c r="I20" s="159"/>
      <c r="J20" s="159"/>
      <c r="K20" s="159"/>
      <c r="L20" s="159"/>
      <c r="M20" s="159"/>
      <c r="N20" s="159"/>
      <c r="O20" s="159"/>
      <c r="P20" s="159"/>
      <c r="Q20" s="159"/>
      <c r="R20" s="716"/>
      <c r="S20" s="129"/>
    </row>
    <row r="21" spans="1:45" ht="15.75">
      <c r="A21" s="660" t="s">
        <v>2094</v>
      </c>
      <c r="B21" s="294" t="e">
        <f ca="1">ROUND(B20*10000/B22,0)</f>
        <v>#N/A</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3455.7</v>
      </c>
      <c r="C22" s="3801" t="s">
        <v>27</v>
      </c>
      <c r="D22" s="3802"/>
      <c r="E22" s="3802"/>
      <c r="F22" s="3802"/>
      <c r="G22" s="3802"/>
      <c r="H22" s="3802"/>
      <c r="I22" s="3802"/>
      <c r="J22" s="3802"/>
      <c r="K22" s="3802"/>
      <c r="L22" s="3802"/>
      <c r="M22" s="3802"/>
      <c r="N22" s="3802"/>
      <c r="O22" s="3802"/>
      <c r="P22" s="3802"/>
      <c r="Q22" s="3803"/>
      <c r="R22" s="661" t="e">
        <f ca="1">ROUND(S22*10000/B22,0)</f>
        <v>#N/A</v>
      </c>
      <c r="S22" s="21" t="e">
        <f ca="1">SUM(S24:S10000)</f>
        <v>#N/A</v>
      </c>
      <c r="T22" s="723">
        <v>6095</v>
      </c>
      <c r="U22" s="723" t="e">
        <f ca="1">T22-S22</f>
        <v>#N/A</v>
      </c>
    </row>
    <row r="23" spans="1:45" s="9" customFormat="1" ht="24">
      <c r="A23" s="8" t="s">
        <v>2096</v>
      </c>
      <c r="B23" s="8" t="s">
        <v>2097</v>
      </c>
      <c r="C23" s="8" t="s">
        <v>2098</v>
      </c>
      <c r="D23" s="8" t="str">
        <f>B5</f>
        <v>楼层</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662" t="s">
        <v>2099</v>
      </c>
      <c r="S23" s="8" t="s">
        <v>2100</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0</v>
      </c>
      <c r="B24" s="663">
        <f>'数据-基础表'!I13</f>
        <v>3455.7</v>
      </c>
      <c r="C24" s="2803">
        <v>1</v>
      </c>
      <c r="D24" s="2804" t="s">
        <v>3456</v>
      </c>
      <c r="E24" s="2803">
        <v>1</v>
      </c>
      <c r="F24" s="2804"/>
      <c r="G24" s="2803">
        <v>1</v>
      </c>
      <c r="H24" s="2804"/>
      <c r="I24" s="2803">
        <v>1</v>
      </c>
      <c r="J24" s="2804"/>
      <c r="K24" s="2803">
        <v>1</v>
      </c>
      <c r="L24" s="2804"/>
      <c r="M24" s="2803">
        <v>1</v>
      </c>
      <c r="N24" s="2804"/>
      <c r="O24" s="2803">
        <v>1</v>
      </c>
      <c r="P24" s="2804"/>
      <c r="Q24" s="2803">
        <v>1</v>
      </c>
      <c r="R24" s="666">
        <f ca="1">结果表!G20</f>
        <v>34749</v>
      </c>
      <c r="S24" s="664">
        <f t="shared" ref="S24:S54" ca="1" si="11">ROUND(R24*B24/10000,0)</f>
        <v>12008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'数据-基础表'!C14</f>
        <v>0</v>
      </c>
      <c r="B25" s="663">
        <f>'数据-基础表'!I14</f>
        <v>0</v>
      </c>
      <c r="C25" s="21" t="e">
        <f>IF(B25="",1,(LOOKUP(B25,$3:$3,$4:$4)-LOOKUP($B$24,$3:$3,$4:$4)+100)/100)</f>
        <v>#N/A</v>
      </c>
      <c r="D25" s="665" t="s">
        <v>3454</v>
      </c>
      <c r="E25" s="21">
        <f>(SUMIF($5:$5,D25,$6:$6)-SUMIF($5:$5,$D$24,$6:$6)+100)/100</f>
        <v>1.04</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t="e">
        <f ca="1">IF(B25="",0,ROUND($R$24*C25*E25*G25*I25*K25*M25*O25*Q25,0))</f>
        <v>#N/A</v>
      </c>
      <c r="S25" s="316" t="e">
        <f t="shared" ca="1" si="11"/>
        <v>#N/A</v>
      </c>
    </row>
    <row r="26" spans="1:45">
      <c r="A26" s="663">
        <f>'数据-基础表'!C15</f>
        <v>0</v>
      </c>
      <c r="B26" s="663">
        <f>'数据-基础表'!I15</f>
        <v>0</v>
      </c>
      <c r="C26" s="21" t="e">
        <f t="shared" ref="C26:C89" si="12">IF(B26="",1,(LOOKUP(B26,$3:$3,$4:$4)-LOOKUP($B$24,$3:$3,$4:$4)+100)/100)</f>
        <v>#N/A</v>
      </c>
      <c r="D26" s="665" t="s">
        <v>3454</v>
      </c>
      <c r="E26" s="21">
        <f t="shared" ref="E26:E89" si="13">(SUMIF($5:$5,D26,$6:$6)-SUMIF($5:$5,$D$24,$6:$6)+100)/100</f>
        <v>1.04</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t="e">
        <f t="shared" ref="R26:R89" ca="1" si="20">IF(B26="",0,ROUND($R$24*C26*E26*G26*I26*K26*M26*O26*Q26,0))</f>
        <v>#N/A</v>
      </c>
      <c r="S26" s="316" t="e">
        <f t="shared" ca="1" si="11"/>
        <v>#N/A</v>
      </c>
    </row>
    <row r="27" spans="1:45">
      <c r="A27" s="150"/>
      <c r="B27" s="54"/>
      <c r="C27" s="21">
        <f t="shared" si="12"/>
        <v>1</v>
      </c>
      <c r="D27" s="665"/>
      <c r="E27" s="21">
        <f t="shared" si="13"/>
        <v>0.04</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0.04</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0.04</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0.04</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0.04</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0.04</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0.04</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0.04</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0.04</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0.04</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0.04</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0.04</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0.04</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0.04</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0.04</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0.04</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0.04</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0.04</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0.04</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0.04</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0.04</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0.04</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0.04</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0.04</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0.04</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0.04</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0.04</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0.04</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0.04</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0.04</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0.04</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0.04</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0.04</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0.04</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0.04</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0.04</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0.04</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0.04</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0.04</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0.04</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0.04</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0.04</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0.04</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0.04</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0.04</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0.04</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0.04</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0.04</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0.04</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0.04</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0.04</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0.04</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0.04</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0.04</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0.04</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0.04</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0.04</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0.04</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0.04</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0.04</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0.04</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0.04</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0.04</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0.04</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0.04</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0.04</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0.04</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0.04</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0.04</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0.04</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0.04</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0.04</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0.04</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0.04</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0.04</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0.04</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0.04</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0.04</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0.04</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0.04</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0.04</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0.04</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0.04</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0.04</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0.04</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0.04</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0.04</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0.04</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0.04</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0.04</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0.04</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0.04</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0.04</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0.04</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0.04</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0.04</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0.04</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0.04</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0.04</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0.04</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0.04</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0.04</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0.04</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0.04</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0.04</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0.04</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0.04</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0.04</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0.04</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0.04</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0.04</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0.04</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0.04</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0.04</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0.04</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0.04</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0.04</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0.04</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0.04</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0.04</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0.04</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0.04</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0.04</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0.04</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0.04</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0.04</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0.04</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0.04</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0.04</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0.04</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0.04</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0.04</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0.04</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0.04</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0.04</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0.04</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0.04</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0.04</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0.04</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0.04</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0.04</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0.04</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0.04</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0.04</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0.04</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0.04</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0.04</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0.04</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0.04</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0.04</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0.04</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0.04</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0.04</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0.04</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0.04</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0.04</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0.04</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0.04</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0.04</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0.04</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0.04</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0.04</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0.04</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0.04</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0.04</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0.04</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0.04</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0.04</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0.04</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0.04</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0.04</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0.04</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0.04</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0.04</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0.04</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0.04</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0.04</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0.04</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0.04</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0.04</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0.04</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0.04</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0.04</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0.04</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0.04</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0.04</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0.04</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0.04</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0.04</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0.04</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0.04</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0.04</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0.04</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0.04</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0.04</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0.04</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0.04</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0.04</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0.04</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0.04</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0.04</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0.04</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0.04</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0.04</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0.04</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0.04</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0.04</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0.04</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0.04</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0.04</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0.04</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0.04</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0.04</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0.04</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0.04</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0.04</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0.04</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0.04</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0.04</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0.04</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0.04</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0.04</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0.04</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0.04</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0.04</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0.04</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0.04</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0.04</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0.04</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0.04</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0.04</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0.04</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0.04</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0.04</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0.04</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0.04</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0.04</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0.04</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0.04</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0.04</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0.04</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0.04</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0.04</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0.04</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0.04</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0.04</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0.04</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0.04</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0.04</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0.04</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0.04</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0.04</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0.04</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0.04</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0.04</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0.04</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0.04</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0.04</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0.04</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0.04</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0.04</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0.04</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0.04</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0.04</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0.04</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0.04</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0.04</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0.04</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0.04</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0.04</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0.04</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0.04</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0.04</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0.04</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0.04</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0.04</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0.04</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0.04</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0.04</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0.04</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0.04</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0.04</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0.04</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0.04</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0.04</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0.04</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0.04</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0.04</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0.04</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0.04</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0.04</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0.04</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0.04</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0.04</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0.04</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0.04</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0.04</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0.04</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0.04</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0.04</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0.04</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0.04</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0.04</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0.04</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0.04</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0.04</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0.04</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0.04</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0.04</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0.04</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0.04</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0.04</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0.04</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0.04</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0.04</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0.04</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0.04</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0.04</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0.04</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0.04</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0.04</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0.04</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0.04</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0.04</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0.04</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0.04</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0.04</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0.04</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0.04</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0.04</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0.04</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0.04</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0.04</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0.04</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0.04</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0.04</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0.04</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0.04</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0.04</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0.04</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0.04</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0.04</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0.04</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0.04</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0.04</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0.04</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0.04</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0.04</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0.04</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0.04</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0.04</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0.04</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0.04</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0.04</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0.04</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0.04</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0.04</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0.04</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0.04</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0.04</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0.04</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0.04</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0.04</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0.04</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0.04</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0.04</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0.04</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0.04</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0.04</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0.04</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0.04</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0.04</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0.04</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0.04</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0.04</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0.04</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0.04</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0.04</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0.04</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0.04</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0.04</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0.04</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0.04</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0.04</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0.04</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0.04</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0.04</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0.04</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0.04</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0.04</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0.04</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0.04</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0.04</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0.04</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0.04</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0.04</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0.04</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0.04</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0.04</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0.04</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0.04</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0.04</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0.04</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0.04</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0.04</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0.04</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0.04</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0.04</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0.04</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0.04</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0.04</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0.04</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0.04</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0.04</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0.04</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0.04</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0.04</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0.04</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0.04</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0.04</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0.04</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0.04</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0.04</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0.04</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0.04</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0.04</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0.04</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0.04</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0.04</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0.04</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0.04</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0.04</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0.04</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0.04</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0.04</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0.04</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0.04</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0.04</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0.04</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0.04</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0.04</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0.04</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0.04</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0.04</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0.04</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0.04</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0.04</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0.04</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0.04</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0.04</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0.04</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0.04</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0.04</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0.04</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0.04</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0.04</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0.04</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0.04</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0.04</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0.04</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0.04</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0.04</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0.04</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0.04</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0.04</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0.04</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0.04</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0.04</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0.04</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0.04</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0.04</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0.04</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0.04</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0.04</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0.04</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0.04</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0.04</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0.04</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0.04</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0.04</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0.04</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0.04</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0.04</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0.04</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0.04</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0.04</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0.04</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0.04</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0.04</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0.04</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0.04</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0.04</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0.04</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0.04</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0.04</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0.04</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0.04</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0.04</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09" t="s">
        <v>2839</v>
      </c>
      <c r="B1" s="3809"/>
      <c r="C1" s="3809"/>
      <c r="D1" s="3809"/>
      <c r="E1" s="3809"/>
      <c r="F1" s="3809"/>
      <c r="G1" s="3810"/>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07" t="s">
        <v>2866</v>
      </c>
      <c r="B3" s="3224"/>
      <c r="C3" s="3225" t="s">
        <v>2805</v>
      </c>
      <c r="D3" s="3225" t="s">
        <v>2867</v>
      </c>
      <c r="E3" s="3225" t="s">
        <v>2807</v>
      </c>
      <c r="F3" s="3225" t="s">
        <v>2868</v>
      </c>
      <c r="G3" s="3225" t="s">
        <v>2625</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08"/>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11" t="s">
        <v>3181</v>
      </c>
      <c r="B1" s="3811"/>
    </row>
    <row r="2" spans="1:7" ht="14.25" thickBot="1">
      <c r="A2" s="3249"/>
      <c r="B2" s="3249"/>
    </row>
    <row r="3" spans="1:7" ht="14.25" thickBot="1">
      <c r="A3" s="3249"/>
      <c r="B3" s="3249"/>
      <c r="C3" s="3250" t="s">
        <v>2805</v>
      </c>
      <c r="D3" s="3250" t="s">
        <v>2867</v>
      </c>
      <c r="E3" s="3250" t="s">
        <v>2807</v>
      </c>
      <c r="F3" s="3250" t="s">
        <v>2868</v>
      </c>
      <c r="G3" s="3250" t="s">
        <v>2625</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12" t="s">
        <v>3232</v>
      </c>
      <c r="B1" s="3812"/>
      <c r="C1" s="3812"/>
      <c r="D1" s="3812"/>
      <c r="E1" s="3812"/>
      <c r="F1" s="3813"/>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15">
        <f>基准地价修正!G23</f>
        <v>45037</v>
      </c>
      <c r="B1" s="3204" t="s">
        <v>2838</v>
      </c>
      <c r="C1" s="3205"/>
      <c r="D1" s="3205"/>
      <c r="E1" s="3205"/>
      <c r="F1" s="3205"/>
      <c r="G1" s="3205"/>
      <c r="H1" s="3205"/>
      <c r="I1" s="3205"/>
      <c r="J1" s="3158"/>
      <c r="K1" s="3205" t="s">
        <v>454</v>
      </c>
      <c r="L1" s="3205"/>
      <c r="M1" s="3205"/>
      <c r="N1" s="3205"/>
      <c r="O1" s="3205"/>
      <c r="P1" s="3205"/>
      <c r="Q1" s="3158"/>
      <c r="R1" s="3814" t="s">
        <v>456</v>
      </c>
      <c r="S1" s="3815"/>
      <c r="T1" s="3815"/>
      <c r="U1" s="3815"/>
      <c r="V1" s="3815"/>
      <c r="W1" s="3815"/>
      <c r="X1" s="3158"/>
      <c r="Y1" s="3814" t="s">
        <v>457</v>
      </c>
      <c r="Z1" s="3815"/>
      <c r="AA1" s="3815"/>
      <c r="AB1" s="3815"/>
      <c r="AC1" s="3815"/>
      <c r="AD1" s="3815"/>
    </row>
    <row r="2" spans="1:30" s="3136" customFormat="1" ht="14.25" thickBot="1">
      <c r="B2" s="3137"/>
      <c r="C2" s="3138"/>
      <c r="D2" s="3139" t="s">
        <v>2804</v>
      </c>
      <c r="E2" s="3140" t="s">
        <v>2805</v>
      </c>
      <c r="F2" s="3140" t="s">
        <v>2806</v>
      </c>
      <c r="G2" s="3140" t="s">
        <v>2807</v>
      </c>
      <c r="H2" s="3140" t="s">
        <v>2808</v>
      </c>
      <c r="I2" s="3140" t="s">
        <v>2625</v>
      </c>
      <c r="J2" s="3141"/>
      <c r="K2" s="3139" t="s">
        <v>2804</v>
      </c>
      <c r="L2" s="3140" t="s">
        <v>2805</v>
      </c>
      <c r="M2" s="3140" t="s">
        <v>2806</v>
      </c>
      <c r="N2" s="3140" t="s">
        <v>2807</v>
      </c>
      <c r="O2" s="3140" t="s">
        <v>2809</v>
      </c>
      <c r="P2" s="3140" t="s">
        <v>2625</v>
      </c>
      <c r="Q2" s="3141"/>
      <c r="R2" s="3139" t="s">
        <v>2804</v>
      </c>
      <c r="S2" s="3140" t="s">
        <v>2805</v>
      </c>
      <c r="T2" s="3140" t="s">
        <v>2806</v>
      </c>
      <c r="U2" s="3140" t="s">
        <v>2810</v>
      </c>
      <c r="V2" s="3140" t="s">
        <v>2811</v>
      </c>
      <c r="W2" s="3140" t="s">
        <v>2625</v>
      </c>
      <c r="X2" s="3141"/>
      <c r="Y2" s="3139" t="s">
        <v>2804</v>
      </c>
      <c r="Z2" s="3140" t="s">
        <v>2805</v>
      </c>
      <c r="AA2" s="3140" t="s">
        <v>2806</v>
      </c>
      <c r="AB2" s="3140" t="s">
        <v>2812</v>
      </c>
      <c r="AC2" s="3140" t="s">
        <v>2811</v>
      </c>
      <c r="AD2" s="3140" t="s">
        <v>2625</v>
      </c>
    </row>
    <row r="3" spans="1:30" s="3154" customFormat="1" ht="12.75">
      <c r="A3" s="3142" t="s">
        <v>2813</v>
      </c>
      <c r="B3" s="3143"/>
      <c r="C3" s="3144"/>
      <c r="D3" s="3144">
        <f>ROUND(AVERAGEIF(D4:D13,"&lt;&gt;0"),2)</f>
        <v>0.84</v>
      </c>
      <c r="E3" s="3144">
        <f t="shared" ref="E3:H3" si="0">ROUND(AVERAGEIF(E4:E13,"&lt;&gt;0"),2)</f>
        <v>0.35</v>
      </c>
      <c r="F3" s="3144">
        <f t="shared" si="0"/>
        <v>0.15</v>
      </c>
      <c r="G3" s="3144">
        <f t="shared" si="0"/>
        <v>0.92</v>
      </c>
      <c r="H3" s="3144">
        <f t="shared" si="0"/>
        <v>0.68</v>
      </c>
      <c r="I3" s="3144">
        <f>F3</f>
        <v>0.15</v>
      </c>
      <c r="J3" s="3145"/>
      <c r="K3" s="3146">
        <f>ROUND(AVERAGEIF(K4:K13,"&lt;&gt;0"),4)</f>
        <v>8.3999999999999995E-3</v>
      </c>
      <c r="L3" s="3147">
        <f t="shared" ref="L3:O3" si="1">ROUND(AVERAGEIF(L4:L13,"&lt;&gt;0"),4)</f>
        <v>3.5000000000000001E-3</v>
      </c>
      <c r="M3" s="3147">
        <f t="shared" si="1"/>
        <v>1.5E-3</v>
      </c>
      <c r="N3" s="3147">
        <f t="shared" si="1"/>
        <v>9.1999999999999998E-3</v>
      </c>
      <c r="O3" s="3147">
        <f t="shared" si="1"/>
        <v>6.7999999999999996E-3</v>
      </c>
      <c r="P3" s="3147">
        <f>M3</f>
        <v>1.5E-3</v>
      </c>
      <c r="Q3" s="3145"/>
      <c r="R3" s="3148">
        <f>ROUND(SUMPRODUCT(PRODUCT(1+K4:K13)),4)</f>
        <v>1.0602</v>
      </c>
      <c r="S3" s="3149">
        <f t="shared" ref="S3:V3" si="2">ROUND(SUMPRODUCT(PRODUCT(1+L4:L13)),4)</f>
        <v>1.0246</v>
      </c>
      <c r="T3" s="3149">
        <f t="shared" si="2"/>
        <v>1.0107999999999999</v>
      </c>
      <c r="U3" s="3149">
        <f t="shared" si="2"/>
        <v>1.0662</v>
      </c>
      <c r="V3" s="3149">
        <f t="shared" si="2"/>
        <v>1.0485</v>
      </c>
      <c r="W3" s="3148">
        <f>T3</f>
        <v>1.0107999999999999</v>
      </c>
      <c r="X3" s="3145"/>
      <c r="Y3" s="3150">
        <f>ROUND(AVERAGEIF(Y5:Y13,"&lt;&gt;0"),4)</f>
        <v>8.8000000000000005E-3</v>
      </c>
      <c r="Z3" s="3151">
        <f t="shared" ref="Z3:AC3" si="3">ROUND(AVERAGEIF(Z5:Z13,"&lt;&gt;0"),4)</f>
        <v>3.5999999999999999E-3</v>
      </c>
      <c r="AA3" s="3152">
        <f t="shared" si="3"/>
        <v>8.0000000000000004E-4</v>
      </c>
      <c r="AB3" s="3150">
        <f t="shared" si="3"/>
        <v>9.5999999999999992E-3</v>
      </c>
      <c r="AC3" s="3153">
        <f t="shared" si="3"/>
        <v>6.1000000000000004E-3</v>
      </c>
      <c r="AD3" s="3150">
        <f>AA3</f>
        <v>8.0000000000000004E-4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3169" t="s">
        <v>2814</v>
      </c>
      <c r="B5" s="3170">
        <v>2023</v>
      </c>
      <c r="C5" s="3171">
        <v>1</v>
      </c>
      <c r="D5" s="3172">
        <v>0</v>
      </c>
      <c r="E5" s="3172">
        <v>0</v>
      </c>
      <c r="F5" s="3172">
        <v>0</v>
      </c>
      <c r="G5" s="3172">
        <v>0</v>
      </c>
      <c r="H5" s="3172">
        <v>0</v>
      </c>
      <c r="I5" s="3173">
        <f t="shared" ref="I5:I13" si="4">F5</f>
        <v>0</v>
      </c>
      <c r="J5" s="3174"/>
      <c r="K5" s="3175">
        <f t="shared" ref="K5:O13" si="5">D5/100</f>
        <v>0</v>
      </c>
      <c r="L5" s="3165">
        <f t="shared" si="5"/>
        <v>0</v>
      </c>
      <c r="M5" s="3165">
        <f t="shared" si="5"/>
        <v>0</v>
      </c>
      <c r="N5" s="3165">
        <f t="shared" si="5"/>
        <v>0</v>
      </c>
      <c r="O5" s="3165">
        <f t="shared" si="5"/>
        <v>0</v>
      </c>
      <c r="P5" s="3165">
        <f>M5</f>
        <v>0</v>
      </c>
      <c r="Q5" s="3174"/>
      <c r="R5" s="3176">
        <f>ROUND(IF([4]项目基本情况!B8="出让",SUMPRODUCT(PRODUCT(1+K5:K13)),SUMPRODUCT(PRODUCT(1+K5:K12))),4)</f>
        <v>1.05</v>
      </c>
      <c r="S5" s="3176">
        <f>ROUND(IF([4]项目基本情况!B8="出让",SUMPRODUCT(PRODUCT(1+L5:L13)),SUMPRODUCT(PRODUCT(1+L5:L12))),4)</f>
        <v>1.0229999999999999</v>
      </c>
      <c r="T5" s="3176">
        <f>ROUND(IF([4]项目基本情况!B8="出让",SUMPRODUCT(PRODUCT(1+M5:M13)),SUMPRODUCT(PRODUCT(1+M5:M12))),4)</f>
        <v>1.0134000000000001</v>
      </c>
      <c r="U5" s="3176">
        <f>ROUND(IF([4]项目基本情况!B8="出让",SUMPRODUCT(PRODUCT(1+N5:N13)),SUMPRODUCT(PRODUCT(1+N5:N12))),4)</f>
        <v>1.0545</v>
      </c>
      <c r="V5" s="3176">
        <f>ROUND(IF([4]项目基本情况!B8="出让",SUMPRODUCT(PRODUCT(1+O5:O13)),SUMPRODUCT(PRODUCT(1+O5:O12))),4)</f>
        <v>1.0447</v>
      </c>
      <c r="W5" s="3176">
        <f>T5</f>
        <v>1.0134000000000001</v>
      </c>
      <c r="X5" s="3174"/>
      <c r="Y5" s="3177">
        <f>IF(D5=0,0,ROUND(AVERAGE(D5:D13)/100,4))</f>
        <v>0</v>
      </c>
      <c r="Z5" s="3177">
        <f t="shared" ref="Z5:AC5" si="6">IF(E5=0,0,ROUND(AVERAGE(E5:E13)/100,4))</f>
        <v>0</v>
      </c>
      <c r="AA5" s="3177">
        <f t="shared" si="6"/>
        <v>0</v>
      </c>
      <c r="AB5" s="3177">
        <f t="shared" si="6"/>
        <v>0</v>
      </c>
      <c r="AC5" s="3177">
        <f t="shared" si="6"/>
        <v>0</v>
      </c>
      <c r="AD5" s="3177">
        <f t="shared" ref="AD5:AD12" si="7">AA5</f>
        <v>0</v>
      </c>
    </row>
    <row r="6" spans="1:30" s="3179" customFormat="1" ht="12.75">
      <c r="A6" s="3169" t="s">
        <v>2815</v>
      </c>
      <c r="B6" s="3170">
        <v>2022</v>
      </c>
      <c r="C6" s="3171">
        <v>4</v>
      </c>
      <c r="D6" s="3172">
        <v>0</v>
      </c>
      <c r="E6" s="3172">
        <v>0</v>
      </c>
      <c r="F6" s="3172">
        <v>0</v>
      </c>
      <c r="G6" s="3172">
        <v>0</v>
      </c>
      <c r="H6" s="3172">
        <v>0</v>
      </c>
      <c r="I6" s="3173">
        <f t="shared" si="4"/>
        <v>0</v>
      </c>
      <c r="J6" s="3174"/>
      <c r="K6" s="3175">
        <f t="shared" si="5"/>
        <v>0</v>
      </c>
      <c r="L6" s="3165">
        <f t="shared" si="5"/>
        <v>0</v>
      </c>
      <c r="M6" s="3165">
        <f t="shared" si="5"/>
        <v>0</v>
      </c>
      <c r="N6" s="3165">
        <f t="shared" si="5"/>
        <v>0</v>
      </c>
      <c r="O6" s="3165">
        <f t="shared" si="5"/>
        <v>0</v>
      </c>
      <c r="P6" s="3165">
        <f t="shared" ref="P6:P13" si="8">M6</f>
        <v>0</v>
      </c>
      <c r="Q6" s="3174"/>
      <c r="R6" s="3176">
        <f>ROUND(IF([4]项目基本情况!B8="出让",SUMPRODUCT(PRODUCT(1+K6:K13)),SUMPRODUCT(PRODUCT(1+K6:K12))),4)</f>
        <v>1.05</v>
      </c>
      <c r="S6" s="3176">
        <f>ROUND(IF([4]项目基本情况!B8="出让",SUMPRODUCT(PRODUCT(1+L6:L13)),SUMPRODUCT(PRODUCT(1+L6:L12))),4)</f>
        <v>1.0229999999999999</v>
      </c>
      <c r="T6" s="3176">
        <f>ROUND(IF([4]项目基本情况!B8="出让",SUMPRODUCT(PRODUCT(1+M6:M13)),SUMPRODUCT(PRODUCT(1+M6:M12))),4)</f>
        <v>1.0134000000000001</v>
      </c>
      <c r="U6" s="3176">
        <f>ROUND(IF([4]项目基本情况!B8="出让",SUMPRODUCT(PRODUCT(1+N6:N13)),SUMPRODUCT(PRODUCT(1+N6:N12))),4)</f>
        <v>1.0545</v>
      </c>
      <c r="V6" s="3176">
        <f>ROUND(IF([4]项目基本情况!B8="出让",SUMPRODUCT(PRODUCT(1+O6:O13)),SUMPRODUCT(PRODUCT(1+O6:O12))),4)</f>
        <v>1.0447</v>
      </c>
      <c r="W6" s="3176">
        <f t="shared" ref="W6:W13" si="9">T6</f>
        <v>1.0134000000000001</v>
      </c>
      <c r="X6" s="3174"/>
      <c r="Y6" s="3177">
        <f>IF(D6=0,0,ROUND(AVERAGE(D6:D14)/100,4))</f>
        <v>0</v>
      </c>
      <c r="Z6" s="3177">
        <f t="shared" ref="Z6:AC6" si="10">IF(E6=0,0,ROUND(AVERAGE(E6:E13)/100,4))</f>
        <v>0</v>
      </c>
      <c r="AA6" s="3177">
        <f t="shared" si="10"/>
        <v>0</v>
      </c>
      <c r="AB6" s="3177">
        <f t="shared" si="10"/>
        <v>0</v>
      </c>
      <c r="AC6" s="3177">
        <f t="shared" si="10"/>
        <v>0</v>
      </c>
      <c r="AD6" s="3177">
        <f t="shared" si="7"/>
        <v>0</v>
      </c>
    </row>
    <row r="7" spans="1:30" s="3189" customFormat="1" ht="12.75">
      <c r="A7" s="3180" t="s">
        <v>3355</v>
      </c>
      <c r="B7" s="3181">
        <v>2022</v>
      </c>
      <c r="C7" s="3182">
        <v>3</v>
      </c>
      <c r="D7" s="3183">
        <v>0.66</v>
      </c>
      <c r="E7" s="3183">
        <v>0.32</v>
      </c>
      <c r="F7" s="3183">
        <v>0.23</v>
      </c>
      <c r="G7" s="3183">
        <v>0.72</v>
      </c>
      <c r="H7" s="3184">
        <v>0.63</v>
      </c>
      <c r="I7" s="3185">
        <f t="shared" si="4"/>
        <v>0.23</v>
      </c>
      <c r="J7" s="3186"/>
      <c r="K7" s="3187">
        <f t="shared" si="5"/>
        <v>6.6E-3</v>
      </c>
      <c r="L7" s="3188">
        <f t="shared" si="5"/>
        <v>3.2000000000000002E-3</v>
      </c>
      <c r="M7" s="3188">
        <f t="shared" si="5"/>
        <v>2.3E-3</v>
      </c>
      <c r="N7" s="3188">
        <f t="shared" si="5"/>
        <v>7.1999999999999998E-3</v>
      </c>
      <c r="O7" s="3188">
        <f t="shared" si="5"/>
        <v>6.3E-3</v>
      </c>
      <c r="P7" s="3188">
        <f t="shared" si="8"/>
        <v>2.3E-3</v>
      </c>
      <c r="Q7" s="3186"/>
      <c r="R7" s="3186">
        <f>ROUND(IF([4]项目基本情况!B8="出让",SUMPRODUCT(PRODUCT(1+K7:K13)),SUMPRODUCT(PRODUCT(1+K7:K12))),4)</f>
        <v>1.05</v>
      </c>
      <c r="S7" s="3186">
        <f>ROUND(IF([4]项目基本情况!B8="出让",SUMPRODUCT(PRODUCT(1+L7:L13)),SUMPRODUCT(PRODUCT(1+L7:L12))),4)</f>
        <v>1.0229999999999999</v>
      </c>
      <c r="T7" s="3186">
        <f>ROUND(IF([4]项目基本情况!B8="出让",SUMPRODUCT(PRODUCT(1+M7:M13)),SUMPRODUCT(PRODUCT(1+M7:M12))),4)</f>
        <v>1.0134000000000001</v>
      </c>
      <c r="U7" s="3186">
        <f>ROUND(IF([4]项目基本情况!B8="出让",SUMPRODUCT(PRODUCT(1+N7:N13)),SUMPRODUCT(PRODUCT(1+N7:N12))),4)</f>
        <v>1.0545</v>
      </c>
      <c r="V7" s="3186">
        <f>ROUND(IF([4]项目基本情况!B8="出让",SUMPRODUCT(PRODUCT(1+O7:O13)),SUMPRODUCT(PRODUCT(1+O7:O12))),4)</f>
        <v>1.0447</v>
      </c>
      <c r="W7" s="3186">
        <f t="shared" si="9"/>
        <v>1.0134000000000001</v>
      </c>
      <c r="X7" s="3186"/>
      <c r="Y7" s="3188">
        <f>IF(D7=0,0,ROUND(AVERAGE(D7:D13)/100,4))</f>
        <v>8.3999999999999995E-3</v>
      </c>
      <c r="Z7" s="3188">
        <f t="shared" ref="Z7:AC7" si="11">IF(E7=0,0,ROUND(AVERAGE(E7:E13)/100,4))</f>
        <v>3.5000000000000001E-3</v>
      </c>
      <c r="AA7" s="3188">
        <f t="shared" si="11"/>
        <v>1.5E-3</v>
      </c>
      <c r="AB7" s="3188">
        <f t="shared" si="11"/>
        <v>9.1999999999999998E-3</v>
      </c>
      <c r="AC7" s="3188">
        <f t="shared" si="11"/>
        <v>6.7999999999999996E-3</v>
      </c>
      <c r="AD7" s="3188">
        <f t="shared" si="7"/>
        <v>1.5E-3</v>
      </c>
    </row>
    <row r="8" spans="1:30" s="3178" customFormat="1" ht="12.75">
      <c r="A8" s="3169" t="s">
        <v>3356</v>
      </c>
      <c r="B8" s="3170">
        <v>2022</v>
      </c>
      <c r="C8" s="3171">
        <v>2</v>
      </c>
      <c r="D8" s="3172">
        <v>0.93</v>
      </c>
      <c r="E8" s="3172">
        <v>0.15</v>
      </c>
      <c r="F8" s="3172">
        <v>0.01</v>
      </c>
      <c r="G8" s="3172">
        <v>1.05</v>
      </c>
      <c r="H8" s="3190">
        <v>1.08</v>
      </c>
      <c r="I8" s="3173">
        <f t="shared" si="4"/>
        <v>0.01</v>
      </c>
      <c r="J8" s="3174"/>
      <c r="K8" s="3175">
        <f t="shared" si="5"/>
        <v>9.300000000000001E-3</v>
      </c>
      <c r="L8" s="3165">
        <f t="shared" si="5"/>
        <v>1.5E-3</v>
      </c>
      <c r="M8" s="3165">
        <f t="shared" si="5"/>
        <v>1E-4</v>
      </c>
      <c r="N8" s="3165">
        <f t="shared" si="5"/>
        <v>1.0500000000000001E-2</v>
      </c>
      <c r="O8" s="3165">
        <f t="shared" si="5"/>
        <v>1.0800000000000001E-2</v>
      </c>
      <c r="P8" s="3165">
        <f t="shared" si="8"/>
        <v>1E-4</v>
      </c>
      <c r="Q8" s="3174"/>
      <c r="R8" s="3176">
        <f>ROUND(IF([4]项目基本情况!B8="出让",SUMPRODUCT(PRODUCT(1+K8:K13)),SUMPRODUCT(PRODUCT(1+K8:K12))),4)</f>
        <v>1.0430999999999999</v>
      </c>
      <c r="S8" s="3176">
        <f>ROUND(IF([4]项目基本情况!B8="出让",SUMPRODUCT(PRODUCT(1+L8:L13)),SUMPRODUCT(PRODUCT(1+L8:L12))),4)</f>
        <v>1.0197000000000001</v>
      </c>
      <c r="T8" s="3176">
        <f>ROUND(IF([4]项目基本情况!B8="出让",SUMPRODUCT(PRODUCT(1+M8:M13)),SUMPRODUCT(PRODUCT(1+M8:M12))),4)</f>
        <v>1.0109999999999999</v>
      </c>
      <c r="U8" s="3176">
        <f>ROUND(IF([4]项目基本情况!B8="出让",SUMPRODUCT(PRODUCT(1+N8:N13)),SUMPRODUCT(PRODUCT(1+N8:N12))),4)</f>
        <v>1.0468999999999999</v>
      </c>
      <c r="V8" s="3176">
        <f>ROUND(IF([4]项目基本情况!B8="出让",SUMPRODUCT(PRODUCT(1+O8:O13)),SUMPRODUCT(PRODUCT(1+O8:O12))),4)</f>
        <v>1.0382</v>
      </c>
      <c r="W8" s="3176">
        <f t="shared" si="9"/>
        <v>1.0109999999999999</v>
      </c>
      <c r="X8" s="3174"/>
      <c r="Y8" s="3177">
        <f>IF(D8=0,0,ROUND(AVERAGE(D8:D13)/100,4))</f>
        <v>8.6999999999999994E-3</v>
      </c>
      <c r="Z8" s="3177">
        <f t="shared" ref="Z8:AC8" si="12">IF(E8=0,0,ROUND(AVERAGE(E8:E13)/100,4))</f>
        <v>3.5000000000000001E-3</v>
      </c>
      <c r="AA8" s="3177">
        <f t="shared" si="12"/>
        <v>1.4E-3</v>
      </c>
      <c r="AB8" s="3177">
        <f t="shared" si="12"/>
        <v>9.4999999999999998E-3</v>
      </c>
      <c r="AC8" s="3177">
        <f t="shared" si="12"/>
        <v>6.8999999999999999E-3</v>
      </c>
      <c r="AD8" s="3177">
        <f t="shared" si="7"/>
        <v>1.4E-3</v>
      </c>
    </row>
    <row r="9" spans="1:30" s="3178" customFormat="1" ht="12.75">
      <c r="A9" s="3169" t="s">
        <v>2816</v>
      </c>
      <c r="B9" s="3170">
        <v>2022</v>
      </c>
      <c r="C9" s="3171">
        <v>1</v>
      </c>
      <c r="D9" s="3172">
        <v>0.89</v>
      </c>
      <c r="E9" s="3172">
        <v>0.44</v>
      </c>
      <c r="F9" s="3172">
        <v>0.37</v>
      </c>
      <c r="G9" s="3172">
        <v>0.96</v>
      </c>
      <c r="H9" s="3190">
        <v>0.64</v>
      </c>
      <c r="I9" s="3173">
        <f t="shared" si="4"/>
        <v>0.37</v>
      </c>
      <c r="J9" s="3174"/>
      <c r="K9" s="3175">
        <f t="shared" si="5"/>
        <v>8.8999999999999999E-3</v>
      </c>
      <c r="L9" s="3165">
        <f t="shared" si="5"/>
        <v>4.4000000000000003E-3</v>
      </c>
      <c r="M9" s="3165">
        <f t="shared" si="5"/>
        <v>3.7000000000000002E-3</v>
      </c>
      <c r="N9" s="3165">
        <f t="shared" si="5"/>
        <v>9.5999999999999992E-3</v>
      </c>
      <c r="O9" s="3165">
        <f t="shared" si="5"/>
        <v>6.4000000000000003E-3</v>
      </c>
      <c r="P9" s="3165">
        <f t="shared" si="8"/>
        <v>3.7000000000000002E-3</v>
      </c>
      <c r="Q9" s="3174"/>
      <c r="R9" s="3176">
        <f>ROUND(IF([4]项目基本情况!B8="出让",SUMPRODUCT(PRODUCT(1+K9:K13)),SUMPRODUCT(PRODUCT(1+K9:K12))),4)</f>
        <v>1.0335000000000001</v>
      </c>
      <c r="S9" s="3176">
        <f>ROUND(IF([4]项目基本情况!B8="出让",SUMPRODUCT(PRODUCT(1+L9:L13)),SUMPRODUCT(PRODUCT(1+L9:L12))),4)</f>
        <v>1.0182</v>
      </c>
      <c r="T9" s="3176">
        <f>ROUND(IF([4]项目基本情况!B8="出让",SUMPRODUCT(PRODUCT(1+M9:M13)),SUMPRODUCT(PRODUCT(1+M9:M12))),4)</f>
        <v>1.0108999999999999</v>
      </c>
      <c r="U9" s="3176">
        <f>ROUND(IF([4]项目基本情况!B8="出让",SUMPRODUCT(PRODUCT(1+N9:N13)),SUMPRODUCT(PRODUCT(1+N9:N12))),4)</f>
        <v>1.0361</v>
      </c>
      <c r="V9" s="3176">
        <f>ROUND(IF([4]项目基本情况!B8="出让",SUMPRODUCT(PRODUCT(1+O9:O13)),SUMPRODUCT(PRODUCT(1+O9:O12))),4)</f>
        <v>1.0270999999999999</v>
      </c>
      <c r="W9" s="3176">
        <f t="shared" si="9"/>
        <v>1.0108999999999999</v>
      </c>
      <c r="X9" s="3174"/>
      <c r="Y9" s="3177">
        <f>IF(D9=0,0,ROUND(AVERAGE(D9:D13)/100,4))</f>
        <v>8.6E-3</v>
      </c>
      <c r="Z9" s="3177">
        <f t="shared" ref="Z9:AC9" si="13">IF(E9=0,0,ROUND(AVERAGE(E9:E13)/100,4))</f>
        <v>3.8999999999999998E-3</v>
      </c>
      <c r="AA9" s="3177">
        <f t="shared" si="13"/>
        <v>1.6999999999999999E-3</v>
      </c>
      <c r="AB9" s="3177">
        <f t="shared" si="13"/>
        <v>9.2999999999999992E-3</v>
      </c>
      <c r="AC9" s="3177">
        <f t="shared" si="13"/>
        <v>6.1000000000000004E-3</v>
      </c>
      <c r="AD9" s="3177">
        <f t="shared" si="7"/>
        <v>1.6999999999999999E-3</v>
      </c>
    </row>
    <row r="10" spans="1:30" s="3178" customFormat="1" ht="12.75">
      <c r="A10" s="3169" t="s">
        <v>2817</v>
      </c>
      <c r="B10" s="3170">
        <v>2021</v>
      </c>
      <c r="C10" s="3171">
        <v>4</v>
      </c>
      <c r="D10" s="3172">
        <v>1.03</v>
      </c>
      <c r="E10" s="3172">
        <v>0.24</v>
      </c>
      <c r="F10" s="3172">
        <v>7.0000000000000007E-2</v>
      </c>
      <c r="G10" s="3172">
        <v>1.17</v>
      </c>
      <c r="H10" s="3190">
        <v>0.55000000000000004</v>
      </c>
      <c r="I10" s="3173">
        <f t="shared" si="4"/>
        <v>7.0000000000000007E-2</v>
      </c>
      <c r="J10" s="3174"/>
      <c r="K10" s="3175">
        <f t="shared" si="5"/>
        <v>1.03E-2</v>
      </c>
      <c r="L10" s="3165">
        <f t="shared" si="5"/>
        <v>2.3999999999999998E-3</v>
      </c>
      <c r="M10" s="3165">
        <f t="shared" si="5"/>
        <v>7.000000000000001E-4</v>
      </c>
      <c r="N10" s="3165">
        <f t="shared" si="5"/>
        <v>1.1699999999999999E-2</v>
      </c>
      <c r="O10" s="3165">
        <f t="shared" si="5"/>
        <v>5.5000000000000005E-3</v>
      </c>
      <c r="P10" s="3165">
        <f t="shared" si="8"/>
        <v>7.000000000000001E-4</v>
      </c>
      <c r="Q10" s="3174"/>
      <c r="R10" s="3176">
        <f>ROUND(IF([4]项目基本情况!B8="出让",SUMPRODUCT(PRODUCT(1+K10:K13)),SUMPRODUCT(PRODUCT(1+K10:K12))),4)</f>
        <v>1.0244</v>
      </c>
      <c r="S10" s="3176">
        <f>ROUND(IF([4]项目基本情况!B8="出让",SUMPRODUCT(PRODUCT(1+L10:L13)),SUMPRODUCT(PRODUCT(1+L10:L12))),4)</f>
        <v>1.0138</v>
      </c>
      <c r="T10" s="3176">
        <f>ROUND(IF([4]项目基本情况!B8="出让",SUMPRODUCT(PRODUCT(1+M10:M13)),SUMPRODUCT(PRODUCT(1+M10:M12))),4)</f>
        <v>1.0072000000000001</v>
      </c>
      <c r="U10" s="3176">
        <f>ROUND(IF([4]项目基本情况!B8="出让",SUMPRODUCT(PRODUCT(1+N10:N13)),SUMPRODUCT(PRODUCT(1+N10:N12))),4)</f>
        <v>1.0262</v>
      </c>
      <c r="V10" s="3176">
        <f>ROUND(IF([4]项目基本情况!B8="出让",SUMPRODUCT(PRODUCT(1+O10:O13)),SUMPRODUCT(PRODUCT(1+O10:O12))),4)</f>
        <v>1.0205</v>
      </c>
      <c r="W10" s="3176">
        <f t="shared" si="9"/>
        <v>1.0072000000000001</v>
      </c>
      <c r="X10" s="3174"/>
      <c r="Y10" s="3177">
        <f>IF(D10=0,0,ROUND(AVERAGE(D10:D13)/100,4))</f>
        <v>8.5000000000000006E-3</v>
      </c>
      <c r="Z10" s="3177">
        <f t="shared" ref="Z10:AC10" si="14">IF(E10=0,0,ROUND(AVERAGE(E10:E13)/100,4))</f>
        <v>3.8E-3</v>
      </c>
      <c r="AA10" s="3177">
        <f t="shared" si="14"/>
        <v>1.1999999999999999E-3</v>
      </c>
      <c r="AB10" s="3177">
        <f t="shared" si="14"/>
        <v>9.2999999999999992E-3</v>
      </c>
      <c r="AC10" s="3177">
        <f t="shared" si="14"/>
        <v>6.0000000000000001E-3</v>
      </c>
      <c r="AD10" s="3177">
        <f t="shared" si="7"/>
        <v>1.1999999999999999E-3</v>
      </c>
    </row>
    <row r="11" spans="1:30" s="3178" customFormat="1" ht="12.75">
      <c r="A11" s="3169" t="s">
        <v>2818</v>
      </c>
      <c r="B11" s="3170">
        <v>2021</v>
      </c>
      <c r="C11" s="3171">
        <v>3</v>
      </c>
      <c r="D11" s="3172">
        <v>0.47</v>
      </c>
      <c r="E11" s="3172">
        <v>0.41</v>
      </c>
      <c r="F11" s="3172">
        <v>0.24</v>
      </c>
      <c r="G11" s="3172">
        <v>0.48</v>
      </c>
      <c r="H11" s="3190">
        <v>0.48</v>
      </c>
      <c r="I11" s="3173">
        <f t="shared" si="4"/>
        <v>0.24</v>
      </c>
      <c r="J11" s="3174"/>
      <c r="K11" s="3175">
        <f t="shared" si="5"/>
        <v>4.6999999999999993E-3</v>
      </c>
      <c r="L11" s="3165">
        <f t="shared" si="5"/>
        <v>4.0999999999999995E-3</v>
      </c>
      <c r="M11" s="3165">
        <f t="shared" si="5"/>
        <v>2.3999999999999998E-3</v>
      </c>
      <c r="N11" s="3165">
        <f t="shared" si="5"/>
        <v>4.7999999999999996E-3</v>
      </c>
      <c r="O11" s="3165">
        <f t="shared" si="5"/>
        <v>4.7999999999999996E-3</v>
      </c>
      <c r="P11" s="3165">
        <f t="shared" si="8"/>
        <v>2.3999999999999998E-3</v>
      </c>
      <c r="Q11" s="3174"/>
      <c r="R11" s="3176">
        <f>ROUND(IF([4]项目基本情况!B8="出让",SUMPRODUCT(PRODUCT(1+K11:K13)),SUMPRODUCT(PRODUCT(1+K11:K12))),4)</f>
        <v>1.0139</v>
      </c>
      <c r="S11" s="3176">
        <f>ROUND(IF([4]项目基本情况!B8="出让",SUMPRODUCT(PRODUCT(1+L11:L13)),SUMPRODUCT(PRODUCT(1+L11:L12))),4)</f>
        <v>1.0113000000000001</v>
      </c>
      <c r="T11" s="3176">
        <f>ROUND(IF([4]项目基本情况!B8="出让",SUMPRODUCT(PRODUCT(1+M11:M13)),SUMPRODUCT(PRODUCT(1+M11:M12))),4)</f>
        <v>1.0065</v>
      </c>
      <c r="U11" s="3176">
        <f>ROUND(IF([4]项目基本情况!B8="出让",SUMPRODUCT(PRODUCT(1+N11:N13)),SUMPRODUCT(PRODUCT(1+N11:N12))),4)</f>
        <v>1.0143</v>
      </c>
      <c r="V11" s="3176">
        <f>ROUND(IF([4]项目基本情况!B8="出让",SUMPRODUCT(PRODUCT(1+O11:O13)),SUMPRODUCT(PRODUCT(1+O11:O12))),4)</f>
        <v>1.0148999999999999</v>
      </c>
      <c r="W11" s="3176">
        <f t="shared" si="9"/>
        <v>1.0065</v>
      </c>
      <c r="X11" s="3174"/>
      <c r="Y11" s="3177">
        <f>IF(D11=0,0,ROUND(AVERAGE(D11:D13)/100,4))</f>
        <v>7.9000000000000008E-3</v>
      </c>
      <c r="Z11" s="3177">
        <f>IF(E11=0,0,ROUND(AVERAGE(E11:E13)/100,4))</f>
        <v>4.3E-3</v>
      </c>
      <c r="AA11" s="3177">
        <f>IF(F11=0,0,ROUND(AVERAGE(F11:F13)/100,4))</f>
        <v>1.2999999999999999E-3</v>
      </c>
      <c r="AB11" s="3177">
        <f>IF(G11=0,0,ROUND(AVERAGE(G11:G13)/100,4))</f>
        <v>8.5000000000000006E-3</v>
      </c>
      <c r="AC11" s="3177">
        <f>IF(H11=0,0,ROUND(AVERAGE(H11:H13)/100,4))</f>
        <v>6.1999999999999998E-3</v>
      </c>
      <c r="AD11" s="3177">
        <f t="shared" si="7"/>
        <v>1.2999999999999999E-3</v>
      </c>
    </row>
    <row r="12" spans="1:30" s="3178" customFormat="1" ht="12.75">
      <c r="A12" s="3169" t="s">
        <v>2819</v>
      </c>
      <c r="B12" s="3170">
        <v>2021</v>
      </c>
      <c r="C12" s="3171">
        <v>2</v>
      </c>
      <c r="D12" s="3172">
        <v>0.92</v>
      </c>
      <c r="E12" s="3172">
        <v>0.72</v>
      </c>
      <c r="F12" s="3172">
        <v>0.41</v>
      </c>
      <c r="G12" s="3172">
        <v>0.95</v>
      </c>
      <c r="H12" s="3190">
        <v>1.01</v>
      </c>
      <c r="I12" s="3173">
        <f t="shared" si="4"/>
        <v>0.41</v>
      </c>
      <c r="J12" s="3174"/>
      <c r="K12" s="3175">
        <f t="shared" si="5"/>
        <v>9.1999999999999998E-3</v>
      </c>
      <c r="L12" s="3165">
        <f t="shared" si="5"/>
        <v>7.1999999999999998E-3</v>
      </c>
      <c r="M12" s="3165">
        <f t="shared" si="5"/>
        <v>4.0999999999999995E-3</v>
      </c>
      <c r="N12" s="3165">
        <f t="shared" si="5"/>
        <v>9.4999999999999998E-3</v>
      </c>
      <c r="O12" s="3165">
        <f t="shared" si="5"/>
        <v>1.01E-2</v>
      </c>
      <c r="P12" s="3165">
        <f t="shared" si="8"/>
        <v>4.0999999999999995E-3</v>
      </c>
      <c r="Q12" s="3174"/>
      <c r="R12" s="3176">
        <f>ROUND(IF([4]项目基本情况!B8="出让",SUMPRODUCT(PRODUCT(1+K12:K13)),SUMPRODUCT(PRODUCT(1+K12:K12))),4)</f>
        <v>1.0092000000000001</v>
      </c>
      <c r="S12" s="3176">
        <f>ROUND(IF([4]项目基本情况!B8="出让",SUMPRODUCT(PRODUCT(1+L12:L13)),SUMPRODUCT(PRODUCT(1+L12:L12))),4)</f>
        <v>1.0072000000000001</v>
      </c>
      <c r="T12" s="3176">
        <f>ROUND(IF([4]项目基本情况!B8="出让",SUMPRODUCT(PRODUCT(1+M12:M13)),SUMPRODUCT(PRODUCT(1+M12:M12))),4)</f>
        <v>1.0041</v>
      </c>
      <c r="U12" s="3176">
        <f>ROUND(IF([4]项目基本情况!B8="出让",SUMPRODUCT(PRODUCT(1+N12:N13)),SUMPRODUCT(PRODUCT(1+N12:N12))),4)</f>
        <v>1.0095000000000001</v>
      </c>
      <c r="V12" s="3176">
        <f>ROUND(IF([4]项目基本情况!B8="出让",SUMPRODUCT(PRODUCT(1+O12:O13)),SUMPRODUCT(PRODUCT(1+O12:O12))),4)</f>
        <v>1.0101</v>
      </c>
      <c r="W12" s="3176">
        <f t="shared" si="9"/>
        <v>1.0041</v>
      </c>
      <c r="X12" s="3174"/>
      <c r="Y12" s="3177">
        <f>IF(D12=0,0,ROUND(AVERAGE(D12:D13)/100,4))</f>
        <v>9.4999999999999998E-3</v>
      </c>
      <c r="Z12" s="3177">
        <f>IF(E12=0,0,ROUND(AVERAGE(E12:E13)/100,4))</f>
        <v>4.4000000000000003E-3</v>
      </c>
      <c r="AA12" s="3177">
        <f>IF(F12=0,0,ROUND(AVERAGE(F12:F13)/100,4))</f>
        <v>8.0000000000000004E-4</v>
      </c>
      <c r="AB12" s="3177">
        <f>IF(G12=0,0,ROUND(AVERAGE(G12:G13)/100,4))</f>
        <v>1.03E-2</v>
      </c>
      <c r="AC12" s="3177">
        <f>IF(H12=0,0,ROUND(AVERAGE(H12:H13)/100,4))</f>
        <v>6.8999999999999999E-3</v>
      </c>
      <c r="AD12" s="3177">
        <f t="shared" si="7"/>
        <v>8.0000000000000004E-4</v>
      </c>
    </row>
    <row r="13" spans="1:30" s="3201" customFormat="1" thickBot="1">
      <c r="A13" s="3191" t="s">
        <v>2820</v>
      </c>
      <c r="B13" s="3192">
        <v>2021</v>
      </c>
      <c r="C13" s="3193">
        <v>1</v>
      </c>
      <c r="D13" s="3194">
        <v>0.97</v>
      </c>
      <c r="E13" s="3194">
        <v>0.16</v>
      </c>
      <c r="F13" s="3194">
        <v>-0.25</v>
      </c>
      <c r="G13" s="3194">
        <v>1.1100000000000001</v>
      </c>
      <c r="H13" s="3195">
        <v>0.36</v>
      </c>
      <c r="I13" s="3196">
        <f t="shared" si="4"/>
        <v>-0.25</v>
      </c>
      <c r="J13" s="3197"/>
      <c r="K13" s="3198">
        <f t="shared" si="5"/>
        <v>9.7000000000000003E-3</v>
      </c>
      <c r="L13" s="3199">
        <f t="shared" si="5"/>
        <v>1.6000000000000001E-3</v>
      </c>
      <c r="M13" s="3199">
        <f>F13/100</f>
        <v>-2.5000000000000001E-3</v>
      </c>
      <c r="N13" s="3199">
        <f t="shared" si="5"/>
        <v>1.11E-2</v>
      </c>
      <c r="O13" s="3199">
        <f t="shared" si="5"/>
        <v>3.5999999999999999E-3</v>
      </c>
      <c r="P13" s="3199">
        <f t="shared" si="8"/>
        <v>-2.5000000000000001E-3</v>
      </c>
      <c r="Q13" s="3197"/>
      <c r="R13" s="3200">
        <v>1</v>
      </c>
      <c r="S13" s="3200">
        <v>1</v>
      </c>
      <c r="T13" s="3200">
        <v>1</v>
      </c>
      <c r="U13" s="3200">
        <v>1</v>
      </c>
      <c r="V13" s="3200">
        <v>1</v>
      </c>
      <c r="W13" s="3200">
        <f t="shared" si="9"/>
        <v>1</v>
      </c>
      <c r="X13" s="3197"/>
      <c r="Y13" s="3199">
        <f>IF(D13=0,0,ROUND(AVERAGE(D13:D13)/100,4))</f>
        <v>9.7000000000000003E-3</v>
      </c>
      <c r="Z13" s="3199">
        <f>IF(E13=0,0,ROUND(AVERAGE(E13:E13)/100,4))</f>
        <v>1.6000000000000001E-3</v>
      </c>
      <c r="AA13" s="3199">
        <f>IF(F13=0,0,ROUND(AVERAGE(F13:F13)/100,4))</f>
        <v>-2.5000000000000001E-3</v>
      </c>
      <c r="AB13" s="3199">
        <f>IF(G13=0,0,ROUND(AVERAGE(G13:G13)/100,4))</f>
        <v>1.11E-2</v>
      </c>
      <c r="AC13" s="3199">
        <f>IF(H13=0,0,ROUND(AVERAGE(H13:H13)/100,4))</f>
        <v>3.5999999999999999E-3</v>
      </c>
      <c r="AD13" s="3199">
        <f>AA13</f>
        <v>-2.5000000000000001E-3</v>
      </c>
    </row>
    <row r="14" spans="1:30" s="3002" customFormat="1" ht="14.25" thickTop="1"/>
    <row r="15" spans="1:30" s="3002" customFormat="1"/>
    <row r="16" spans="1:30" s="3002" customFormat="1">
      <c r="I16" s="3202" t="s">
        <v>2821</v>
      </c>
    </row>
    <row r="17" spans="1:30" s="3002" customFormat="1"/>
    <row r="18" spans="1:30" s="3203" customFormat="1" ht="12.75">
      <c r="B18" s="3204" t="s">
        <v>2822</v>
      </c>
      <c r="C18" s="3205"/>
      <c r="D18" s="3205"/>
      <c r="E18" s="3205"/>
      <c r="F18" s="3205"/>
      <c r="G18" s="3205"/>
      <c r="H18" s="3205"/>
      <c r="I18" s="3205"/>
      <c r="J18" s="3158"/>
      <c r="K18" s="3205" t="s">
        <v>2823</v>
      </c>
      <c r="L18" s="3205"/>
      <c r="M18" s="3205"/>
      <c r="N18" s="3205"/>
      <c r="O18" s="3205"/>
      <c r="P18" s="3205"/>
      <c r="Q18" s="3158"/>
      <c r="R18" s="3814" t="s">
        <v>2824</v>
      </c>
      <c r="S18" s="3815"/>
      <c r="T18" s="3815"/>
      <c r="U18" s="3815"/>
      <c r="V18" s="3815"/>
      <c r="W18" s="3815"/>
      <c r="X18" s="3158"/>
      <c r="Y18" s="3814" t="s">
        <v>2825</v>
      </c>
      <c r="Z18" s="3815"/>
      <c r="AA18" s="3815"/>
      <c r="AB18" s="3815"/>
      <c r="AC18" s="3815"/>
      <c r="AD18" s="3815"/>
    </row>
    <row r="19" spans="1:30" s="3136" customFormat="1" ht="14.25" thickBot="1">
      <c r="B19" s="3137"/>
      <c r="C19" s="3138"/>
      <c r="D19" s="3139" t="s">
        <v>2826</v>
      </c>
      <c r="E19" s="3140" t="s">
        <v>2827</v>
      </c>
      <c r="F19" s="3140" t="s">
        <v>2828</v>
      </c>
      <c r="G19" s="3140" t="s">
        <v>2829</v>
      </c>
      <c r="H19" s="3140"/>
      <c r="I19" s="3140" t="s">
        <v>2830</v>
      </c>
      <c r="J19" s="3141"/>
      <c r="K19" s="3139" t="s">
        <v>2826</v>
      </c>
      <c r="L19" s="3140" t="s">
        <v>2827</v>
      </c>
      <c r="M19" s="3140" t="s">
        <v>2828</v>
      </c>
      <c r="N19" s="3140" t="s">
        <v>2829</v>
      </c>
      <c r="O19" s="3140"/>
      <c r="P19" s="3140" t="s">
        <v>2830</v>
      </c>
      <c r="Q19" s="3141"/>
      <c r="R19" s="3139" t="s">
        <v>2826</v>
      </c>
      <c r="S19" s="3140" t="s">
        <v>2827</v>
      </c>
      <c r="T19" s="3140" t="s">
        <v>2828</v>
      </c>
      <c r="U19" s="3140" t="s">
        <v>2829</v>
      </c>
      <c r="V19" s="3140"/>
      <c r="W19" s="3140" t="s">
        <v>2830</v>
      </c>
      <c r="X19" s="3141"/>
      <c r="Y19" s="3139" t="s">
        <v>2826</v>
      </c>
      <c r="Z19" s="3140" t="s">
        <v>2827</v>
      </c>
      <c r="AA19" s="3140" t="s">
        <v>2828</v>
      </c>
      <c r="AB19" s="3140" t="s">
        <v>2829</v>
      </c>
      <c r="AC19" s="3140"/>
      <c r="AD19" s="3140" t="s">
        <v>2830</v>
      </c>
    </row>
    <row r="20" spans="1:30" s="3154" customFormat="1" ht="12.75">
      <c r="A20" s="3142" t="s">
        <v>2831</v>
      </c>
      <c r="B20" s="3143"/>
      <c r="C20" s="3144"/>
      <c r="D20" s="3144"/>
      <c r="E20" s="3144">
        <f t="shared" ref="E20:G20" si="15">ROUND(AVERAGEIF(E21:E30,"&lt;&gt;0"),2)</f>
        <v>0.39</v>
      </c>
      <c r="F20" s="3144">
        <f t="shared" si="15"/>
        <v>0.27</v>
      </c>
      <c r="G20" s="3144">
        <f t="shared" si="15"/>
        <v>0.79</v>
      </c>
      <c r="H20" s="3144"/>
      <c r="I20" s="3144">
        <f>F20</f>
        <v>0.27</v>
      </c>
      <c r="J20" s="3145"/>
      <c r="K20" s="3146"/>
      <c r="L20" s="3147">
        <f t="shared" ref="L20:N20" si="16">ROUND(AVERAGEIF(L21:L30,"&lt;&gt;0"),4)</f>
        <v>3.8999999999999998E-3</v>
      </c>
      <c r="M20" s="3147">
        <f t="shared" si="16"/>
        <v>2.7000000000000001E-3</v>
      </c>
      <c r="N20" s="3147">
        <f t="shared" si="16"/>
        <v>7.9000000000000008E-3</v>
      </c>
      <c r="O20" s="3147"/>
      <c r="P20" s="3147">
        <f>M20</f>
        <v>2.7000000000000001E-3</v>
      </c>
      <c r="Q20" s="3145"/>
      <c r="R20" s="3148"/>
      <c r="S20" s="3149">
        <f>ROUND(SUMPRODUCT(PRODUCT(1+L21:L30)),4)</f>
        <v>1.0277000000000001</v>
      </c>
      <c r="T20" s="3149">
        <f t="shared" ref="T20:U20" si="17">ROUND(SUMPRODUCT(PRODUCT(1+M21:M30)),4)</f>
        <v>1.0192000000000001</v>
      </c>
      <c r="U20" s="3149">
        <f t="shared" si="17"/>
        <v>1.0569</v>
      </c>
      <c r="V20" s="3149"/>
      <c r="W20" s="3148">
        <f>T20</f>
        <v>1.0192000000000001</v>
      </c>
      <c r="X20" s="3145"/>
      <c r="Y20" s="3150"/>
      <c r="Z20" s="3151">
        <f t="shared" ref="Z20:AB20" si="18">ROUND(AVERAGEIF(Z21:Z30,"&lt;&gt;0"),4)</f>
        <v>4.4000000000000003E-3</v>
      </c>
      <c r="AA20" s="3152">
        <f t="shared" si="18"/>
        <v>3.7000000000000002E-3</v>
      </c>
      <c r="AB20" s="3150">
        <f t="shared" si="18"/>
        <v>9.1000000000000004E-3</v>
      </c>
      <c r="AC20" s="3153"/>
      <c r="AD20" s="3150">
        <f>AA20</f>
        <v>3.7000000000000002E-3</v>
      </c>
    </row>
    <row r="21" spans="1:30" s="3155" customFormat="1" ht="12.75">
      <c r="B21" s="3156"/>
      <c r="C21" s="3157"/>
      <c r="D21" s="3157"/>
      <c r="E21" s="3157"/>
      <c r="F21" s="3157"/>
      <c r="G21" s="3157"/>
      <c r="H21" s="3157"/>
      <c r="I21" s="3157"/>
      <c r="J21" s="3158"/>
      <c r="K21" s="3159"/>
      <c r="L21" s="3160"/>
      <c r="M21" s="3160"/>
      <c r="N21" s="3160"/>
      <c r="O21" s="3160"/>
      <c r="P21" s="3160"/>
      <c r="Q21" s="3158"/>
      <c r="R21" s="3161"/>
      <c r="S21" s="3162"/>
      <c r="T21" s="3163"/>
      <c r="U21" s="3161"/>
      <c r="V21" s="3164"/>
      <c r="W21" s="3161"/>
      <c r="X21" s="3158"/>
      <c r="Y21" s="3165"/>
      <c r="Z21" s="3166"/>
      <c r="AA21" s="3167"/>
      <c r="AB21" s="3165"/>
      <c r="AC21" s="3168"/>
      <c r="AD21" s="3165"/>
    </row>
    <row r="22" spans="1:30" s="3178" customFormat="1" ht="12.75">
      <c r="A22" s="3169" t="s">
        <v>2832</v>
      </c>
      <c r="B22" s="3170">
        <v>2023</v>
      </c>
      <c r="C22" s="3171">
        <v>1</v>
      </c>
      <c r="D22" s="3172"/>
      <c r="E22" s="3172">
        <v>0</v>
      </c>
      <c r="F22" s="3172">
        <v>0</v>
      </c>
      <c r="G22" s="3172">
        <v>0</v>
      </c>
      <c r="H22" s="3172"/>
      <c r="I22" s="3173">
        <f t="shared" ref="I22:I30" si="19">F22</f>
        <v>0</v>
      </c>
      <c r="J22" s="3174"/>
      <c r="K22" s="3175"/>
      <c r="L22" s="3165">
        <f t="shared" ref="L22:N30" si="20">E22/100</f>
        <v>0</v>
      </c>
      <c r="M22" s="3165">
        <f t="shared" si="20"/>
        <v>0</v>
      </c>
      <c r="N22" s="3165">
        <f t="shared" si="20"/>
        <v>0</v>
      </c>
      <c r="O22" s="3165"/>
      <c r="P22" s="3165">
        <f>M22</f>
        <v>0</v>
      </c>
      <c r="Q22" s="3174"/>
      <c r="R22" s="3176"/>
      <c r="S22" s="3176">
        <f>ROUND(IF([4]项目基本情况!$B$8="出让",SUMPRODUCT(PRODUCT(1+L22:L$30)),SUMPRODUCT(PRODUCT(1+L22:L$29))),4)</f>
        <v>1.0241</v>
      </c>
      <c r="T22" s="3176">
        <f>ROUND(IF([4]项目基本情况!$B$8="出让",SUMPRODUCT(PRODUCT(1+M22:M$30)),SUMPRODUCT(PRODUCT(1+M22:M$29))),4)</f>
        <v>1.0144</v>
      </c>
      <c r="U22" s="3176">
        <f>ROUND(IF([4]项目基本情况!$B$8="出让",SUMPRODUCT(PRODUCT(1+N22:N$30)),SUMPRODUCT(PRODUCT(1+N22:N$29))),4)</f>
        <v>1.0467</v>
      </c>
      <c r="V22" s="3176"/>
      <c r="W22" s="3176">
        <f>T22</f>
        <v>1.0144</v>
      </c>
      <c r="X22" s="3174"/>
      <c r="Y22" s="3177"/>
      <c r="Z22" s="3206">
        <f>IF(E22=0,0,ROUND(AVERAGE(E22:E30)/100,4))</f>
        <v>0</v>
      </c>
      <c r="AA22" s="3206">
        <f>IF(F22=0,0,ROUND(AVERAGE(F22:F30)/100,4))</f>
        <v>0</v>
      </c>
      <c r="AB22" s="3206">
        <f>IF(G22=0,0,ROUND(AVERAGE(G22:G30)/100,4))</f>
        <v>0</v>
      </c>
      <c r="AC22" s="3207"/>
      <c r="AD22" s="3177">
        <f>IF(I22=0,0,ROUND(AVERAGE(I22:I30)/100,4))</f>
        <v>0</v>
      </c>
    </row>
    <row r="23" spans="1:30" s="3179" customFormat="1" ht="12.75">
      <c r="A23" s="3169" t="s">
        <v>2833</v>
      </c>
      <c r="B23" s="3170">
        <v>2022</v>
      </c>
      <c r="C23" s="3171">
        <v>4</v>
      </c>
      <c r="D23" s="3172"/>
      <c r="E23" s="3172">
        <v>0</v>
      </c>
      <c r="F23" s="3172">
        <v>0</v>
      </c>
      <c r="G23" s="3172">
        <v>0</v>
      </c>
      <c r="H23" s="3172"/>
      <c r="I23" s="3173">
        <f t="shared" si="19"/>
        <v>0</v>
      </c>
      <c r="J23" s="3174"/>
      <c r="K23" s="3175"/>
      <c r="L23" s="3165">
        <f t="shared" si="20"/>
        <v>0</v>
      </c>
      <c r="M23" s="3165">
        <f t="shared" si="20"/>
        <v>0</v>
      </c>
      <c r="N23" s="3165">
        <f t="shared" si="20"/>
        <v>0</v>
      </c>
      <c r="O23" s="3165"/>
      <c r="P23" s="3165">
        <f t="shared" ref="P23:P30" si="21">M23</f>
        <v>0</v>
      </c>
      <c r="Q23" s="3174"/>
      <c r="R23" s="3176"/>
      <c r="S23" s="3176">
        <f>ROUND(IF([4]项目基本情况!$B$8="出让",SUMPRODUCT(PRODUCT(1+L23:L$30)),SUMPRODUCT(PRODUCT(1+L23:L$29))),4)</f>
        <v>1.0241</v>
      </c>
      <c r="T23" s="3176">
        <f>ROUND(IF([4]项目基本情况!$B$8="出让",SUMPRODUCT(PRODUCT(1+M23:M$30)),SUMPRODUCT(PRODUCT(1+M23:M$29))),4)</f>
        <v>1.0144</v>
      </c>
      <c r="U23" s="3176">
        <f>ROUND(IF([4]项目基本情况!$B$8="出让",SUMPRODUCT(PRODUCT(1+N23:N$30)),SUMPRODUCT(PRODUCT(1+N23:N$29))),4)</f>
        <v>1.0467</v>
      </c>
      <c r="V23" s="3176"/>
      <c r="W23" s="3176">
        <f t="shared" ref="W23:W30" si="22">T23</f>
        <v>1.0144</v>
      </c>
      <c r="X23" s="3174"/>
      <c r="Y23" s="3177"/>
      <c r="Z23" s="3206">
        <f t="shared" ref="Z23:AD30" si="23">IF(E23=0,0,ROUND(AVERAGE(E23:E31)/100,4))</f>
        <v>0</v>
      </c>
      <c r="AA23" s="3208">
        <f t="shared" si="23"/>
        <v>0</v>
      </c>
      <c r="AB23" s="3177">
        <f t="shared" si="23"/>
        <v>0</v>
      </c>
      <c r="AC23" s="3207"/>
      <c r="AD23" s="3177">
        <f t="shared" si="23"/>
        <v>0</v>
      </c>
    </row>
    <row r="24" spans="1:30" s="3189" customFormat="1" ht="12.75">
      <c r="A24" s="3180" t="s">
        <v>3357</v>
      </c>
      <c r="B24" s="3181">
        <v>2022</v>
      </c>
      <c r="C24" s="3182">
        <v>3</v>
      </c>
      <c r="D24" s="3183"/>
      <c r="E24" s="3183">
        <v>0.3</v>
      </c>
      <c r="F24" s="3183">
        <v>0.28999999999999998</v>
      </c>
      <c r="G24" s="3183">
        <v>0.83</v>
      </c>
      <c r="H24" s="3184"/>
      <c r="I24" s="3185">
        <f t="shared" si="19"/>
        <v>0.28999999999999998</v>
      </c>
      <c r="J24" s="3186"/>
      <c r="K24" s="3187"/>
      <c r="L24" s="3188">
        <f t="shared" si="20"/>
        <v>3.0000000000000001E-3</v>
      </c>
      <c r="M24" s="3188">
        <f t="shared" si="20"/>
        <v>2.8999999999999998E-3</v>
      </c>
      <c r="N24" s="3188">
        <f t="shared" si="20"/>
        <v>8.3000000000000001E-3</v>
      </c>
      <c r="O24" s="3188"/>
      <c r="P24" s="3188">
        <f t="shared" si="21"/>
        <v>2.8999999999999998E-3</v>
      </c>
      <c r="Q24" s="3186"/>
      <c r="R24" s="3186"/>
      <c r="S24" s="3186">
        <f>ROUND(IF([4]项目基本情况!$B$8="出让",SUMPRODUCT(PRODUCT(1+L24:L$30)),SUMPRODUCT(PRODUCT(1+L24:L$29))),4)</f>
        <v>1.0241</v>
      </c>
      <c r="T24" s="3186">
        <f>ROUND(IF([4]项目基本情况!$B$8="出让",SUMPRODUCT(PRODUCT(1+M24:M$30)),SUMPRODUCT(PRODUCT(1+M24:M$29))),4)</f>
        <v>1.0144</v>
      </c>
      <c r="U24" s="3186">
        <f>ROUND(IF([4]项目基本情况!$B$8="出让",SUMPRODUCT(PRODUCT(1+N24:N$30)),SUMPRODUCT(PRODUCT(1+N24:N$29))),4)</f>
        <v>1.0467</v>
      </c>
      <c r="V24" s="3186"/>
      <c r="W24" s="3186">
        <f t="shared" si="22"/>
        <v>1.0144</v>
      </c>
      <c r="X24" s="3186"/>
      <c r="Y24" s="3188"/>
      <c r="Z24" s="3209">
        <f t="shared" si="23"/>
        <v>3.8999999999999998E-3</v>
      </c>
      <c r="AA24" s="3210">
        <f t="shared" si="23"/>
        <v>2.7000000000000001E-3</v>
      </c>
      <c r="AB24" s="3188">
        <f t="shared" si="23"/>
        <v>7.9000000000000008E-3</v>
      </c>
      <c r="AC24" s="3211"/>
      <c r="AD24" s="3188">
        <f t="shared" si="23"/>
        <v>2.7000000000000001E-3</v>
      </c>
    </row>
    <row r="25" spans="1:30" s="3178" customFormat="1" ht="12.75">
      <c r="A25" s="3169" t="s">
        <v>3356</v>
      </c>
      <c r="B25" s="3170">
        <v>2022</v>
      </c>
      <c r="C25" s="3171">
        <v>2</v>
      </c>
      <c r="D25" s="3172"/>
      <c r="E25" s="3172">
        <v>-0.11</v>
      </c>
      <c r="F25" s="3172">
        <v>-0.13</v>
      </c>
      <c r="G25" s="3172">
        <v>0.53</v>
      </c>
      <c r="H25" s="3190"/>
      <c r="I25" s="3173">
        <f t="shared" si="19"/>
        <v>-0.13</v>
      </c>
      <c r="J25" s="3174"/>
      <c r="K25" s="3175"/>
      <c r="L25" s="3165">
        <f t="shared" si="20"/>
        <v>-1.1000000000000001E-3</v>
      </c>
      <c r="M25" s="3165">
        <f t="shared" si="20"/>
        <v>-1.2999999999999999E-3</v>
      </c>
      <c r="N25" s="3165">
        <f t="shared" si="20"/>
        <v>5.3E-3</v>
      </c>
      <c r="O25" s="3165"/>
      <c r="P25" s="3165">
        <f t="shared" si="21"/>
        <v>-1.2999999999999999E-3</v>
      </c>
      <c r="Q25" s="3174"/>
      <c r="R25" s="3176"/>
      <c r="S25" s="3176">
        <f>ROUND(IF([4]项目基本情况!$B$8="出让",SUMPRODUCT(PRODUCT(1+L25:L$30)),SUMPRODUCT(PRODUCT(1+L25:L$29))),4)</f>
        <v>1.0210999999999999</v>
      </c>
      <c r="T25" s="3176">
        <f>ROUND(IF([4]项目基本情况!$B$8="出让",SUMPRODUCT(PRODUCT(1+M25:M$30)),SUMPRODUCT(PRODUCT(1+M25:M$29))),4)</f>
        <v>1.0114000000000001</v>
      </c>
      <c r="U25" s="3176">
        <f>ROUND(IF([4]项目基本情况!$B$8="出让",SUMPRODUCT(PRODUCT(1+N25:N$30)),SUMPRODUCT(PRODUCT(1+N25:N$29))),4)</f>
        <v>1.0381</v>
      </c>
      <c r="V25" s="3176"/>
      <c r="W25" s="3176">
        <f t="shared" si="22"/>
        <v>1.0114000000000001</v>
      </c>
      <c r="X25" s="3174"/>
      <c r="Y25" s="3177"/>
      <c r="Z25" s="3206">
        <f t="shared" si="23"/>
        <v>4.1000000000000003E-3</v>
      </c>
      <c r="AA25" s="3208">
        <f t="shared" si="23"/>
        <v>2.7000000000000001E-3</v>
      </c>
      <c r="AB25" s="3177">
        <f t="shared" si="23"/>
        <v>7.9000000000000008E-3</v>
      </c>
      <c r="AC25" s="3207"/>
      <c r="AD25" s="3177">
        <f t="shared" si="23"/>
        <v>2.7000000000000001E-3</v>
      </c>
    </row>
    <row r="26" spans="1:30" s="3178" customFormat="1" ht="12.75">
      <c r="A26" s="3169" t="s">
        <v>2834</v>
      </c>
      <c r="B26" s="3170">
        <v>2022</v>
      </c>
      <c r="C26" s="3171">
        <v>1</v>
      </c>
      <c r="D26" s="3172"/>
      <c r="E26" s="3172">
        <v>0.6</v>
      </c>
      <c r="F26" s="3172">
        <v>0.45</v>
      </c>
      <c r="G26" s="3172">
        <v>0.53</v>
      </c>
      <c r="H26" s="3190"/>
      <c r="I26" s="3173">
        <f t="shared" si="19"/>
        <v>0.45</v>
      </c>
      <c r="J26" s="3174"/>
      <c r="K26" s="3175"/>
      <c r="L26" s="3165">
        <f t="shared" si="20"/>
        <v>6.0000000000000001E-3</v>
      </c>
      <c r="M26" s="3165">
        <f t="shared" si="20"/>
        <v>4.5000000000000005E-3</v>
      </c>
      <c r="N26" s="3165">
        <f t="shared" si="20"/>
        <v>5.3E-3</v>
      </c>
      <c r="O26" s="3165"/>
      <c r="P26" s="3165">
        <f t="shared" si="21"/>
        <v>4.5000000000000005E-3</v>
      </c>
      <c r="Q26" s="3174"/>
      <c r="R26" s="3176"/>
      <c r="S26" s="3176">
        <f>ROUND(IF([4]项目基本情况!$B$8="出让",SUMPRODUCT(PRODUCT(1+L26:L$30)),SUMPRODUCT(PRODUCT(1+L26:L$29))),4)</f>
        <v>1.0222</v>
      </c>
      <c r="T26" s="3176">
        <f>ROUND(IF([4]项目基本情况!$B$8="出让",SUMPRODUCT(PRODUCT(1+M26:M$30)),SUMPRODUCT(PRODUCT(1+M26:M$29))),4)</f>
        <v>1.0127999999999999</v>
      </c>
      <c r="U26" s="3176">
        <f>ROUND(IF([4]项目基本情况!$B$8="出让",SUMPRODUCT(PRODUCT(1+N26:N$30)),SUMPRODUCT(PRODUCT(1+N26:N$29))),4)</f>
        <v>1.0326</v>
      </c>
      <c r="V26" s="3176"/>
      <c r="W26" s="3176">
        <f t="shared" si="22"/>
        <v>1.0127999999999999</v>
      </c>
      <c r="X26" s="3174"/>
      <c r="Y26" s="3177"/>
      <c r="Z26" s="3206">
        <f t="shared" si="23"/>
        <v>5.1000000000000004E-3</v>
      </c>
      <c r="AA26" s="3208">
        <f t="shared" si="23"/>
        <v>3.5000000000000001E-3</v>
      </c>
      <c r="AB26" s="3177">
        <f t="shared" si="23"/>
        <v>8.3999999999999995E-3</v>
      </c>
      <c r="AC26" s="3207"/>
      <c r="AD26" s="3177">
        <f t="shared" si="23"/>
        <v>3.5000000000000001E-3</v>
      </c>
    </row>
    <row r="27" spans="1:30" s="3178" customFormat="1" ht="12.75">
      <c r="A27" s="3169" t="s">
        <v>2835</v>
      </c>
      <c r="B27" s="3170">
        <v>2021</v>
      </c>
      <c r="C27" s="3171">
        <v>4</v>
      </c>
      <c r="D27" s="3172"/>
      <c r="E27" s="3172">
        <v>0.57999999999999996</v>
      </c>
      <c r="F27" s="3172">
        <v>0.08</v>
      </c>
      <c r="G27" s="3172">
        <v>0.68</v>
      </c>
      <c r="H27" s="3190"/>
      <c r="I27" s="3173">
        <f t="shared" si="19"/>
        <v>0.08</v>
      </c>
      <c r="J27" s="3174"/>
      <c r="K27" s="3175"/>
      <c r="L27" s="3165">
        <f t="shared" si="20"/>
        <v>5.7999999999999996E-3</v>
      </c>
      <c r="M27" s="3165">
        <f t="shared" si="20"/>
        <v>8.0000000000000004E-4</v>
      </c>
      <c r="N27" s="3165">
        <f t="shared" si="20"/>
        <v>6.8000000000000005E-3</v>
      </c>
      <c r="O27" s="3165"/>
      <c r="P27" s="3165">
        <f t="shared" si="21"/>
        <v>8.0000000000000004E-4</v>
      </c>
      <c r="Q27" s="3174"/>
      <c r="R27" s="3176"/>
      <c r="S27" s="3176">
        <f>ROUND(IF([4]项目基本情况!$B$8="出让",SUMPRODUCT(PRODUCT(1+L27:L$30)),SUMPRODUCT(PRODUCT(1+L27:L$29))),4)</f>
        <v>1.0161</v>
      </c>
      <c r="T27" s="3176">
        <f>ROUND(IF([4]项目基本情况!$B$8="出让",SUMPRODUCT(PRODUCT(1+M27:M$30)),SUMPRODUCT(PRODUCT(1+M27:M$29))),4)</f>
        <v>1.0082</v>
      </c>
      <c r="U27" s="3176">
        <f>ROUND(IF([4]项目基本情况!$B$8="出让",SUMPRODUCT(PRODUCT(1+N27:N$30)),SUMPRODUCT(PRODUCT(1+N27:N$29))),4)</f>
        <v>1.0270999999999999</v>
      </c>
      <c r="V27" s="3176"/>
      <c r="W27" s="3176">
        <f t="shared" si="22"/>
        <v>1.0082</v>
      </c>
      <c r="X27" s="3174"/>
      <c r="Y27" s="3177"/>
      <c r="Z27" s="3206">
        <f t="shared" si="23"/>
        <v>4.8999999999999998E-3</v>
      </c>
      <c r="AA27" s="3208">
        <f t="shared" si="23"/>
        <v>3.3E-3</v>
      </c>
      <c r="AB27" s="3177">
        <f t="shared" si="23"/>
        <v>9.1999999999999998E-3</v>
      </c>
      <c r="AC27" s="3207"/>
      <c r="AD27" s="3177">
        <f t="shared" si="23"/>
        <v>3.3E-3</v>
      </c>
    </row>
    <row r="28" spans="1:30" s="3178" customFormat="1" ht="12.75">
      <c r="A28" s="3169" t="s">
        <v>2836</v>
      </c>
      <c r="B28" s="3170">
        <v>2021</v>
      </c>
      <c r="C28" s="3171">
        <v>3</v>
      </c>
      <c r="D28" s="3172"/>
      <c r="E28" s="3172">
        <v>0.47</v>
      </c>
      <c r="F28" s="3172">
        <v>0.28000000000000003</v>
      </c>
      <c r="G28" s="3172">
        <v>0.91</v>
      </c>
      <c r="H28" s="3190"/>
      <c r="I28" s="3173">
        <f t="shared" si="19"/>
        <v>0.28000000000000003</v>
      </c>
      <c r="J28" s="3174"/>
      <c r="K28" s="3175"/>
      <c r="L28" s="3165">
        <f t="shared" si="20"/>
        <v>4.6999999999999993E-3</v>
      </c>
      <c r="M28" s="3165">
        <f t="shared" si="20"/>
        <v>2.8000000000000004E-3</v>
      </c>
      <c r="N28" s="3165">
        <f t="shared" si="20"/>
        <v>9.1000000000000004E-3</v>
      </c>
      <c r="O28" s="3165"/>
      <c r="P28" s="3165">
        <f t="shared" si="21"/>
        <v>2.8000000000000004E-3</v>
      </c>
      <c r="Q28" s="3174"/>
      <c r="R28" s="3176"/>
      <c r="S28" s="3176">
        <f>ROUND(IF([4]项目基本情况!$B$8="出让",SUMPRODUCT(PRODUCT(1+L28:L$30)),SUMPRODUCT(PRODUCT(1+L28:L$29))),4)</f>
        <v>1.0102</v>
      </c>
      <c r="T28" s="3176">
        <f>ROUND(IF([4]项目基本情况!$B$8="出让",SUMPRODUCT(PRODUCT(1+M28:M$30)),SUMPRODUCT(PRODUCT(1+M28:M$29))),4)</f>
        <v>1.0074000000000001</v>
      </c>
      <c r="U28" s="3176">
        <f>ROUND(IF([4]项目基本情况!$B$8="出让",SUMPRODUCT(PRODUCT(1+N28:N$30)),SUMPRODUCT(PRODUCT(1+N28:N$29))),4)</f>
        <v>1.0202</v>
      </c>
      <c r="V28" s="3176"/>
      <c r="W28" s="3176">
        <f t="shared" si="22"/>
        <v>1.0074000000000001</v>
      </c>
      <c r="X28" s="3174"/>
      <c r="Y28" s="3177"/>
      <c r="Z28" s="3206">
        <f t="shared" si="23"/>
        <v>4.5999999999999999E-3</v>
      </c>
      <c r="AA28" s="3208">
        <f t="shared" si="23"/>
        <v>4.1000000000000003E-3</v>
      </c>
      <c r="AB28" s="3177">
        <f t="shared" si="23"/>
        <v>0.01</v>
      </c>
      <c r="AC28" s="3207"/>
      <c r="AD28" s="3177">
        <f t="shared" si="23"/>
        <v>4.1000000000000003E-3</v>
      </c>
    </row>
    <row r="29" spans="1:30" s="3178" customFormat="1" ht="12.75">
      <c r="A29" s="3169" t="s">
        <v>2837</v>
      </c>
      <c r="B29" s="3170">
        <v>2021</v>
      </c>
      <c r="C29" s="3171">
        <v>2</v>
      </c>
      <c r="D29" s="3172"/>
      <c r="E29" s="3172">
        <v>0.55000000000000004</v>
      </c>
      <c r="F29" s="3172">
        <v>0.46</v>
      </c>
      <c r="G29" s="3172">
        <v>1.1000000000000001</v>
      </c>
      <c r="H29" s="3190"/>
      <c r="I29" s="3173">
        <f t="shared" si="19"/>
        <v>0.46</v>
      </c>
      <c r="J29" s="3174"/>
      <c r="K29" s="3175"/>
      <c r="L29" s="3165">
        <f t="shared" si="20"/>
        <v>5.5000000000000005E-3</v>
      </c>
      <c r="M29" s="3165">
        <f t="shared" si="20"/>
        <v>4.5999999999999999E-3</v>
      </c>
      <c r="N29" s="3165">
        <f t="shared" si="20"/>
        <v>1.1000000000000001E-2</v>
      </c>
      <c r="O29" s="3165"/>
      <c r="P29" s="3165">
        <f t="shared" si="21"/>
        <v>4.5999999999999999E-3</v>
      </c>
      <c r="Q29" s="3174"/>
      <c r="R29" s="3176"/>
      <c r="S29" s="3176">
        <f>ROUND(IF([4]项目基本情况!$B$8="出让",SUMPRODUCT(PRODUCT(1+L29:L$30)),SUMPRODUCT(PRODUCT(1+L29:L$29))),4)</f>
        <v>1.0055000000000001</v>
      </c>
      <c r="T29" s="3176">
        <f>ROUND(IF([4]项目基本情况!$B$8="出让",SUMPRODUCT(PRODUCT(1+M29:M$30)),SUMPRODUCT(PRODUCT(1+M29:M$29))),4)</f>
        <v>1.0045999999999999</v>
      </c>
      <c r="U29" s="3176">
        <f>ROUND(IF([4]项目基本情况!$B$8="出让",SUMPRODUCT(PRODUCT(1+N29:N$30)),SUMPRODUCT(PRODUCT(1+N29:N$29))),4)</f>
        <v>1.0109999999999999</v>
      </c>
      <c r="V29" s="3176"/>
      <c r="W29" s="3176">
        <f t="shared" si="22"/>
        <v>1.0045999999999999</v>
      </c>
      <c r="X29" s="3174"/>
      <c r="Y29" s="3177"/>
      <c r="Z29" s="3206">
        <f t="shared" si="23"/>
        <v>4.4999999999999997E-3</v>
      </c>
      <c r="AA29" s="3208">
        <f t="shared" si="23"/>
        <v>4.7000000000000002E-3</v>
      </c>
      <c r="AB29" s="3177">
        <f t="shared" si="23"/>
        <v>1.04E-2</v>
      </c>
      <c r="AC29" s="3207"/>
      <c r="AD29" s="3177">
        <f t="shared" si="23"/>
        <v>4.7000000000000002E-3</v>
      </c>
    </row>
    <row r="30" spans="1:30" s="3201" customFormat="1" thickBot="1">
      <c r="A30" s="3191" t="s">
        <v>2820</v>
      </c>
      <c r="B30" s="3192">
        <v>2021</v>
      </c>
      <c r="C30" s="3193">
        <v>1</v>
      </c>
      <c r="D30" s="3194"/>
      <c r="E30" s="3194">
        <v>0.35</v>
      </c>
      <c r="F30" s="3194">
        <v>0.48</v>
      </c>
      <c r="G30" s="3194">
        <v>0.98</v>
      </c>
      <c r="H30" s="3195"/>
      <c r="I30" s="3196">
        <f t="shared" si="19"/>
        <v>0.48</v>
      </c>
      <c r="J30" s="3197"/>
      <c r="K30" s="3198"/>
      <c r="L30" s="3199">
        <f t="shared" si="20"/>
        <v>3.4999999999999996E-3</v>
      </c>
      <c r="M30" s="3199">
        <f>F30/100</f>
        <v>4.7999999999999996E-3</v>
      </c>
      <c r="N30" s="3199">
        <f t="shared" si="20"/>
        <v>9.7999999999999997E-3</v>
      </c>
      <c r="O30" s="3199"/>
      <c r="P30" s="3199">
        <f t="shared" si="21"/>
        <v>4.7999999999999996E-3</v>
      </c>
      <c r="Q30" s="3197"/>
      <c r="R30" s="3200"/>
      <c r="S30" s="3200">
        <v>1</v>
      </c>
      <c r="T30" s="3200">
        <v>1</v>
      </c>
      <c r="U30" s="3200">
        <v>1</v>
      </c>
      <c r="V30" s="3200"/>
      <c r="W30" s="3200">
        <f t="shared" si="22"/>
        <v>1</v>
      </c>
      <c r="X30" s="3197"/>
      <c r="Y30" s="3199"/>
      <c r="Z30" s="3212">
        <f t="shared" si="23"/>
        <v>3.5000000000000001E-3</v>
      </c>
      <c r="AA30" s="3213">
        <f t="shared" si="23"/>
        <v>4.7999999999999996E-3</v>
      </c>
      <c r="AB30" s="3199">
        <f t="shared" si="23"/>
        <v>9.7999999999999997E-3</v>
      </c>
      <c r="AC30" s="3214"/>
      <c r="AD30" s="3199">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2109</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3365</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1">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3362</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1">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2110</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3363</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1">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3364</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1">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8">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3">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2">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2125</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2123</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2122</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2121</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2119</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2118</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2120</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2116</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2115</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2108</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2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2106</v>
      </c>
      <c r="B25" s="2218">
        <v>439</v>
      </c>
      <c r="C25" s="2218">
        <v>327</v>
      </c>
      <c r="D25" s="2218">
        <f>C25</f>
        <v>327</v>
      </c>
      <c r="E25" s="2218">
        <v>627</v>
      </c>
      <c r="F25" s="2219">
        <v>283</v>
      </c>
      <c r="G25" s="382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2107</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2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2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2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1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2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1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2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2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2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2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2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1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2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1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2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1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2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1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2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1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2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1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2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1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2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1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2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1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2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1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9">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20">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1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9">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20">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45037</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4">
        <v>44795</v>
      </c>
      <c r="D13" s="2815">
        <v>3.65</v>
      </c>
      <c r="E13" s="2815">
        <f>D13</f>
        <v>3.65</v>
      </c>
      <c r="F13" s="2815">
        <f>D13</f>
        <v>3.65</v>
      </c>
      <c r="G13" s="2815">
        <f>D13</f>
        <v>3.65</v>
      </c>
      <c r="H13" s="2815">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9"/>
      <c r="C14" s="2811">
        <v>44701</v>
      </c>
      <c r="D14" s="2810">
        <v>3.7</v>
      </c>
      <c r="E14" s="2810">
        <f>D14</f>
        <v>3.7</v>
      </c>
      <c r="F14" s="2810">
        <f>D14</f>
        <v>3.7</v>
      </c>
      <c r="G14" s="2810">
        <f>D14</f>
        <v>3.7</v>
      </c>
      <c r="H14" s="2810">
        <v>4.45</v>
      </c>
      <c r="I14" s="2815"/>
      <c r="J14" s="281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9"/>
      <c r="C15" s="2811">
        <v>44581</v>
      </c>
      <c r="D15" s="2810">
        <v>3.7</v>
      </c>
      <c r="E15" s="2810">
        <f>D15</f>
        <v>3.7</v>
      </c>
      <c r="F15" s="2810">
        <f>D15</f>
        <v>3.7</v>
      </c>
      <c r="G15" s="2810">
        <f>D15</f>
        <v>3.7</v>
      </c>
      <c r="H15" s="2810">
        <v>4.5999999999999996</v>
      </c>
      <c r="I15" s="2815"/>
      <c r="J15" s="2815"/>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0"/>
      <c r="C16" s="2811">
        <v>44550</v>
      </c>
      <c r="D16" s="2810">
        <v>3.8</v>
      </c>
      <c r="E16" s="2810">
        <f>D16</f>
        <v>3.8</v>
      </c>
      <c r="F16" s="2810">
        <f>D16</f>
        <v>3.8</v>
      </c>
      <c r="G16" s="2810">
        <f>D16</f>
        <v>3.8</v>
      </c>
      <c r="H16" s="2810">
        <v>4.6500000000000004</v>
      </c>
      <c r="I16" s="2810"/>
      <c r="J16" s="2815"/>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0"/>
      <c r="C17" s="2811">
        <v>43941</v>
      </c>
      <c r="D17" s="2810">
        <v>3.85</v>
      </c>
      <c r="E17" s="2810">
        <v>3.85</v>
      </c>
      <c r="F17" s="2810">
        <v>3.85</v>
      </c>
      <c r="G17" s="2810">
        <v>3.85</v>
      </c>
      <c r="H17" s="2810">
        <v>4.6500000000000004</v>
      </c>
      <c r="I17" s="2810"/>
      <c r="J17" s="281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0"/>
      <c r="C18" s="2811">
        <v>43881</v>
      </c>
      <c r="D18" s="2810">
        <v>4.05</v>
      </c>
      <c r="E18" s="2810">
        <v>4.05</v>
      </c>
      <c r="F18" s="2810">
        <v>4.05</v>
      </c>
      <c r="G18" s="2810">
        <v>4.05</v>
      </c>
      <c r="H18" s="2810">
        <v>4.75</v>
      </c>
      <c r="I18" s="2810"/>
      <c r="J18" s="2810"/>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2"/>
      <c r="B19" s="2810"/>
      <c r="C19" s="2811">
        <v>43789</v>
      </c>
      <c r="D19" s="2810">
        <v>4.1500000000000004</v>
      </c>
      <c r="E19" s="2810">
        <v>4.1500000000000004</v>
      </c>
      <c r="F19" s="2810">
        <v>4.1500000000000004</v>
      </c>
      <c r="G19" s="2810">
        <v>4.1500000000000004</v>
      </c>
      <c r="H19" s="2810">
        <v>4.8</v>
      </c>
      <c r="I19" s="2810"/>
      <c r="J19" s="281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0"/>
      <c r="C20" s="2811">
        <v>43728</v>
      </c>
      <c r="D20" s="2810">
        <v>4.2</v>
      </c>
      <c r="E20" s="2810">
        <v>4.2</v>
      </c>
      <c r="F20" s="2810">
        <v>4.2</v>
      </c>
      <c r="G20" s="2810">
        <v>4.2</v>
      </c>
      <c r="H20" s="2810">
        <v>4.8499999999999996</v>
      </c>
      <c r="I20" s="2810"/>
      <c r="J20" s="281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t="s">
        <v>2304</v>
      </c>
      <c r="C21" s="2812">
        <v>43697</v>
      </c>
      <c r="D21" s="2813">
        <v>4.25</v>
      </c>
      <c r="E21" s="2813">
        <v>4.25</v>
      </c>
      <c r="F21" s="2813">
        <v>4.25</v>
      </c>
      <c r="G21" s="2813">
        <v>4.25</v>
      </c>
      <c r="H21" s="2813">
        <v>4.8499999999999996</v>
      </c>
      <c r="I21" s="2813"/>
      <c r="J21" s="2813"/>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16"/>
      <c r="B22" s="2817"/>
      <c r="C22" s="2818">
        <v>42301</v>
      </c>
      <c r="D22" s="2819">
        <v>4.3499999999999996</v>
      </c>
      <c r="E22" s="2819">
        <v>4.3499999999999996</v>
      </c>
      <c r="F22" s="2819">
        <v>4.75</v>
      </c>
      <c r="G22" s="2819">
        <v>4.75</v>
      </c>
      <c r="H22" s="2819">
        <v>4.9000000000000004</v>
      </c>
      <c r="I22" s="2819"/>
      <c r="J22" s="2819"/>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A2" sqref="A2:A4"/>
    </sheetView>
  </sheetViews>
  <sheetFormatPr defaultRowHeight="13.5"/>
  <sheetData>
    <row r="1" spans="1:8">
      <c r="B1" s="3473" t="s">
        <v>3480</v>
      </c>
      <c r="C1" s="3473" t="s">
        <v>3481</v>
      </c>
      <c r="D1" s="3473" t="s">
        <v>3482</v>
      </c>
      <c r="E1" s="3473" t="s">
        <v>3483</v>
      </c>
      <c r="F1" s="3473" t="s">
        <v>3484</v>
      </c>
      <c r="G1" s="3473" t="s">
        <v>3485</v>
      </c>
      <c r="H1" s="3473" t="s">
        <v>3486</v>
      </c>
    </row>
    <row r="2" spans="1:8">
      <c r="A2" s="3473" t="s">
        <v>3487</v>
      </c>
      <c r="B2">
        <v>775.69</v>
      </c>
      <c r="C2">
        <v>8</v>
      </c>
      <c r="D2" s="3473" t="s">
        <v>3488</v>
      </c>
      <c r="E2" s="3473" t="s">
        <v>3489</v>
      </c>
      <c r="F2" s="3474">
        <f>29/30</f>
        <v>0.96666666666666667</v>
      </c>
      <c r="G2" s="3474"/>
      <c r="H2" s="3474">
        <f>ROUND(C2-F2,1)</f>
        <v>7</v>
      </c>
    </row>
    <row r="3" spans="1:8">
      <c r="A3" s="3473" t="s">
        <v>3490</v>
      </c>
      <c r="B3">
        <v>300</v>
      </c>
      <c r="C3">
        <v>8.5</v>
      </c>
      <c r="D3" s="3473" t="s">
        <v>3491</v>
      </c>
      <c r="E3" s="3473" t="s">
        <v>3492</v>
      </c>
      <c r="F3" s="3474">
        <f t="shared" ref="F3:F4" si="0">29/30</f>
        <v>0.96666666666666667</v>
      </c>
      <c r="G3" s="3474"/>
      <c r="H3" s="3474">
        <f t="shared" ref="H3:H4" si="1">ROUND(C3-F3,1)</f>
        <v>7.5</v>
      </c>
    </row>
    <row r="4" spans="1:8">
      <c r="A4" s="3473" t="str">
        <f>A3</f>
        <v>万科住总金域国际</v>
      </c>
      <c r="B4">
        <v>1279.6300000000001</v>
      </c>
      <c r="C4">
        <v>8</v>
      </c>
      <c r="D4" s="3473" t="s">
        <v>3491</v>
      </c>
      <c r="E4" s="3473" t="s">
        <v>3493</v>
      </c>
      <c r="F4" s="3474">
        <f t="shared" si="0"/>
        <v>0.96666666666666667</v>
      </c>
      <c r="G4" s="3474"/>
      <c r="H4" s="3474">
        <f t="shared" si="1"/>
        <v>7</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7" t="str">
        <f>IF(项目基本情况!B9="房地产市场价值","估价结果一览表","结果表-2")</f>
        <v>结果表-2</v>
      </c>
      <c r="B1" s="3487"/>
      <c r="C1" s="3487"/>
      <c r="D1" s="3487"/>
      <c r="E1" s="3487"/>
      <c r="F1" s="3487"/>
      <c r="G1" s="3487"/>
      <c r="H1" s="3487"/>
      <c r="I1" s="3487"/>
    </row>
    <row r="2" spans="1:9" ht="30" customHeight="1" thickTop="1">
      <c r="A2" s="3488" t="s">
        <v>928</v>
      </c>
      <c r="B2" s="3488" t="s">
        <v>929</v>
      </c>
      <c r="C2" s="3488" t="s">
        <v>930</v>
      </c>
      <c r="D2" s="3488" t="str">
        <f>结果表!D116</f>
        <v>出让国有建设用地使用权价值</v>
      </c>
      <c r="E2" s="3488"/>
      <c r="F2" s="3488" t="str">
        <f>结果表!F116</f>
        <v>在建建筑物价值</v>
      </c>
      <c r="G2" s="3488"/>
      <c r="H2" s="3488" t="str">
        <f>IF(项目基本情况!B9="房地产市场价值","房地产市场价值","房地产价值")</f>
        <v>房地产价值</v>
      </c>
      <c r="I2" s="3488"/>
    </row>
    <row r="3" spans="1:9" ht="15">
      <c r="A3" s="3489"/>
      <c r="B3" s="3489"/>
      <c r="C3" s="3489"/>
      <c r="D3" s="852" t="s">
        <v>925</v>
      </c>
      <c r="E3" s="852" t="s">
        <v>931</v>
      </c>
      <c r="F3" s="852" t="s">
        <v>925</v>
      </c>
      <c r="G3" s="852" t="s">
        <v>926</v>
      </c>
      <c r="H3" s="852" t="s">
        <v>925</v>
      </c>
      <c r="I3" s="852" t="s">
        <v>926</v>
      </c>
    </row>
    <row r="4" spans="1:9" ht="30">
      <c r="A4" s="1503" t="str">
        <f>项目基本情况!S2</f>
        <v>北京市朝阳区朝阳门外大街18号房地产</v>
      </c>
      <c r="B4" s="852">
        <f>项目基本情况!C17</f>
        <v>3455.7</v>
      </c>
      <c r="C4" s="852">
        <f>项目基本情况!C18</f>
        <v>396.01</v>
      </c>
      <c r="D4" s="852">
        <f ca="1">结果表!D118</f>
        <v>10111</v>
      </c>
      <c r="E4" s="852">
        <f ca="1">结果表!E118</f>
        <v>29259</v>
      </c>
      <c r="F4" s="852">
        <f ca="1">结果表!F118</f>
        <v>1897</v>
      </c>
      <c r="G4" s="852">
        <f ca="1">结果表!G118</f>
        <v>5490</v>
      </c>
      <c r="H4" s="852">
        <f ca="1">结果表!H118</f>
        <v>12008</v>
      </c>
      <c r="I4" s="852">
        <f ca="1">结果表!I118</f>
        <v>34749</v>
      </c>
    </row>
    <row r="5" spans="1:9" ht="30" customHeight="1">
      <c r="A5" s="3489" t="s">
        <v>927</v>
      </c>
      <c r="B5" s="3489"/>
      <c r="C5" s="3489"/>
      <c r="D5" s="3489" t="str">
        <f ca="1">结果表!D119</f>
        <v>壹亿零壹佰壹拾壹万元整</v>
      </c>
      <c r="E5" s="3489"/>
      <c r="F5" s="3489" t="str">
        <f ca="1">结果表!F119</f>
        <v>壹仟捌佰玖拾柒万元整</v>
      </c>
      <c r="G5" s="3489"/>
      <c r="H5" s="3489" t="str">
        <f ca="1">结果表!H119</f>
        <v>壹亿贰仟零捌万元整</v>
      </c>
      <c r="I5" s="3489"/>
    </row>
    <row r="6" spans="1:9" ht="15.75">
      <c r="A6" s="3490" t="str">
        <f>结果表!A120</f>
        <v>估价师知悉的法定优先受偿款</v>
      </c>
      <c r="B6" s="3490"/>
      <c r="C6" s="3490"/>
      <c r="D6" s="3490">
        <f>结果表!D120</f>
        <v>0</v>
      </c>
      <c r="E6" s="3490"/>
      <c r="F6" s="3490"/>
      <c r="G6" s="3490"/>
      <c r="H6" s="3490"/>
      <c r="I6" s="3490"/>
    </row>
    <row r="7" spans="1:9" ht="15">
      <c r="A7" s="3489" t="s">
        <v>927</v>
      </c>
      <c r="B7" s="3489"/>
      <c r="C7" s="3489"/>
      <c r="D7" s="3491" t="str">
        <f>结果表!D121</f>
        <v>零元整</v>
      </c>
      <c r="E7" s="3492"/>
      <c r="F7" s="3492"/>
      <c r="G7" s="3492"/>
      <c r="H7" s="3492"/>
      <c r="I7" s="3493"/>
    </row>
    <row r="8" spans="1:9" ht="15.75">
      <c r="A8" s="3490" t="str">
        <f>结果表!A122</f>
        <v>房地产抵押价值</v>
      </c>
      <c r="B8" s="3490"/>
      <c r="C8" s="3490"/>
      <c r="D8" s="3490">
        <f ca="1">结果表!D122</f>
        <v>12008</v>
      </c>
      <c r="E8" s="3490"/>
      <c r="F8" s="3490"/>
      <c r="G8" s="3490"/>
      <c r="H8" s="3490"/>
      <c r="I8" s="3490"/>
    </row>
    <row r="9" spans="1:9" ht="15">
      <c r="A9" s="3489" t="s">
        <v>927</v>
      </c>
      <c r="B9" s="3489"/>
      <c r="C9" s="3489"/>
      <c r="D9" s="3489" t="str">
        <f ca="1">结果表!D123</f>
        <v>壹亿贰仟零捌万元整</v>
      </c>
      <c r="E9" s="3489"/>
      <c r="F9" s="3489"/>
      <c r="G9" s="3489"/>
      <c r="H9" s="3489"/>
      <c r="I9" s="3489"/>
    </row>
    <row r="10" spans="1:9" ht="15.75">
      <c r="A10" s="3490" t="str">
        <f>结果表!A124</f>
        <v/>
      </c>
      <c r="B10" s="3490"/>
      <c r="C10" s="3490"/>
      <c r="D10" s="3490" t="str">
        <f>结果表!D124</f>
        <v>——</v>
      </c>
      <c r="E10" s="3490"/>
      <c r="F10" s="3490"/>
      <c r="G10" s="3490"/>
      <c r="H10" s="3490"/>
      <c r="I10" s="3490"/>
    </row>
    <row r="11" spans="1:9" ht="15">
      <c r="A11" s="3489" t="s">
        <v>927</v>
      </c>
      <c r="B11" s="3489"/>
      <c r="C11" s="3489"/>
      <c r="D11" s="3489" t="e">
        <f>结果表!D125</f>
        <v>#VALUE!</v>
      </c>
      <c r="E11" s="3489"/>
      <c r="F11" s="3489"/>
      <c r="G11" s="3489"/>
      <c r="H11" s="3489"/>
      <c r="I11" s="3489"/>
    </row>
    <row r="12" spans="1:9" ht="15.75">
      <c r="A12" s="3490" t="str">
        <f>结果表!A126</f>
        <v>抵押净值</v>
      </c>
      <c r="B12" s="3490"/>
      <c r="C12" s="3490"/>
      <c r="D12" s="3490">
        <f ca="1">结果表!D126</f>
        <v>9235</v>
      </c>
      <c r="E12" s="3490"/>
      <c r="F12" s="3490"/>
      <c r="G12" s="3490"/>
      <c r="H12" s="3490"/>
      <c r="I12" s="3490"/>
    </row>
    <row r="13" spans="1:9" ht="15.75" thickBot="1">
      <c r="A13" s="3494" t="s">
        <v>927</v>
      </c>
      <c r="B13" s="3494"/>
      <c r="C13" s="3494"/>
      <c r="D13" s="3494" t="str">
        <f ca="1">结果表!D127</f>
        <v>玖仟贰佰叁拾伍万元整</v>
      </c>
      <c r="E13" s="3494"/>
      <c r="F13" s="3494"/>
      <c r="G13" s="3494"/>
      <c r="H13" s="3494"/>
      <c r="I13" s="3494"/>
    </row>
    <row r="14" spans="1:9" ht="15" thickTop="1">
      <c r="A14" s="3495" t="s">
        <v>932</v>
      </c>
      <c r="B14" s="3495"/>
      <c r="C14" s="3495"/>
      <c r="D14" s="3495"/>
      <c r="E14" s="3495"/>
      <c r="F14" s="3495"/>
      <c r="G14" s="3495"/>
      <c r="H14" s="3495"/>
      <c r="I14" s="349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6" t="s">
        <v>949</v>
      </c>
      <c r="B1" s="3496"/>
      <c r="C1" s="3496"/>
      <c r="D1" s="3496"/>
    </row>
    <row r="2" spans="1:4" ht="18">
      <c r="A2" s="3497" t="s">
        <v>933</v>
      </c>
      <c r="B2" s="3497"/>
      <c r="C2" s="3497"/>
      <c r="D2" s="3497"/>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497" t="s">
        <v>939</v>
      </c>
      <c r="B6" s="3497"/>
      <c r="C6" s="3497"/>
      <c r="D6" s="3497"/>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8" t="s">
        <v>942</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2" t="s">
        <v>943</v>
      </c>
      <c r="B16" s="3502"/>
      <c r="C16" s="3502"/>
      <c r="D16" s="3502"/>
    </row>
    <row r="17" spans="1:4" ht="144" customHeight="1">
      <c r="A17" s="3502" t="s">
        <v>944</v>
      </c>
      <c r="B17" s="3502"/>
      <c r="C17" s="3502"/>
      <c r="D17" s="3502"/>
    </row>
    <row r="18" spans="1:4" ht="15.75" customHeight="1">
      <c r="A18" s="3499" t="str">
        <f>IF(项目基本情况!B8="抵押",结果表!K120,"——")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9"/>
      <c r="C20" s="3499"/>
      <c r="D20" s="3499"/>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3"/>
      <c r="C21" s="3503"/>
      <c r="D21" s="3503"/>
    </row>
    <row r="22" spans="1:4" ht="18.75" customHeight="1">
      <c r="A22" s="3504" t="s">
        <v>945</v>
      </c>
      <c r="B22" s="3504"/>
      <c r="C22" s="3504"/>
      <c r="D22" s="3504"/>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1">
        <v>42551</v>
      </c>
      <c r="D31" s="35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0" t="s">
        <v>956</v>
      </c>
      <c r="B15" s="3505" t="s">
        <v>109</v>
      </c>
      <c r="C15" s="3506"/>
    </row>
    <row r="16" spans="1:7" ht="13.5">
      <c r="A16" s="3511"/>
      <c r="B16" s="3505" t="s">
        <v>42</v>
      </c>
      <c r="C16" s="3506"/>
    </row>
    <row r="17" spans="1:3" ht="13.5">
      <c r="A17" s="3511"/>
      <c r="B17" s="3508" t="s">
        <v>957</v>
      </c>
      <c r="C17" s="1530" t="s">
        <v>956</v>
      </c>
    </row>
    <row r="18" spans="1:3" ht="13.5">
      <c r="A18" s="3511"/>
      <c r="B18" s="3508"/>
      <c r="C18" s="1530" t="s">
        <v>958</v>
      </c>
    </row>
    <row r="19" spans="1:3" ht="13.5">
      <c r="A19" s="3511"/>
      <c r="B19" s="3508"/>
      <c r="C19" s="1530" t="s">
        <v>959</v>
      </c>
    </row>
    <row r="20" spans="1:3" ht="13.5">
      <c r="A20" s="3512"/>
      <c r="B20" s="3507" t="s">
        <v>960</v>
      </c>
      <c r="C20" s="3506"/>
    </row>
    <row r="21" spans="1:3" ht="13.5">
      <c r="A21" s="1531" t="s">
        <v>961</v>
      </c>
      <c r="B21" s="1532"/>
      <c r="C21" s="1533"/>
    </row>
    <row r="22" spans="1:3" ht="13.5">
      <c r="A22" s="3509" t="s">
        <v>962</v>
      </c>
      <c r="B22" s="3507" t="s">
        <v>963</v>
      </c>
      <c r="C22" s="3506"/>
    </row>
    <row r="23" spans="1:3" ht="13.5">
      <c r="A23" s="3509"/>
      <c r="B23" s="3507" t="s">
        <v>964</v>
      </c>
      <c r="C23" s="3506"/>
    </row>
    <row r="24" spans="1:3" ht="13.5">
      <c r="A24" s="3509"/>
      <c r="B24" s="3507" t="s">
        <v>965</v>
      </c>
      <c r="C24" s="3506"/>
    </row>
    <row r="25" spans="1:3" ht="13.5">
      <c r="A25" s="3509"/>
      <c r="B25" s="3508" t="s">
        <v>966</v>
      </c>
      <c r="C25" s="1530" t="s">
        <v>967</v>
      </c>
    </row>
    <row r="26" spans="1:3" ht="13.5">
      <c r="A26" s="3509"/>
      <c r="B26" s="3508"/>
      <c r="C26" s="1530" t="s">
        <v>968</v>
      </c>
    </row>
    <row r="27" spans="1:3" ht="13.5">
      <c r="A27" s="3509"/>
      <c r="B27" s="3508"/>
      <c r="C27" s="1530" t="s">
        <v>969</v>
      </c>
    </row>
    <row r="28" spans="1:3" ht="13.5">
      <c r="A28" s="3509"/>
      <c r="B28" s="3508"/>
      <c r="C28" s="1530" t="s">
        <v>970</v>
      </c>
    </row>
    <row r="29" spans="1:3" ht="13.5">
      <c r="A29" s="3509"/>
      <c r="B29" s="3508"/>
      <c r="C29" s="1530" t="s">
        <v>971</v>
      </c>
    </row>
    <row r="30" spans="1:3" ht="13.5">
      <c r="A30" s="3509"/>
      <c r="B30" s="3508"/>
      <c r="C30" s="1530" t="s">
        <v>972</v>
      </c>
    </row>
    <row r="31" spans="1:3" ht="13.5">
      <c r="A31" s="3509"/>
      <c r="B31" s="3508"/>
      <c r="C31" s="1530" t="s">
        <v>973</v>
      </c>
    </row>
    <row r="32" spans="1:3" ht="13.5">
      <c r="A32" s="3509"/>
      <c r="B32" s="3508"/>
      <c r="C32" s="1530" t="s">
        <v>974</v>
      </c>
    </row>
    <row r="33" spans="1:3" ht="13.5">
      <c r="A33" s="3509"/>
      <c r="B33" s="3508"/>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2134</v>
      </c>
      <c r="B2" s="2337">
        <f ca="1">TODAY()</f>
        <v>45142</v>
      </c>
      <c r="C2" s="2338" t="s">
        <v>2135</v>
      </c>
      <c r="D2" s="2338"/>
      <c r="E2" s="2338"/>
      <c r="F2" s="2334"/>
      <c r="G2" s="2334"/>
      <c r="H2" s="2334"/>
    </row>
    <row r="3" spans="1:8" ht="24" customHeight="1">
      <c r="A3" s="2339" t="s">
        <v>2136</v>
      </c>
      <c r="B3" s="2340" t="s">
        <v>2137</v>
      </c>
      <c r="C3" s="2340" t="s">
        <v>2138</v>
      </c>
      <c r="D3" s="2341" t="s">
        <v>2139</v>
      </c>
      <c r="E3" s="2342" t="s">
        <v>2140</v>
      </c>
      <c r="F3" s="1302" t="s">
        <v>2141</v>
      </c>
      <c r="G3" s="2340" t="s">
        <v>2138</v>
      </c>
      <c r="H3" s="2341" t="s">
        <v>2142</v>
      </c>
    </row>
    <row r="4" spans="1:8" ht="24" customHeight="1">
      <c r="A4" s="1302" t="s">
        <v>2143</v>
      </c>
      <c r="B4" s="1302">
        <f ca="1">IF(C4&lt;B2,"已过期",1119970066)</f>
        <v>1119970066</v>
      </c>
      <c r="C4" s="2343">
        <v>45937</v>
      </c>
      <c r="D4" s="2344" t="str">
        <f ca="1">A4&amp;"（注册号："&amp;B4&amp;"）"</f>
        <v>梁津（注册号：1119970066）</v>
      </c>
      <c r="E4" s="2345" t="s">
        <v>2143</v>
      </c>
      <c r="F4" s="1302">
        <f ca="1">IF(G4&lt;B2,"已过期",96010014)</f>
        <v>96010014</v>
      </c>
      <c r="G4" s="2346">
        <v>47118</v>
      </c>
      <c r="H4" s="2347" t="str">
        <f ca="1">E4&amp;"（注册号："&amp;F4&amp;"）"</f>
        <v>梁津（注册号：96010014）</v>
      </c>
    </row>
    <row r="5" spans="1:8" ht="24" customHeight="1">
      <c r="A5" s="1302" t="s">
        <v>2144</v>
      </c>
      <c r="B5" s="1302">
        <f ca="1">IF(C5&lt;B2,"已过期",1119970111)</f>
        <v>1119970111</v>
      </c>
      <c r="C5" s="2343">
        <v>45937</v>
      </c>
      <c r="D5" s="2344" t="str">
        <f t="shared" ref="D5:D15" ca="1" si="0">A5&amp;"（注册号："&amp;B5&amp;"）"</f>
        <v>叶凌（注册号：1119970111）</v>
      </c>
      <c r="E5" s="2345" t="s">
        <v>2144</v>
      </c>
      <c r="F5" s="1302">
        <f ca="1">IF(G5&lt;B2,"已过期",94010078)</f>
        <v>94010078</v>
      </c>
      <c r="G5" s="2346">
        <v>46387</v>
      </c>
      <c r="H5" s="2347" t="str">
        <f t="shared" ref="H5:H16" ca="1" si="1">E5&amp;"（注册号："&amp;F5&amp;"）"</f>
        <v>叶凌（注册号：94010078）</v>
      </c>
    </row>
    <row r="6" spans="1:8" ht="24" customHeight="1">
      <c r="A6" s="1302" t="s">
        <v>2145</v>
      </c>
      <c r="B6" s="1302">
        <f ca="1">IF(C6&lt;B2,"已过期",1120050019)</f>
        <v>1120050019</v>
      </c>
      <c r="C6" s="2343">
        <v>45410</v>
      </c>
      <c r="D6" s="2344" t="str">
        <f t="shared" ca="1" si="0"/>
        <v>王鹏（注册号：1120050019）</v>
      </c>
      <c r="E6" s="2345" t="s">
        <v>2145</v>
      </c>
      <c r="F6" s="1302">
        <f ca="1">IF(G6&lt;B2,"已过期",2002110030)</f>
        <v>2002110030</v>
      </c>
      <c r="G6" s="2346">
        <v>46387</v>
      </c>
      <c r="H6" s="2347" t="str">
        <f t="shared" ca="1" si="1"/>
        <v>王鹏（注册号：2002110030）</v>
      </c>
    </row>
    <row r="7" spans="1:8" ht="24" customHeight="1">
      <c r="A7" s="1302" t="s">
        <v>2146</v>
      </c>
      <c r="B7" s="1302">
        <f ca="1">IF(C7&lt;B2,"已过期",1120000080)</f>
        <v>1120000080</v>
      </c>
      <c r="C7" s="2343">
        <v>45937</v>
      </c>
      <c r="D7" s="2344" t="str">
        <f t="shared" ca="1" si="0"/>
        <v>欧红伟（注册号：1120000080）</v>
      </c>
      <c r="E7" s="2345" t="s">
        <v>2146</v>
      </c>
      <c r="F7" s="1302">
        <f ca="1">IF(G7&lt;B2,"已过期",2000110082)</f>
        <v>2000110082</v>
      </c>
      <c r="G7" s="2346">
        <v>46387</v>
      </c>
      <c r="H7" s="2347" t="str">
        <f t="shared" ca="1" si="1"/>
        <v>欧红伟（注册号：2000110082）</v>
      </c>
    </row>
    <row r="8" spans="1:8" ht="24" customHeight="1">
      <c r="A8" s="1302" t="s">
        <v>2147</v>
      </c>
      <c r="B8" s="1302">
        <f ca="1">IF(C8&lt;B2,"已过期",1419970001)</f>
        <v>1419970001</v>
      </c>
      <c r="C8" s="2343">
        <v>45937</v>
      </c>
      <c r="D8" s="2344" t="str">
        <f t="shared" ca="1" si="0"/>
        <v>吴薇（注册号：1419970001）</v>
      </c>
      <c r="E8" s="2345" t="s">
        <v>2147</v>
      </c>
      <c r="F8" s="1302">
        <f ca="1">IF(G8&lt;B2,"已过期",2002110125)</f>
        <v>2002110125</v>
      </c>
      <c r="G8" s="2346">
        <v>47118</v>
      </c>
      <c r="H8" s="2347" t="str">
        <f t="shared" ca="1" si="1"/>
        <v>吴薇（注册号：2002110125）</v>
      </c>
    </row>
    <row r="9" spans="1:8" ht="24" customHeight="1">
      <c r="A9" s="1302" t="s">
        <v>2148</v>
      </c>
      <c r="B9" s="1302">
        <f ca="1">IF(C9&lt;B2,"已过期",1120060040)</f>
        <v>1120060040</v>
      </c>
      <c r="C9" s="2348">
        <v>45592</v>
      </c>
      <c r="D9" s="2344" t="str">
        <f t="shared" ca="1" si="0"/>
        <v>陈颖（注册号：1120060040）</v>
      </c>
      <c r="E9" s="2345" t="s">
        <v>2148</v>
      </c>
      <c r="F9" s="1302">
        <f ca="1">IF(G9&lt;B2,"已过期",2004110096)</f>
        <v>2004110096</v>
      </c>
      <c r="G9" s="2346">
        <v>47118</v>
      </c>
      <c r="H9" s="2347" t="str">
        <f t="shared" ca="1" si="1"/>
        <v>陈颖（注册号：2004110096）</v>
      </c>
    </row>
    <row r="10" spans="1:8" ht="24" customHeight="1">
      <c r="A10" s="1302" t="s">
        <v>2149</v>
      </c>
      <c r="B10" s="1302">
        <f ca="1">IF(C10&lt;B2,"已过期",1120100036)</f>
        <v>1120100036</v>
      </c>
      <c r="C10" s="2348">
        <v>45752</v>
      </c>
      <c r="D10" s="2344" t="str">
        <f t="shared" ca="1" si="0"/>
        <v>崔锴（注册号：1120100036）</v>
      </c>
      <c r="E10" s="2345" t="s">
        <v>2149</v>
      </c>
      <c r="F10" s="1302">
        <f ca="1">IF(G10&lt;B2,"已过期",2010110070)</f>
        <v>2010110070</v>
      </c>
      <c r="G10" s="2346">
        <v>47907</v>
      </c>
      <c r="H10" s="2347" t="str">
        <f t="shared" ca="1" si="1"/>
        <v>崔锴（注册号：2010110070）</v>
      </c>
    </row>
    <row r="11" spans="1:8" ht="24" customHeight="1">
      <c r="A11" s="1302" t="s">
        <v>2150</v>
      </c>
      <c r="B11" s="1302">
        <f ca="1">IF(C11&lt;B2,"已过期",1120070131)</f>
        <v>1120070131</v>
      </c>
      <c r="C11" s="2343">
        <v>45937</v>
      </c>
      <c r="D11" s="2344" t="str">
        <f t="shared" ca="1" si="0"/>
        <v>郑燚（注册号：1120070131）</v>
      </c>
      <c r="E11" s="2345" t="s">
        <v>2150</v>
      </c>
      <c r="F11" s="1302">
        <f ca="1">IF(G11&lt;B2,"已过期",2014110011)</f>
        <v>2014110011</v>
      </c>
      <c r="G11" s="2346">
        <v>49302</v>
      </c>
      <c r="H11" s="2347" t="str">
        <f t="shared" ca="1" si="1"/>
        <v>郑燚（注册号：2014110011）</v>
      </c>
    </row>
    <row r="12" spans="1:8" ht="24" customHeight="1">
      <c r="A12" s="1302" t="s">
        <v>2151</v>
      </c>
      <c r="B12" s="1302">
        <f ca="1">IF(C12&lt;B2,"已过期",1120040230)</f>
        <v>1120040230</v>
      </c>
      <c r="C12" s="2348">
        <v>45937</v>
      </c>
      <c r="D12" s="2344" t="str">
        <f t="shared" ca="1" si="0"/>
        <v>苏海（注册号：1120040230）</v>
      </c>
      <c r="E12" s="2345" t="s">
        <v>2151</v>
      </c>
      <c r="F12" s="1302">
        <f ca="1">IF(G12&lt;B2,"已过期",98030020)</f>
        <v>98030020</v>
      </c>
      <c r="G12" s="2346">
        <v>47118</v>
      </c>
      <c r="H12" s="2347" t="str">
        <f t="shared" ca="1" si="1"/>
        <v>苏海（注册号：98030020）</v>
      </c>
    </row>
    <row r="13" spans="1:8" ht="24" customHeight="1">
      <c r="A13" s="1302" t="s">
        <v>2152</v>
      </c>
      <c r="B13" s="1302">
        <f ca="1">IF(C13&lt;B2,"已过期",1120020033)</f>
        <v>1120020033</v>
      </c>
      <c r="C13" s="2343">
        <v>45375</v>
      </c>
      <c r="D13" s="2344" t="str">
        <f t="shared" ca="1" si="0"/>
        <v>刘敬东（注册号：1120020033）</v>
      </c>
      <c r="E13" s="2345" t="s">
        <v>2152</v>
      </c>
      <c r="F13" s="1302">
        <f ca="1">IF(G13&lt;B2,"已过期",2000110137)</f>
        <v>2000110137</v>
      </c>
      <c r="G13" s="2346">
        <v>46387</v>
      </c>
      <c r="H13" s="2347" t="str">
        <f t="shared" ca="1" si="1"/>
        <v>刘敬东（注册号：2000110137）</v>
      </c>
    </row>
    <row r="14" spans="1:8" ht="24" customHeight="1">
      <c r="A14" s="1302" t="s">
        <v>2153</v>
      </c>
      <c r="B14" s="1302" t="str">
        <f ca="1">IF(C14&lt;B2,"已过期",1119980106)</f>
        <v>已过期</v>
      </c>
      <c r="C14" s="2348">
        <v>44969</v>
      </c>
      <c r="D14" s="2344" t="str">
        <f t="shared" ca="1" si="0"/>
        <v>刘俊财（注册号：已过期）</v>
      </c>
      <c r="E14" s="2345" t="s">
        <v>2153</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2154</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3" t="s">
        <v>2155</v>
      </c>
      <c r="B17" s="3513"/>
      <c r="C17" s="3513"/>
      <c r="D17" s="3513"/>
      <c r="E17" s="3513"/>
      <c r="F17" s="3513"/>
      <c r="G17" s="3513"/>
      <c r="H17" s="3513"/>
    </row>
    <row r="18" spans="1:8" ht="24" customHeight="1">
      <c r="A18" s="3514" t="s">
        <v>2156</v>
      </c>
      <c r="B18" s="3514"/>
      <c r="C18" s="3514"/>
      <c r="D18" s="2341"/>
      <c r="E18" s="3515" t="s">
        <v>2157</v>
      </c>
      <c r="F18" s="3514"/>
      <c r="G18" s="3514"/>
    </row>
    <row r="19" spans="1:8" s="2352" customFormat="1" ht="24" customHeight="1">
      <c r="A19" s="2351" t="s">
        <v>2158</v>
      </c>
      <c r="B19" s="2340" t="s">
        <v>2159</v>
      </c>
      <c r="C19" s="2340" t="s">
        <v>2138</v>
      </c>
      <c r="D19" s="2341"/>
      <c r="E19" s="2345" t="s">
        <v>2158</v>
      </c>
      <c r="F19" s="2340" t="s">
        <v>2159</v>
      </c>
      <c r="G19" s="2340" t="s">
        <v>2138</v>
      </c>
    </row>
    <row r="20" spans="1:8" s="2352" customFormat="1" ht="24" customHeight="1">
      <c r="A20" s="2353" t="s">
        <v>2160</v>
      </c>
      <c r="B20" s="2353" t="s">
        <v>2161</v>
      </c>
      <c r="C20" s="2346">
        <v>45898</v>
      </c>
      <c r="D20" s="2354"/>
      <c r="E20" s="2355" t="s">
        <v>2162</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结果表汇总</vt:lpstr>
      <vt:lpstr>结果表</vt:lpstr>
      <vt:lpstr>成本法</vt:lpstr>
      <vt:lpstr>成本法 (元)</vt:lpstr>
      <vt:lpstr>假设开发法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收益法</vt:lpstr>
      <vt:lpstr>收益法 (元)</vt:lpstr>
      <vt:lpstr>典型户型修正</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2023-08-04T02:24:21Z</dcterms:modified>
</cp:coreProperties>
</file>